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Energy_Tool\"/>
    </mc:Choice>
  </mc:AlternateContent>
  <xr:revisionPtr revIDLastSave="0" documentId="13_ncr:1_{025ACF79-8FBC-40D0-945B-64C020112F9A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Cronograma" sheetId="1" r:id="rId1"/>
    <sheet name="Procedimiento" sheetId="4" r:id="rId2"/>
    <sheet name="Aeropuerto" sheetId="3" r:id="rId3"/>
    <sheet name="Meses" sheetId="2" r:id="rId4"/>
  </sheets>
  <definedNames>
    <definedName name="_xlnm._FilterDatabase" localSheetId="0" hidden="1">Cronograma!$A$1:$U$2529</definedName>
    <definedName name="_xlnm._FilterDatabase" localSheetId="1" hidden="1">Procedimiento!$Q$10:$Y$23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" l="1"/>
  <c r="B22" i="3" s="1"/>
  <c r="B23" i="3" s="1"/>
  <c r="B24" i="3" s="1"/>
  <c r="B25" i="3" s="1"/>
  <c r="B26" i="3" s="1"/>
  <c r="B27" i="3" s="1"/>
  <c r="B28" i="3" s="1"/>
  <c r="B29" i="3" s="1"/>
  <c r="B30" i="3" s="1"/>
  <c r="AF2" i="3"/>
  <c r="C20" i="3"/>
  <c r="W11" i="4"/>
  <c r="U2529" i="1"/>
  <c r="P2529" i="1"/>
  <c r="R2529" i="1" s="1"/>
  <c r="U2528" i="1"/>
  <c r="P2528" i="1"/>
  <c r="R2528" i="1" s="1"/>
  <c r="U2527" i="1"/>
  <c r="P2527" i="1"/>
  <c r="R2527" i="1" s="1"/>
  <c r="U2526" i="1"/>
  <c r="P2526" i="1"/>
  <c r="R2526" i="1" s="1"/>
  <c r="U2525" i="1"/>
  <c r="P2525" i="1"/>
  <c r="R2525" i="1" s="1"/>
  <c r="U2524" i="1"/>
  <c r="P2524" i="1"/>
  <c r="R2524" i="1" s="1"/>
  <c r="U2523" i="1"/>
  <c r="P2523" i="1"/>
  <c r="R2523" i="1" s="1"/>
  <c r="U2522" i="1"/>
  <c r="P2522" i="1"/>
  <c r="R2522" i="1" s="1"/>
  <c r="U2521" i="1"/>
  <c r="P2521" i="1"/>
  <c r="R2521" i="1" s="1"/>
  <c r="U2520" i="1"/>
  <c r="P2520" i="1"/>
  <c r="R2520" i="1" s="1"/>
  <c r="U2519" i="1"/>
  <c r="P2519" i="1"/>
  <c r="R2519" i="1" s="1"/>
  <c r="U2518" i="1"/>
  <c r="P2518" i="1"/>
  <c r="R2518" i="1" s="1"/>
  <c r="U2517" i="1"/>
  <c r="P2517" i="1"/>
  <c r="R2517" i="1" s="1"/>
  <c r="U2516" i="1"/>
  <c r="P2516" i="1"/>
  <c r="Q2516" i="1" s="1"/>
  <c r="U2515" i="1"/>
  <c r="P2515" i="1"/>
  <c r="R2515" i="1" s="1"/>
  <c r="U2514" i="1"/>
  <c r="P2514" i="1"/>
  <c r="Q2514" i="1" s="1"/>
  <c r="U2513" i="1"/>
  <c r="P2513" i="1"/>
  <c r="R2513" i="1" s="1"/>
  <c r="U2512" i="1"/>
  <c r="P2512" i="1"/>
  <c r="R2512" i="1" s="1"/>
  <c r="U2511" i="1"/>
  <c r="P2511" i="1"/>
  <c r="R2511" i="1" s="1"/>
  <c r="U2510" i="1"/>
  <c r="P2510" i="1"/>
  <c r="R2510" i="1" s="1"/>
  <c r="U2509" i="1"/>
  <c r="P2509" i="1"/>
  <c r="R2509" i="1" s="1"/>
  <c r="U2508" i="1"/>
  <c r="P2508" i="1"/>
  <c r="Q2508" i="1" s="1"/>
  <c r="U2507" i="1"/>
  <c r="P2507" i="1"/>
  <c r="R2507" i="1" s="1"/>
  <c r="U2506" i="1"/>
  <c r="P2506" i="1"/>
  <c r="R2506" i="1" s="1"/>
  <c r="U2505" i="1"/>
  <c r="P2505" i="1"/>
  <c r="R2505" i="1" s="1"/>
  <c r="U2504" i="1"/>
  <c r="P2504" i="1"/>
  <c r="R2504" i="1" s="1"/>
  <c r="U2503" i="1"/>
  <c r="P2503" i="1"/>
  <c r="R2503" i="1" s="1"/>
  <c r="U2502" i="1"/>
  <c r="P2502" i="1"/>
  <c r="R2502" i="1" s="1"/>
  <c r="U2501" i="1"/>
  <c r="P2501" i="1"/>
  <c r="R2501" i="1" s="1"/>
  <c r="U2500" i="1"/>
  <c r="P2500" i="1"/>
  <c r="R2500" i="1" s="1"/>
  <c r="U2499" i="1"/>
  <c r="P2499" i="1"/>
  <c r="R2499" i="1" s="1"/>
  <c r="U2498" i="1"/>
  <c r="P2498" i="1"/>
  <c r="R2498" i="1" s="1"/>
  <c r="U2497" i="1"/>
  <c r="P2497" i="1"/>
  <c r="R2497" i="1" s="1"/>
  <c r="U2496" i="1"/>
  <c r="P2496" i="1"/>
  <c r="Q2496" i="1" s="1"/>
  <c r="U2495" i="1"/>
  <c r="P2495" i="1"/>
  <c r="R2495" i="1" s="1"/>
  <c r="U2494" i="1"/>
  <c r="P2494" i="1"/>
  <c r="R2494" i="1" s="1"/>
  <c r="U2493" i="1"/>
  <c r="P2493" i="1"/>
  <c r="R2493" i="1" s="1"/>
  <c r="U2492" i="1"/>
  <c r="P2492" i="1"/>
  <c r="Q2492" i="1" s="1"/>
  <c r="U2491" i="1"/>
  <c r="P2491" i="1"/>
  <c r="R2491" i="1" s="1"/>
  <c r="U2490" i="1"/>
  <c r="P2490" i="1"/>
  <c r="R2490" i="1" s="1"/>
  <c r="U2489" i="1"/>
  <c r="P2489" i="1"/>
  <c r="R2489" i="1" s="1"/>
  <c r="U2488" i="1"/>
  <c r="P2488" i="1"/>
  <c r="R2488" i="1" s="1"/>
  <c r="U2487" i="1"/>
  <c r="P2487" i="1"/>
  <c r="R2487" i="1" s="1"/>
  <c r="U2486" i="1"/>
  <c r="P2486" i="1"/>
  <c r="R2486" i="1" s="1"/>
  <c r="U2485" i="1"/>
  <c r="P2485" i="1"/>
  <c r="R2485" i="1" s="1"/>
  <c r="U2484" i="1"/>
  <c r="P2484" i="1"/>
  <c r="Q2484" i="1" s="1"/>
  <c r="U2483" i="1"/>
  <c r="P2483" i="1"/>
  <c r="R2483" i="1" s="1"/>
  <c r="U2482" i="1"/>
  <c r="P2482" i="1"/>
  <c r="Q2482" i="1" s="1"/>
  <c r="U2481" i="1"/>
  <c r="P2481" i="1"/>
  <c r="R2481" i="1" s="1"/>
  <c r="U2480" i="1"/>
  <c r="P2480" i="1"/>
  <c r="R2480" i="1" s="1"/>
  <c r="U2479" i="1"/>
  <c r="P2479" i="1"/>
  <c r="R2479" i="1" s="1"/>
  <c r="U2478" i="1"/>
  <c r="P2478" i="1"/>
  <c r="R2478" i="1" s="1"/>
  <c r="U2477" i="1"/>
  <c r="P2477" i="1"/>
  <c r="R2477" i="1" s="1"/>
  <c r="U2476" i="1"/>
  <c r="P2476" i="1"/>
  <c r="R2476" i="1" s="1"/>
  <c r="U2475" i="1"/>
  <c r="P2475" i="1"/>
  <c r="R2475" i="1" s="1"/>
  <c r="U2474" i="1"/>
  <c r="P2474" i="1"/>
  <c r="R2474" i="1" s="1"/>
  <c r="U2473" i="1"/>
  <c r="P2473" i="1"/>
  <c r="R2473" i="1" s="1"/>
  <c r="U2472" i="1"/>
  <c r="P2472" i="1"/>
  <c r="R2472" i="1" s="1"/>
  <c r="U2471" i="1"/>
  <c r="P2471" i="1"/>
  <c r="R2471" i="1" s="1"/>
  <c r="U2470" i="1"/>
  <c r="P2470" i="1"/>
  <c r="R2470" i="1" s="1"/>
  <c r="U2469" i="1"/>
  <c r="P2469" i="1"/>
  <c r="R2469" i="1" s="1"/>
  <c r="U2468" i="1"/>
  <c r="P2468" i="1"/>
  <c r="Q2468" i="1" s="1"/>
  <c r="U2467" i="1"/>
  <c r="P2467" i="1"/>
  <c r="R2467" i="1" s="1"/>
  <c r="U2466" i="1"/>
  <c r="P2466" i="1"/>
  <c r="R2466" i="1" s="1"/>
  <c r="U2465" i="1"/>
  <c r="P2465" i="1"/>
  <c r="R2465" i="1" s="1"/>
  <c r="U2464" i="1"/>
  <c r="P2464" i="1"/>
  <c r="R2464" i="1" s="1"/>
  <c r="U2463" i="1"/>
  <c r="P2463" i="1"/>
  <c r="R2463" i="1" s="1"/>
  <c r="U2462" i="1"/>
  <c r="P2462" i="1"/>
  <c r="R2462" i="1" s="1"/>
  <c r="U2461" i="1"/>
  <c r="P2461" i="1"/>
  <c r="R2461" i="1" s="1"/>
  <c r="U2460" i="1"/>
  <c r="P2460" i="1"/>
  <c r="Q2460" i="1" s="1"/>
  <c r="U2459" i="1"/>
  <c r="P2459" i="1"/>
  <c r="R2459" i="1" s="1"/>
  <c r="U2458" i="1"/>
  <c r="P2458" i="1"/>
  <c r="R2458" i="1" s="1"/>
  <c r="U2457" i="1"/>
  <c r="P2457" i="1"/>
  <c r="R2457" i="1" s="1"/>
  <c r="U2456" i="1"/>
  <c r="P2456" i="1"/>
  <c r="R2456" i="1" s="1"/>
  <c r="U2455" i="1"/>
  <c r="P2455" i="1"/>
  <c r="R2455" i="1" s="1"/>
  <c r="U2454" i="1"/>
  <c r="P2454" i="1"/>
  <c r="R2454" i="1" s="1"/>
  <c r="U2453" i="1"/>
  <c r="P2453" i="1"/>
  <c r="R2453" i="1" s="1"/>
  <c r="U2452" i="1"/>
  <c r="P2452" i="1"/>
  <c r="Q2452" i="1" s="1"/>
  <c r="U2451" i="1"/>
  <c r="P2451" i="1"/>
  <c r="R2451" i="1" s="1"/>
  <c r="U2450" i="1"/>
  <c r="P2450" i="1"/>
  <c r="Q2450" i="1" s="1"/>
  <c r="U2449" i="1"/>
  <c r="P2449" i="1"/>
  <c r="R2449" i="1" s="1"/>
  <c r="U2448" i="1"/>
  <c r="P2448" i="1"/>
  <c r="Q2448" i="1" s="1"/>
  <c r="U2447" i="1"/>
  <c r="P2447" i="1"/>
  <c r="R2447" i="1" s="1"/>
  <c r="U2446" i="1"/>
  <c r="P2446" i="1"/>
  <c r="R2446" i="1" s="1"/>
  <c r="U2445" i="1"/>
  <c r="P2445" i="1"/>
  <c r="R2445" i="1" s="1"/>
  <c r="U2444" i="1"/>
  <c r="P2444" i="1"/>
  <c r="Q2444" i="1" s="1"/>
  <c r="U2443" i="1"/>
  <c r="P2443" i="1"/>
  <c r="R2443" i="1" s="1"/>
  <c r="U2442" i="1"/>
  <c r="P2442" i="1"/>
  <c r="R2442" i="1" s="1"/>
  <c r="U2441" i="1"/>
  <c r="P2441" i="1"/>
  <c r="R2441" i="1" s="1"/>
  <c r="U2440" i="1"/>
  <c r="P2440" i="1"/>
  <c r="R2440" i="1" s="1"/>
  <c r="U2439" i="1"/>
  <c r="P2439" i="1"/>
  <c r="R2439" i="1" s="1"/>
  <c r="U2438" i="1"/>
  <c r="P2438" i="1"/>
  <c r="R2438" i="1" s="1"/>
  <c r="U2437" i="1"/>
  <c r="P2437" i="1"/>
  <c r="R2437" i="1" s="1"/>
  <c r="U2436" i="1"/>
  <c r="P2436" i="1"/>
  <c r="Q2436" i="1" s="1"/>
  <c r="U2435" i="1"/>
  <c r="P2435" i="1"/>
  <c r="R2435" i="1" s="1"/>
  <c r="U2434" i="1"/>
  <c r="P2434" i="1"/>
  <c r="R2434" i="1" s="1"/>
  <c r="U2433" i="1"/>
  <c r="P2433" i="1"/>
  <c r="R2433" i="1" s="1"/>
  <c r="U2432" i="1"/>
  <c r="P2432" i="1"/>
  <c r="R2432" i="1" s="1"/>
  <c r="U2431" i="1"/>
  <c r="P2431" i="1"/>
  <c r="R2431" i="1" s="1"/>
  <c r="U2430" i="1"/>
  <c r="P2430" i="1"/>
  <c r="R2430" i="1" s="1"/>
  <c r="U2429" i="1"/>
  <c r="P2429" i="1"/>
  <c r="R2429" i="1" s="1"/>
  <c r="U2428" i="1"/>
  <c r="P2428" i="1"/>
  <c r="R2428" i="1" s="1"/>
  <c r="U2427" i="1"/>
  <c r="P2427" i="1"/>
  <c r="R2427" i="1" s="1"/>
  <c r="U2426" i="1"/>
  <c r="P2426" i="1"/>
  <c r="R2426" i="1" s="1"/>
  <c r="U2425" i="1"/>
  <c r="P2425" i="1"/>
  <c r="R2425" i="1" s="1"/>
  <c r="U2424" i="1"/>
  <c r="P2424" i="1"/>
  <c r="R2424" i="1" s="1"/>
  <c r="U2423" i="1"/>
  <c r="P2423" i="1"/>
  <c r="R2423" i="1" s="1"/>
  <c r="U2422" i="1"/>
  <c r="P2422" i="1"/>
  <c r="R2422" i="1" s="1"/>
  <c r="U2421" i="1"/>
  <c r="P2421" i="1"/>
  <c r="R2421" i="1" s="1"/>
  <c r="U2420" i="1"/>
  <c r="P2420" i="1"/>
  <c r="Q2420" i="1" s="1"/>
  <c r="U2419" i="1"/>
  <c r="P2419" i="1"/>
  <c r="R2419" i="1" s="1"/>
  <c r="U2418" i="1"/>
  <c r="P2418" i="1"/>
  <c r="R2418" i="1" s="1"/>
  <c r="U2417" i="1"/>
  <c r="P2417" i="1"/>
  <c r="R2417" i="1" s="1"/>
  <c r="U2416" i="1"/>
  <c r="P2416" i="1"/>
  <c r="Q2416" i="1" s="1"/>
  <c r="U2415" i="1"/>
  <c r="P2415" i="1"/>
  <c r="R2415" i="1" s="1"/>
  <c r="U2414" i="1"/>
  <c r="P2414" i="1"/>
  <c r="R2414" i="1" s="1"/>
  <c r="U2413" i="1"/>
  <c r="P2413" i="1"/>
  <c r="R2413" i="1" s="1"/>
  <c r="U2412" i="1"/>
  <c r="P2412" i="1"/>
  <c r="R2412" i="1" s="1"/>
  <c r="U2411" i="1"/>
  <c r="P2411" i="1"/>
  <c r="R2411" i="1" s="1"/>
  <c r="U2410" i="1"/>
  <c r="P2410" i="1"/>
  <c r="Q2410" i="1" s="1"/>
  <c r="U2409" i="1"/>
  <c r="P2409" i="1"/>
  <c r="R2409" i="1" s="1"/>
  <c r="U2408" i="1"/>
  <c r="P2408" i="1"/>
  <c r="R2408" i="1" s="1"/>
  <c r="U2407" i="1"/>
  <c r="P2407" i="1"/>
  <c r="R2407" i="1" s="1"/>
  <c r="U2406" i="1"/>
  <c r="P2406" i="1"/>
  <c r="R2406" i="1" s="1"/>
  <c r="U2405" i="1"/>
  <c r="P2405" i="1"/>
  <c r="R2405" i="1" s="1"/>
  <c r="U2404" i="1"/>
  <c r="P2404" i="1"/>
  <c r="R2404" i="1" s="1"/>
  <c r="P2396" i="1"/>
  <c r="Q2396" i="1" s="1"/>
  <c r="U2396" i="1"/>
  <c r="P2397" i="1"/>
  <c r="R2397" i="1" s="1"/>
  <c r="S2397" i="1" s="1"/>
  <c r="U2397" i="1"/>
  <c r="P2398" i="1"/>
  <c r="Q2398" i="1" s="1"/>
  <c r="U2398" i="1"/>
  <c r="P2399" i="1"/>
  <c r="Q2399" i="1" s="1"/>
  <c r="U2399" i="1"/>
  <c r="P2400" i="1"/>
  <c r="Q2400" i="1" s="1"/>
  <c r="U2400" i="1"/>
  <c r="P2401" i="1"/>
  <c r="R2401" i="1" s="1"/>
  <c r="S2401" i="1" s="1"/>
  <c r="U2401" i="1"/>
  <c r="P2402" i="1"/>
  <c r="Q2402" i="1" s="1"/>
  <c r="U2402" i="1"/>
  <c r="P2403" i="1"/>
  <c r="Q2403" i="1" s="1"/>
  <c r="U2403" i="1"/>
  <c r="U2395" i="1"/>
  <c r="P2395" i="1"/>
  <c r="R2395" i="1" s="1"/>
  <c r="U2394" i="1"/>
  <c r="P2394" i="1"/>
  <c r="R2394" i="1" s="1"/>
  <c r="U2393" i="1"/>
  <c r="P2393" i="1"/>
  <c r="U2392" i="1"/>
  <c r="P2392" i="1"/>
  <c r="R2392" i="1" s="1"/>
  <c r="U2391" i="1"/>
  <c r="P2391" i="1"/>
  <c r="R2391" i="1" s="1"/>
  <c r="U2390" i="1"/>
  <c r="P2390" i="1"/>
  <c r="R2390" i="1" s="1"/>
  <c r="U2389" i="1"/>
  <c r="P2389" i="1"/>
  <c r="Q2389" i="1" s="1"/>
  <c r="U2388" i="1"/>
  <c r="P2388" i="1"/>
  <c r="Q2388" i="1" s="1"/>
  <c r="U2387" i="1"/>
  <c r="P2387" i="1"/>
  <c r="R2387" i="1" s="1"/>
  <c r="U2386" i="1"/>
  <c r="P2386" i="1"/>
  <c r="U2385" i="1"/>
  <c r="P2385" i="1"/>
  <c r="R2385" i="1" s="1"/>
  <c r="U2384" i="1"/>
  <c r="P2384" i="1"/>
  <c r="R2384" i="1" s="1"/>
  <c r="U2383" i="1"/>
  <c r="P2383" i="1"/>
  <c r="R2383" i="1" s="1"/>
  <c r="U2382" i="1"/>
  <c r="P2382" i="1"/>
  <c r="Q2382" i="1" s="1"/>
  <c r="U2381" i="1"/>
  <c r="P2381" i="1"/>
  <c r="U2380" i="1"/>
  <c r="P2380" i="1"/>
  <c r="R2380" i="1" s="1"/>
  <c r="U2379" i="1"/>
  <c r="P2379" i="1"/>
  <c r="Q2379" i="1" s="1"/>
  <c r="U2378" i="1"/>
  <c r="P2378" i="1"/>
  <c r="R2378" i="1" s="1"/>
  <c r="U2377" i="1"/>
  <c r="P2377" i="1"/>
  <c r="Q2377" i="1" s="1"/>
  <c r="U2376" i="1"/>
  <c r="P2376" i="1"/>
  <c r="R2376" i="1" s="1"/>
  <c r="U2375" i="1"/>
  <c r="P2375" i="1"/>
  <c r="R2375" i="1" s="1"/>
  <c r="U2374" i="1"/>
  <c r="P2374" i="1"/>
  <c r="U2373" i="1"/>
  <c r="P2373" i="1"/>
  <c r="R2373" i="1" s="1"/>
  <c r="U2372" i="1"/>
  <c r="P2372" i="1"/>
  <c r="R2372" i="1" s="1"/>
  <c r="U2371" i="1"/>
  <c r="P2371" i="1"/>
  <c r="R2371" i="1" s="1"/>
  <c r="U2370" i="1"/>
  <c r="P2370" i="1"/>
  <c r="R2370" i="1" s="1"/>
  <c r="U2369" i="1"/>
  <c r="P2369" i="1"/>
  <c r="U2368" i="1"/>
  <c r="P2368" i="1"/>
  <c r="R2368" i="1" s="1"/>
  <c r="U2367" i="1"/>
  <c r="P2367" i="1"/>
  <c r="R2367" i="1" s="1"/>
  <c r="U2366" i="1"/>
  <c r="P2366" i="1"/>
  <c r="R2366" i="1" s="1"/>
  <c r="U2365" i="1"/>
  <c r="P2365" i="1"/>
  <c r="R2365" i="1" s="1"/>
  <c r="U2364" i="1"/>
  <c r="P2364" i="1"/>
  <c r="R2364" i="1" s="1"/>
  <c r="U2363" i="1"/>
  <c r="P2363" i="1"/>
  <c r="R2363" i="1" s="1"/>
  <c r="U2362" i="1"/>
  <c r="P2362" i="1"/>
  <c r="U2361" i="1"/>
  <c r="P2361" i="1"/>
  <c r="R2361" i="1" s="1"/>
  <c r="U2360" i="1"/>
  <c r="P2360" i="1"/>
  <c r="R2360" i="1" s="1"/>
  <c r="U2359" i="1"/>
  <c r="P2359" i="1"/>
  <c r="R2359" i="1" s="1"/>
  <c r="U2358" i="1"/>
  <c r="P2358" i="1"/>
  <c r="R2358" i="1" s="1"/>
  <c r="U2357" i="1"/>
  <c r="P2357" i="1"/>
  <c r="U2356" i="1"/>
  <c r="P2356" i="1"/>
  <c r="R2356" i="1" s="1"/>
  <c r="U2355" i="1"/>
  <c r="P2355" i="1"/>
  <c r="R2355" i="1" s="1"/>
  <c r="U2354" i="1"/>
  <c r="P2354" i="1"/>
  <c r="R2354" i="1" s="1"/>
  <c r="U2353" i="1"/>
  <c r="P2353" i="1"/>
  <c r="Q2353" i="1" s="1"/>
  <c r="U2352" i="1"/>
  <c r="P2352" i="1"/>
  <c r="R2352" i="1" s="1"/>
  <c r="U2351" i="1"/>
  <c r="P2351" i="1"/>
  <c r="R2351" i="1" s="1"/>
  <c r="U2350" i="1"/>
  <c r="P2350" i="1"/>
  <c r="U2349" i="1"/>
  <c r="P2349" i="1"/>
  <c r="R2349" i="1" s="1"/>
  <c r="U2348" i="1"/>
  <c r="P2348" i="1"/>
  <c r="R2348" i="1" s="1"/>
  <c r="U2347" i="1"/>
  <c r="P2347" i="1"/>
  <c r="Q2347" i="1" s="1"/>
  <c r="U2346" i="1"/>
  <c r="P2346" i="1"/>
  <c r="R2346" i="1" s="1"/>
  <c r="U2345" i="1"/>
  <c r="P2345" i="1"/>
  <c r="U2344" i="1"/>
  <c r="P2344" i="1"/>
  <c r="R2344" i="1" s="1"/>
  <c r="U2343" i="1"/>
  <c r="P2343" i="1"/>
  <c r="R2343" i="1" s="1"/>
  <c r="U2342" i="1"/>
  <c r="P2342" i="1"/>
  <c r="R2342" i="1" s="1"/>
  <c r="U2341" i="1"/>
  <c r="P2341" i="1"/>
  <c r="Q2341" i="1" s="1"/>
  <c r="U2340" i="1"/>
  <c r="P2340" i="1"/>
  <c r="R2340" i="1" s="1"/>
  <c r="U2339" i="1"/>
  <c r="P2339" i="1"/>
  <c r="R2339" i="1" s="1"/>
  <c r="U2338" i="1"/>
  <c r="P2338" i="1"/>
  <c r="U2337" i="1"/>
  <c r="P2337" i="1"/>
  <c r="R2337" i="1" s="1"/>
  <c r="U2336" i="1"/>
  <c r="P2336" i="1"/>
  <c r="R2336" i="1" s="1"/>
  <c r="U2335" i="1"/>
  <c r="P2335" i="1"/>
  <c r="R2335" i="1" s="1"/>
  <c r="U2334" i="1"/>
  <c r="P2334" i="1"/>
  <c r="Q2334" i="1" s="1"/>
  <c r="U2333" i="1"/>
  <c r="P2333" i="1"/>
  <c r="U2332" i="1"/>
  <c r="P2332" i="1"/>
  <c r="R2332" i="1" s="1"/>
  <c r="U2331" i="1"/>
  <c r="P2331" i="1"/>
  <c r="Q2331" i="1" s="1"/>
  <c r="U2330" i="1"/>
  <c r="P2330" i="1"/>
  <c r="U2329" i="1"/>
  <c r="P2329" i="1"/>
  <c r="R2329" i="1" s="1"/>
  <c r="U2328" i="1"/>
  <c r="P2328" i="1"/>
  <c r="R2328" i="1" s="1"/>
  <c r="U2327" i="1"/>
  <c r="P2327" i="1"/>
  <c r="R2327" i="1" s="1"/>
  <c r="U2326" i="1"/>
  <c r="P2326" i="1"/>
  <c r="Q2326" i="1" s="1"/>
  <c r="U2325" i="1"/>
  <c r="P2325" i="1"/>
  <c r="R2325" i="1" s="1"/>
  <c r="U2324" i="1"/>
  <c r="P2324" i="1"/>
  <c r="R2324" i="1" s="1"/>
  <c r="U2323" i="1"/>
  <c r="P2323" i="1"/>
  <c r="R2323" i="1" s="1"/>
  <c r="U2322" i="1"/>
  <c r="P2322" i="1"/>
  <c r="R2322" i="1" s="1"/>
  <c r="S2322" i="1" s="1"/>
  <c r="U2321" i="1"/>
  <c r="P2321" i="1"/>
  <c r="R2321" i="1" s="1"/>
  <c r="U2320" i="1"/>
  <c r="P2320" i="1"/>
  <c r="U2319" i="1"/>
  <c r="P2319" i="1"/>
  <c r="U2318" i="1"/>
  <c r="P2318" i="1"/>
  <c r="Q2318" i="1" s="1"/>
  <c r="U2317" i="1"/>
  <c r="P2317" i="1"/>
  <c r="R2317" i="1" s="1"/>
  <c r="U2316" i="1"/>
  <c r="P2316" i="1"/>
  <c r="R2316" i="1" s="1"/>
  <c r="U2315" i="1"/>
  <c r="P2315" i="1"/>
  <c r="Q2315" i="1" s="1"/>
  <c r="U2314" i="1"/>
  <c r="P2314" i="1"/>
  <c r="Q2314" i="1" s="1"/>
  <c r="U2313" i="1"/>
  <c r="P2313" i="1"/>
  <c r="R2313" i="1" s="1"/>
  <c r="U2312" i="1"/>
  <c r="P2312" i="1"/>
  <c r="Q2312" i="1" s="1"/>
  <c r="U2311" i="1"/>
  <c r="P2311" i="1"/>
  <c r="R2311" i="1" s="1"/>
  <c r="U2310" i="1"/>
  <c r="P2310" i="1"/>
  <c r="Q2310" i="1" s="1"/>
  <c r="U2309" i="1"/>
  <c r="P2309" i="1"/>
  <c r="U2308" i="1"/>
  <c r="P2308" i="1"/>
  <c r="R2308" i="1" s="1"/>
  <c r="U2307" i="1"/>
  <c r="P2307" i="1"/>
  <c r="Q2307" i="1" s="1"/>
  <c r="U2306" i="1"/>
  <c r="P2306" i="1"/>
  <c r="U2305" i="1"/>
  <c r="P2305" i="1"/>
  <c r="Q2305" i="1" s="1"/>
  <c r="U2304" i="1"/>
  <c r="P2304" i="1"/>
  <c r="R2304" i="1" s="1"/>
  <c r="U2303" i="1"/>
  <c r="P2303" i="1"/>
  <c r="R2303" i="1" s="1"/>
  <c r="U2302" i="1"/>
  <c r="P2302" i="1"/>
  <c r="Q2302" i="1" s="1"/>
  <c r="U2301" i="1"/>
  <c r="P2301" i="1"/>
  <c r="Q2301" i="1" s="1"/>
  <c r="U2300" i="1"/>
  <c r="P2300" i="1"/>
  <c r="R2300" i="1" s="1"/>
  <c r="U2299" i="1"/>
  <c r="P2299" i="1"/>
  <c r="Q2299" i="1" s="1"/>
  <c r="U2298" i="1"/>
  <c r="P2298" i="1"/>
  <c r="R2298" i="1" s="1"/>
  <c r="S2298" i="1" s="1"/>
  <c r="U2297" i="1"/>
  <c r="P2297" i="1"/>
  <c r="R2297" i="1" s="1"/>
  <c r="U2296" i="1"/>
  <c r="P2296" i="1"/>
  <c r="U2295" i="1"/>
  <c r="P2295" i="1"/>
  <c r="U2294" i="1"/>
  <c r="P2294" i="1"/>
  <c r="Q2294" i="1" s="1"/>
  <c r="U2293" i="1"/>
  <c r="P2293" i="1"/>
  <c r="U2292" i="1"/>
  <c r="P2292" i="1"/>
  <c r="R2292" i="1" s="1"/>
  <c r="U2291" i="1"/>
  <c r="P2291" i="1"/>
  <c r="Q2291" i="1" s="1"/>
  <c r="U2290" i="1"/>
  <c r="P2290" i="1"/>
  <c r="R2290" i="1" s="1"/>
  <c r="U2289" i="1"/>
  <c r="P2289" i="1"/>
  <c r="R2289" i="1" s="1"/>
  <c r="P2262" i="1"/>
  <c r="Q2262" i="1" s="1"/>
  <c r="U2262" i="1"/>
  <c r="P2263" i="1"/>
  <c r="Q2263" i="1" s="1"/>
  <c r="U2263" i="1"/>
  <c r="P2264" i="1"/>
  <c r="Q2264" i="1" s="1"/>
  <c r="U2264" i="1"/>
  <c r="P2265" i="1"/>
  <c r="Q2265" i="1" s="1"/>
  <c r="U2265" i="1"/>
  <c r="P2266" i="1"/>
  <c r="Q2266" i="1" s="1"/>
  <c r="U2266" i="1"/>
  <c r="P2267" i="1"/>
  <c r="Q2267" i="1" s="1"/>
  <c r="U2267" i="1"/>
  <c r="P2268" i="1"/>
  <c r="Q2268" i="1" s="1"/>
  <c r="U2268" i="1"/>
  <c r="P2269" i="1"/>
  <c r="R2269" i="1" s="1"/>
  <c r="U2269" i="1"/>
  <c r="P2270" i="1"/>
  <c r="Q2270" i="1" s="1"/>
  <c r="U2270" i="1"/>
  <c r="P2271" i="1"/>
  <c r="Q2271" i="1" s="1"/>
  <c r="U2271" i="1"/>
  <c r="P2272" i="1"/>
  <c r="Q2272" i="1" s="1"/>
  <c r="U2272" i="1"/>
  <c r="P2273" i="1"/>
  <c r="R2273" i="1" s="1"/>
  <c r="U2273" i="1"/>
  <c r="P2274" i="1"/>
  <c r="Q2274" i="1" s="1"/>
  <c r="U2274" i="1"/>
  <c r="P2275" i="1"/>
  <c r="Q2275" i="1" s="1"/>
  <c r="U2275" i="1"/>
  <c r="P2276" i="1"/>
  <c r="Q2276" i="1" s="1"/>
  <c r="U2276" i="1"/>
  <c r="P2277" i="1"/>
  <c r="Q2277" i="1" s="1"/>
  <c r="U2277" i="1"/>
  <c r="P2278" i="1"/>
  <c r="Q2278" i="1" s="1"/>
  <c r="U2278" i="1"/>
  <c r="P2279" i="1"/>
  <c r="Q2279" i="1" s="1"/>
  <c r="U2279" i="1"/>
  <c r="P2280" i="1"/>
  <c r="Q2280" i="1" s="1"/>
  <c r="U2280" i="1"/>
  <c r="P2281" i="1"/>
  <c r="Q2281" i="1" s="1"/>
  <c r="U2281" i="1"/>
  <c r="P2282" i="1"/>
  <c r="Q2282" i="1" s="1"/>
  <c r="U2282" i="1"/>
  <c r="P2283" i="1"/>
  <c r="R2283" i="1" s="1"/>
  <c r="U2283" i="1"/>
  <c r="P2284" i="1"/>
  <c r="Q2284" i="1" s="1"/>
  <c r="U2284" i="1"/>
  <c r="P2285" i="1"/>
  <c r="Q2285" i="1" s="1"/>
  <c r="U2285" i="1"/>
  <c r="P2286" i="1"/>
  <c r="Q2286" i="1" s="1"/>
  <c r="U2286" i="1"/>
  <c r="P2287" i="1"/>
  <c r="Q2287" i="1" s="1"/>
  <c r="U2287" i="1"/>
  <c r="P2288" i="1"/>
  <c r="Q2288" i="1" s="1"/>
  <c r="U2288" i="1"/>
  <c r="Z24" i="3"/>
  <c r="AA30" i="3"/>
  <c r="Z30" i="3"/>
  <c r="AA29" i="3"/>
  <c r="Z29" i="3"/>
  <c r="AA28" i="3"/>
  <c r="Z28" i="3"/>
  <c r="AA27" i="3"/>
  <c r="Z27" i="3"/>
  <c r="AA26" i="3"/>
  <c r="Z26" i="3"/>
  <c r="AA25" i="3"/>
  <c r="Z25" i="3"/>
  <c r="AA24" i="3"/>
  <c r="AA23" i="3"/>
  <c r="Z23" i="3"/>
  <c r="AA22" i="3"/>
  <c r="AA21" i="3"/>
  <c r="AA20" i="3"/>
  <c r="AA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AA7" i="3"/>
  <c r="Z7" i="3"/>
  <c r="AA6" i="3"/>
  <c r="Z6" i="3"/>
  <c r="AA5" i="3"/>
  <c r="Z5" i="3"/>
  <c r="AA4" i="3"/>
  <c r="Z4" i="3"/>
  <c r="AA3" i="3"/>
  <c r="Z3" i="3"/>
  <c r="AA2" i="3"/>
  <c r="Z2" i="3"/>
  <c r="T2426" i="1" l="1"/>
  <c r="T2474" i="1"/>
  <c r="T2522" i="1"/>
  <c r="T2336" i="1"/>
  <c r="T2342" i="1"/>
  <c r="T2354" i="1"/>
  <c r="T2366" i="1"/>
  <c r="T2372" i="1"/>
  <c r="T2378" i="1"/>
  <c r="T2458" i="1"/>
  <c r="R2444" i="1"/>
  <c r="T2444" i="1" s="1"/>
  <c r="Q2434" i="1"/>
  <c r="R2450" i="1"/>
  <c r="S2450" i="1" s="1"/>
  <c r="R2482" i="1"/>
  <c r="T2482" i="1" s="1"/>
  <c r="R2508" i="1"/>
  <c r="T2508" i="1" s="1"/>
  <c r="Q2498" i="1"/>
  <c r="T2292" i="1"/>
  <c r="T2304" i="1"/>
  <c r="T2328" i="1"/>
  <c r="R2460" i="1"/>
  <c r="T2460" i="1" s="1"/>
  <c r="T2506" i="1"/>
  <c r="T2434" i="1"/>
  <c r="T2498" i="1"/>
  <c r="Q2426" i="1"/>
  <c r="R2436" i="1"/>
  <c r="T2436" i="1" s="1"/>
  <c r="Q2474" i="1"/>
  <c r="R2484" i="1"/>
  <c r="T2484" i="1" s="1"/>
  <c r="R2416" i="1"/>
  <c r="T2416" i="1" s="1"/>
  <c r="R2410" i="1"/>
  <c r="T2410" i="1" s="1"/>
  <c r="Q2458" i="1"/>
  <c r="Q2506" i="1"/>
  <c r="R2420" i="1"/>
  <c r="T2420" i="1" s="1"/>
  <c r="R2468" i="1"/>
  <c r="T2468" i="1" s="1"/>
  <c r="R2516" i="1"/>
  <c r="Q2522" i="1"/>
  <c r="Q2401" i="1"/>
  <c r="R2492" i="1"/>
  <c r="T2492" i="1" s="1"/>
  <c r="T2418" i="1"/>
  <c r="S2418" i="1"/>
  <c r="T2466" i="1"/>
  <c r="S2466" i="1"/>
  <c r="T2524" i="1"/>
  <c r="S2524" i="1"/>
  <c r="T2408" i="1"/>
  <c r="S2408" i="1"/>
  <c r="T2424" i="1"/>
  <c r="S2424" i="1"/>
  <c r="T2456" i="1"/>
  <c r="S2456" i="1"/>
  <c r="T2472" i="1"/>
  <c r="S2472" i="1"/>
  <c r="T2504" i="1"/>
  <c r="S2504" i="1"/>
  <c r="T2414" i="1"/>
  <c r="S2414" i="1"/>
  <c r="T2440" i="1"/>
  <c r="S2440" i="1"/>
  <c r="T2488" i="1"/>
  <c r="S2488" i="1"/>
  <c r="T2520" i="1"/>
  <c r="S2520" i="1"/>
  <c r="T2442" i="1"/>
  <c r="S2442" i="1"/>
  <c r="T2490" i="1"/>
  <c r="S2490" i="1"/>
  <c r="T2432" i="1"/>
  <c r="S2432" i="1"/>
  <c r="T2480" i="1"/>
  <c r="S2480" i="1"/>
  <c r="T2430" i="1"/>
  <c r="S2430" i="1"/>
  <c r="T2494" i="1"/>
  <c r="S2494" i="1"/>
  <c r="T2464" i="1"/>
  <c r="S2464" i="1"/>
  <c r="T2512" i="1"/>
  <c r="S2512" i="1"/>
  <c r="T2528" i="1"/>
  <c r="S2528" i="1"/>
  <c r="T2446" i="1"/>
  <c r="S2446" i="1"/>
  <c r="T2462" i="1"/>
  <c r="S2462" i="1"/>
  <c r="T2406" i="1"/>
  <c r="S2406" i="1"/>
  <c r="T2422" i="1"/>
  <c r="S2422" i="1"/>
  <c r="T2454" i="1"/>
  <c r="S2454" i="1"/>
  <c r="T2470" i="1"/>
  <c r="S2470" i="1"/>
  <c r="T2502" i="1"/>
  <c r="S2502" i="1"/>
  <c r="T2526" i="1"/>
  <c r="S2526" i="1"/>
  <c r="S2404" i="1"/>
  <c r="T2404" i="1"/>
  <c r="T2500" i="1"/>
  <c r="S2500" i="1"/>
  <c r="T2412" i="1"/>
  <c r="S2412" i="1"/>
  <c r="T2438" i="1"/>
  <c r="S2438" i="1"/>
  <c r="T2486" i="1"/>
  <c r="S2486" i="1"/>
  <c r="T2518" i="1"/>
  <c r="S2518" i="1"/>
  <c r="T2478" i="1"/>
  <c r="S2478" i="1"/>
  <c r="T2510" i="1"/>
  <c r="S2510" i="1"/>
  <c r="T2428" i="1"/>
  <c r="S2428" i="1"/>
  <c r="T2476" i="1"/>
  <c r="S2476" i="1"/>
  <c r="Q2404" i="1"/>
  <c r="T2417" i="1"/>
  <c r="S2417" i="1"/>
  <c r="Q2424" i="1"/>
  <c r="T2465" i="1"/>
  <c r="S2465" i="1"/>
  <c r="Q2472" i="1"/>
  <c r="Q2520" i="1"/>
  <c r="S2434" i="1"/>
  <c r="Q2438" i="1"/>
  <c r="R2448" i="1"/>
  <c r="T2455" i="1"/>
  <c r="S2455" i="1"/>
  <c r="S2458" i="1"/>
  <c r="Q2462" i="1"/>
  <c r="T2479" i="1"/>
  <c r="S2479" i="1"/>
  <c r="Q2486" i="1"/>
  <c r="R2496" i="1"/>
  <c r="Q2510" i="1"/>
  <c r="T2421" i="1"/>
  <c r="S2421" i="1"/>
  <c r="Q2428" i="1"/>
  <c r="Q2476" i="1"/>
  <c r="T2493" i="1"/>
  <c r="S2493" i="1"/>
  <c r="Q2500" i="1"/>
  <c r="Q2524" i="1"/>
  <c r="Q2408" i="1"/>
  <c r="Q2418" i="1"/>
  <c r="T2435" i="1"/>
  <c r="S2435" i="1"/>
  <c r="Q2442" i="1"/>
  <c r="R2452" i="1"/>
  <c r="T2459" i="1"/>
  <c r="S2459" i="1"/>
  <c r="Q2466" i="1"/>
  <c r="T2483" i="1"/>
  <c r="S2483" i="1"/>
  <c r="Q2490" i="1"/>
  <c r="T2507" i="1"/>
  <c r="S2507" i="1"/>
  <c r="T2415" i="1"/>
  <c r="S2415" i="1"/>
  <c r="T2425" i="1"/>
  <c r="S2425" i="1"/>
  <c r="Q2432" i="1"/>
  <c r="T2449" i="1"/>
  <c r="S2449" i="1"/>
  <c r="Q2456" i="1"/>
  <c r="T2473" i="1"/>
  <c r="S2473" i="1"/>
  <c r="Q2480" i="1"/>
  <c r="T2497" i="1"/>
  <c r="S2497" i="1"/>
  <c r="Q2504" i="1"/>
  <c r="R2514" i="1"/>
  <c r="Q2528" i="1"/>
  <c r="T2405" i="1"/>
  <c r="S2405" i="1"/>
  <c r="Q2412" i="1"/>
  <c r="Q2422" i="1"/>
  <c r="T2439" i="1"/>
  <c r="S2439" i="1"/>
  <c r="Q2446" i="1"/>
  <c r="T2463" i="1"/>
  <c r="S2463" i="1"/>
  <c r="Q2470" i="1"/>
  <c r="T2487" i="1"/>
  <c r="S2487" i="1"/>
  <c r="Q2494" i="1"/>
  <c r="T2511" i="1"/>
  <c r="S2511" i="1"/>
  <c r="Q2518" i="1"/>
  <c r="T2429" i="1"/>
  <c r="S2429" i="1"/>
  <c r="T2453" i="1"/>
  <c r="S2453" i="1"/>
  <c r="T2477" i="1"/>
  <c r="S2477" i="1"/>
  <c r="T2501" i="1"/>
  <c r="S2501" i="1"/>
  <c r="T2525" i="1"/>
  <c r="S2525" i="1"/>
  <c r="T2503" i="1"/>
  <c r="S2503" i="1"/>
  <c r="S2506" i="1"/>
  <c r="T2411" i="1"/>
  <c r="S2411" i="1"/>
  <c r="T2445" i="1"/>
  <c r="S2445" i="1"/>
  <c r="T2469" i="1"/>
  <c r="S2469" i="1"/>
  <c r="T2521" i="1"/>
  <c r="S2521" i="1"/>
  <c r="T2409" i="1"/>
  <c r="S2409" i="1"/>
  <c r="T2419" i="1"/>
  <c r="S2419" i="1"/>
  <c r="T2443" i="1"/>
  <c r="S2443" i="1"/>
  <c r="T2467" i="1"/>
  <c r="S2467" i="1"/>
  <c r="T2491" i="1"/>
  <c r="S2491" i="1"/>
  <c r="T2515" i="1"/>
  <c r="S2515" i="1"/>
  <c r="T2427" i="1"/>
  <c r="S2427" i="1"/>
  <c r="T2451" i="1"/>
  <c r="S2451" i="1"/>
  <c r="T2475" i="1"/>
  <c r="S2475" i="1"/>
  <c r="T2499" i="1"/>
  <c r="S2499" i="1"/>
  <c r="T2523" i="1"/>
  <c r="S2523" i="1"/>
  <c r="Q2414" i="1"/>
  <c r="T2489" i="1"/>
  <c r="S2489" i="1"/>
  <c r="T2513" i="1"/>
  <c r="S2513" i="1"/>
  <c r="Q2406" i="1"/>
  <c r="T2433" i="1"/>
  <c r="S2433" i="1"/>
  <c r="Q2440" i="1"/>
  <c r="T2457" i="1"/>
  <c r="S2457" i="1"/>
  <c r="Q2464" i="1"/>
  <c r="T2481" i="1"/>
  <c r="S2481" i="1"/>
  <c r="Q2488" i="1"/>
  <c r="T2505" i="1"/>
  <c r="S2505" i="1"/>
  <c r="Q2512" i="1"/>
  <c r="T2407" i="1"/>
  <c r="S2407" i="1"/>
  <c r="T2441" i="1"/>
  <c r="S2441" i="1"/>
  <c r="T2431" i="1"/>
  <c r="S2431" i="1"/>
  <c r="T2527" i="1"/>
  <c r="S2527" i="1"/>
  <c r="T2517" i="1"/>
  <c r="S2517" i="1"/>
  <c r="T2413" i="1"/>
  <c r="S2413" i="1"/>
  <c r="T2423" i="1"/>
  <c r="S2423" i="1"/>
  <c r="S2426" i="1"/>
  <c r="Q2430" i="1"/>
  <c r="T2447" i="1"/>
  <c r="S2447" i="1"/>
  <c r="Q2454" i="1"/>
  <c r="T2471" i="1"/>
  <c r="S2471" i="1"/>
  <c r="S2474" i="1"/>
  <c r="Q2478" i="1"/>
  <c r="T2495" i="1"/>
  <c r="S2495" i="1"/>
  <c r="S2498" i="1"/>
  <c r="Q2502" i="1"/>
  <c r="T2519" i="1"/>
  <c r="S2519" i="1"/>
  <c r="S2522" i="1"/>
  <c r="Q2526" i="1"/>
  <c r="T2529" i="1"/>
  <c r="S2529" i="1"/>
  <c r="T2437" i="1"/>
  <c r="S2437" i="1"/>
  <c r="T2461" i="1"/>
  <c r="S2461" i="1"/>
  <c r="T2485" i="1"/>
  <c r="S2485" i="1"/>
  <c r="T2509" i="1"/>
  <c r="S2509" i="1"/>
  <c r="Q2405" i="1"/>
  <c r="Q2407" i="1"/>
  <c r="Q2409" i="1"/>
  <c r="Q2411" i="1"/>
  <c r="Q2413" i="1"/>
  <c r="Q2415" i="1"/>
  <c r="Q2417" i="1"/>
  <c r="Q2419" i="1"/>
  <c r="Q2421" i="1"/>
  <c r="Q2423" i="1"/>
  <c r="Q2425" i="1"/>
  <c r="Q2427" i="1"/>
  <c r="Q2429" i="1"/>
  <c r="Q2431" i="1"/>
  <c r="Q2433" i="1"/>
  <c r="Q2435" i="1"/>
  <c r="Q2437" i="1"/>
  <c r="Q2439" i="1"/>
  <c r="Q2441" i="1"/>
  <c r="Q2443" i="1"/>
  <c r="Q2445" i="1"/>
  <c r="Q2447" i="1"/>
  <c r="Q2449" i="1"/>
  <c r="Q2451" i="1"/>
  <c r="Q2453" i="1"/>
  <c r="Q2455" i="1"/>
  <c r="Q2457" i="1"/>
  <c r="Q2459" i="1"/>
  <c r="Q2461" i="1"/>
  <c r="Q2463" i="1"/>
  <c r="Q2465" i="1"/>
  <c r="Q2467" i="1"/>
  <c r="Q2469" i="1"/>
  <c r="Q2471" i="1"/>
  <c r="Q2473" i="1"/>
  <c r="Q2475" i="1"/>
  <c r="Q2477" i="1"/>
  <c r="Q2479" i="1"/>
  <c r="Q2481" i="1"/>
  <c r="Q2483" i="1"/>
  <c r="Q2485" i="1"/>
  <c r="Q2487" i="1"/>
  <c r="Q2489" i="1"/>
  <c r="Q2491" i="1"/>
  <c r="Q2493" i="1"/>
  <c r="Q2495" i="1"/>
  <c r="Q2497" i="1"/>
  <c r="Q2499" i="1"/>
  <c r="Q2501" i="1"/>
  <c r="Q2503" i="1"/>
  <c r="Q2505" i="1"/>
  <c r="Q2507" i="1"/>
  <c r="Q2509" i="1"/>
  <c r="Q2511" i="1"/>
  <c r="Q2513" i="1"/>
  <c r="Q2515" i="1"/>
  <c r="Q2517" i="1"/>
  <c r="Q2519" i="1"/>
  <c r="Q2521" i="1"/>
  <c r="Q2523" i="1"/>
  <c r="Q2525" i="1"/>
  <c r="Q2527" i="1"/>
  <c r="Q2529" i="1"/>
  <c r="Q2397" i="1"/>
  <c r="R2399" i="1"/>
  <c r="S2399" i="1" s="1"/>
  <c r="R2403" i="1"/>
  <c r="S2403" i="1" s="1"/>
  <c r="T2317" i="1"/>
  <c r="T2401" i="1"/>
  <c r="T2397" i="1"/>
  <c r="R2402" i="1"/>
  <c r="R2400" i="1"/>
  <c r="R2398" i="1"/>
  <c r="R2396" i="1"/>
  <c r="T2325" i="1"/>
  <c r="R2379" i="1"/>
  <c r="T2379" i="1" s="1"/>
  <c r="T2390" i="1"/>
  <c r="Q2335" i="1"/>
  <c r="R2318" i="1"/>
  <c r="S2318" i="1" s="1"/>
  <c r="R2347" i="1"/>
  <c r="S2347" i="1" s="1"/>
  <c r="Q2289" i="1"/>
  <c r="R2388" i="1"/>
  <c r="S2388" i="1" s="1"/>
  <c r="T2329" i="1"/>
  <c r="T2384" i="1"/>
  <c r="Q2391" i="1"/>
  <c r="T2298" i="1"/>
  <c r="R2315" i="1"/>
  <c r="T2315" i="1" s="1"/>
  <c r="S2354" i="1"/>
  <c r="Q2371" i="1"/>
  <c r="R2302" i="1"/>
  <c r="T2302" i="1" s="1"/>
  <c r="T2348" i="1"/>
  <c r="S2348" i="1"/>
  <c r="S2316" i="1"/>
  <c r="T2316" i="1"/>
  <c r="T2360" i="1"/>
  <c r="S2360" i="1"/>
  <c r="R2326" i="1"/>
  <c r="T2326" i="1" s="1"/>
  <c r="R2389" i="1"/>
  <c r="S2389" i="1" s="1"/>
  <c r="S2390" i="1"/>
  <c r="Q2292" i="1"/>
  <c r="R2305" i="1"/>
  <c r="S2317" i="1"/>
  <c r="Q2329" i="1"/>
  <c r="R2353" i="1"/>
  <c r="S2353" i="1" s="1"/>
  <c r="R2301" i="1"/>
  <c r="T2301" i="1" s="1"/>
  <c r="R2310" i="1"/>
  <c r="S2310" i="1" s="1"/>
  <c r="R2314" i="1"/>
  <c r="T2314" i="1" s="1"/>
  <c r="Q2322" i="1"/>
  <c r="Q2325" i="1"/>
  <c r="R2334" i="1"/>
  <c r="T2334" i="1" s="1"/>
  <c r="S2342" i="1"/>
  <c r="Q2395" i="1"/>
  <c r="T2322" i="1"/>
  <c r="Q2383" i="1"/>
  <c r="Q2323" i="1"/>
  <c r="Q2343" i="1"/>
  <c r="R2294" i="1"/>
  <c r="T2294" i="1" s="1"/>
  <c r="R2299" i="1"/>
  <c r="T2299" i="1" s="1"/>
  <c r="R2307" i="1"/>
  <c r="T2307" i="1" s="1"/>
  <c r="R2312" i="1"/>
  <c r="T2312" i="1" s="1"/>
  <c r="R2331" i="1"/>
  <c r="T2331" i="1" s="1"/>
  <c r="Q2340" i="1"/>
  <c r="Q2359" i="1"/>
  <c r="Q2367" i="1"/>
  <c r="Q2376" i="1"/>
  <c r="Q2384" i="1"/>
  <c r="Q2316" i="1"/>
  <c r="Q2348" i="1"/>
  <c r="Q2352" i="1"/>
  <c r="Q2355" i="1"/>
  <c r="Q2336" i="1"/>
  <c r="Q2372" i="1"/>
  <c r="R2291" i="1"/>
  <c r="T2291" i="1" s="1"/>
  <c r="Q2300" i="1"/>
  <c r="Q2313" i="1"/>
  <c r="Q2324" i="1"/>
  <c r="R2341" i="1"/>
  <c r="T2341" i="1" s="1"/>
  <c r="Q2360" i="1"/>
  <c r="Q2364" i="1"/>
  <c r="R2377" i="1"/>
  <c r="T2377" i="1" s="1"/>
  <c r="Q2356" i="1"/>
  <c r="R2382" i="1"/>
  <c r="T2382" i="1" s="1"/>
  <c r="T2290" i="1"/>
  <c r="S2290" i="1"/>
  <c r="T2303" i="1"/>
  <c r="S2303" i="1"/>
  <c r="T2327" i="1"/>
  <c r="S2327" i="1"/>
  <c r="T2394" i="1"/>
  <c r="S2394" i="1"/>
  <c r="T2346" i="1"/>
  <c r="S2346" i="1"/>
  <c r="T2365" i="1"/>
  <c r="S2365" i="1"/>
  <c r="T2370" i="1"/>
  <c r="S2370" i="1"/>
  <c r="T2358" i="1"/>
  <c r="S2358" i="1"/>
  <c r="T2297" i="1"/>
  <c r="S2297" i="1"/>
  <c r="R2309" i="1"/>
  <c r="Q2309" i="1"/>
  <c r="T2339" i="1"/>
  <c r="S2339" i="1"/>
  <c r="T2361" i="1"/>
  <c r="S2361" i="1"/>
  <c r="T2387" i="1"/>
  <c r="S2387" i="1"/>
  <c r="Q2297" i="1"/>
  <c r="T2300" i="1"/>
  <c r="S2300" i="1"/>
  <c r="Q2303" i="1"/>
  <c r="T2321" i="1"/>
  <c r="S2321" i="1"/>
  <c r="S2329" i="1"/>
  <c r="R2333" i="1"/>
  <c r="Q2333" i="1"/>
  <c r="Q2339" i="1"/>
  <c r="Q2346" i="1"/>
  <c r="T2368" i="1"/>
  <c r="S2368" i="1"/>
  <c r="T2371" i="1"/>
  <c r="S2371" i="1"/>
  <c r="R2381" i="1"/>
  <c r="Q2381" i="1"/>
  <c r="Q2387" i="1"/>
  <c r="Q2394" i="1"/>
  <c r="R2306" i="1"/>
  <c r="Q2306" i="1"/>
  <c r="Q2321" i="1"/>
  <c r="T2324" i="1"/>
  <c r="S2324" i="1"/>
  <c r="Q2327" i="1"/>
  <c r="T2352" i="1"/>
  <c r="S2352" i="1"/>
  <c r="T2355" i="1"/>
  <c r="S2355" i="1"/>
  <c r="R2362" i="1"/>
  <c r="Q2362" i="1"/>
  <c r="Q2365" i="1"/>
  <c r="Q2368" i="1"/>
  <c r="T2313" i="1"/>
  <c r="S2313" i="1"/>
  <c r="T2340" i="1"/>
  <c r="S2340" i="1"/>
  <c r="T2343" i="1"/>
  <c r="S2343" i="1"/>
  <c r="R2350" i="1"/>
  <c r="Q2350" i="1"/>
  <c r="T2391" i="1"/>
  <c r="S2391" i="1"/>
  <c r="T2308" i="1"/>
  <c r="S2308" i="1"/>
  <c r="R2320" i="1"/>
  <c r="Q2320" i="1"/>
  <c r="T2351" i="1"/>
  <c r="S2351" i="1"/>
  <c r="T2373" i="1"/>
  <c r="S2373" i="1"/>
  <c r="R2293" i="1"/>
  <c r="Q2293" i="1"/>
  <c r="Q2308" i="1"/>
  <c r="T2323" i="1"/>
  <c r="S2323" i="1"/>
  <c r="T2332" i="1"/>
  <c r="S2332" i="1"/>
  <c r="T2335" i="1"/>
  <c r="S2335" i="1"/>
  <c r="R2345" i="1"/>
  <c r="Q2345" i="1"/>
  <c r="Q2351" i="1"/>
  <c r="Q2358" i="1"/>
  <c r="T2380" i="1"/>
  <c r="S2380" i="1"/>
  <c r="T2383" i="1"/>
  <c r="S2383" i="1"/>
  <c r="R2393" i="1"/>
  <c r="Q2393" i="1"/>
  <c r="Q2332" i="1"/>
  <c r="T2364" i="1"/>
  <c r="S2364" i="1"/>
  <c r="T2367" i="1"/>
  <c r="S2367" i="1"/>
  <c r="R2374" i="1"/>
  <c r="Q2374" i="1"/>
  <c r="Q2380" i="1"/>
  <c r="R2330" i="1"/>
  <c r="Q2330" i="1"/>
  <c r="S2336" i="1"/>
  <c r="T2349" i="1"/>
  <c r="S2349" i="1"/>
  <c r="T2375" i="1"/>
  <c r="S2375" i="1"/>
  <c r="S2378" i="1"/>
  <c r="S2384" i="1"/>
  <c r="T2289" i="1"/>
  <c r="S2289" i="1"/>
  <c r="Q2298" i="1"/>
  <c r="T2356" i="1"/>
  <c r="S2356" i="1"/>
  <c r="T2359" i="1"/>
  <c r="S2359" i="1"/>
  <c r="R2369" i="1"/>
  <c r="Q2369" i="1"/>
  <c r="Q2375" i="1"/>
  <c r="R2295" i="1"/>
  <c r="Q2295" i="1"/>
  <c r="S2304" i="1"/>
  <c r="T2337" i="1"/>
  <c r="S2337" i="1"/>
  <c r="T2363" i="1"/>
  <c r="S2363" i="1"/>
  <c r="S2366" i="1"/>
  <c r="S2372" i="1"/>
  <c r="T2385" i="1"/>
  <c r="S2385" i="1"/>
  <c r="Q2290" i="1"/>
  <c r="S2292" i="1"/>
  <c r="T2311" i="1"/>
  <c r="S2311" i="1"/>
  <c r="R2319" i="1"/>
  <c r="Q2319" i="1"/>
  <c r="S2325" i="1"/>
  <c r="S2328" i="1"/>
  <c r="T2344" i="1"/>
  <c r="S2344" i="1"/>
  <c r="R2357" i="1"/>
  <c r="Q2357" i="1"/>
  <c r="Q2363" i="1"/>
  <c r="Q2370" i="1"/>
  <c r="T2392" i="1"/>
  <c r="S2392" i="1"/>
  <c r="T2395" i="1"/>
  <c r="S2395" i="1"/>
  <c r="R2296" i="1"/>
  <c r="Q2296" i="1"/>
  <c r="Q2311" i="1"/>
  <c r="R2338" i="1"/>
  <c r="Q2338" i="1"/>
  <c r="Q2344" i="1"/>
  <c r="T2376" i="1"/>
  <c r="S2376" i="1"/>
  <c r="R2386" i="1"/>
  <c r="Q2386" i="1"/>
  <c r="Q2392" i="1"/>
  <c r="Q2304" i="1"/>
  <c r="Q2317" i="1"/>
  <c r="Q2328" i="1"/>
  <c r="Q2337" i="1"/>
  <c r="Q2342" i="1"/>
  <c r="Q2349" i="1"/>
  <c r="Q2354" i="1"/>
  <c r="Q2361" i="1"/>
  <c r="Q2366" i="1"/>
  <c r="Q2373" i="1"/>
  <c r="Q2378" i="1"/>
  <c r="Q2385" i="1"/>
  <c r="Q2390" i="1"/>
  <c r="Q2269" i="1"/>
  <c r="Q2273" i="1"/>
  <c r="T2273" i="1"/>
  <c r="S2273" i="1"/>
  <c r="T2283" i="1"/>
  <c r="S2283" i="1"/>
  <c r="T2269" i="1"/>
  <c r="S2269" i="1"/>
  <c r="R2279" i="1"/>
  <c r="R2265" i="1"/>
  <c r="R2275" i="1"/>
  <c r="R2285" i="1"/>
  <c r="R2271" i="1"/>
  <c r="R2281" i="1"/>
  <c r="R2267" i="1"/>
  <c r="R2277" i="1"/>
  <c r="R2287" i="1"/>
  <c r="R2263" i="1"/>
  <c r="Q2283" i="1"/>
  <c r="R2288" i="1"/>
  <c r="R2286" i="1"/>
  <c r="R2284" i="1"/>
  <c r="R2282" i="1"/>
  <c r="R2280" i="1"/>
  <c r="R2278" i="1"/>
  <c r="R2276" i="1"/>
  <c r="R2274" i="1"/>
  <c r="R2272" i="1"/>
  <c r="R2270" i="1"/>
  <c r="R2268" i="1"/>
  <c r="R2266" i="1"/>
  <c r="R2264" i="1"/>
  <c r="R2262" i="1"/>
  <c r="U2261" i="1"/>
  <c r="U2260" i="1"/>
  <c r="U2259" i="1"/>
  <c r="U2258" i="1"/>
  <c r="U2257" i="1"/>
  <c r="P2257" i="1"/>
  <c r="Q2257" i="1" s="1"/>
  <c r="U2256" i="1"/>
  <c r="U2255" i="1"/>
  <c r="U2254" i="1"/>
  <c r="U2253" i="1"/>
  <c r="U2252" i="1"/>
  <c r="U2251" i="1"/>
  <c r="U2250" i="1"/>
  <c r="U2249" i="1"/>
  <c r="P2248" i="1"/>
  <c r="R2248" i="1" s="1"/>
  <c r="U2248" i="1"/>
  <c r="U2247" i="1"/>
  <c r="U2246" i="1"/>
  <c r="P2245" i="1"/>
  <c r="Q2245" i="1" s="1"/>
  <c r="U2245" i="1"/>
  <c r="U2244" i="1"/>
  <c r="U2243" i="1"/>
  <c r="U2242" i="1"/>
  <c r="U2241" i="1"/>
  <c r="AB19" i="3"/>
  <c r="S2492" i="1" l="1"/>
  <c r="S2436" i="1"/>
  <c r="S2444" i="1"/>
  <c r="S2482" i="1"/>
  <c r="S2484" i="1"/>
  <c r="S2508" i="1"/>
  <c r="T2450" i="1"/>
  <c r="S2379" i="1"/>
  <c r="S2468" i="1"/>
  <c r="S2420" i="1"/>
  <c r="T2399" i="1"/>
  <c r="S2460" i="1"/>
  <c r="T2516" i="1"/>
  <c r="S2516" i="1"/>
  <c r="S2416" i="1"/>
  <c r="S2410" i="1"/>
  <c r="T2448" i="1"/>
  <c r="S2448" i="1"/>
  <c r="T2514" i="1"/>
  <c r="S2514" i="1"/>
  <c r="T2452" i="1"/>
  <c r="S2452" i="1"/>
  <c r="T2496" i="1"/>
  <c r="S2496" i="1"/>
  <c r="T2403" i="1"/>
  <c r="S2396" i="1"/>
  <c r="T2396" i="1"/>
  <c r="T2398" i="1"/>
  <c r="S2398" i="1"/>
  <c r="T2400" i="1"/>
  <c r="S2400" i="1"/>
  <c r="T2402" i="1"/>
  <c r="S2402" i="1"/>
  <c r="T2347" i="1"/>
  <c r="T2353" i="1"/>
  <c r="S2326" i="1"/>
  <c r="S2315" i="1"/>
  <c r="S2307" i="1"/>
  <c r="T2388" i="1"/>
  <c r="S2331" i="1"/>
  <c r="T2318" i="1"/>
  <c r="S2294" i="1"/>
  <c r="S2301" i="1"/>
  <c r="S2382" i="1"/>
  <c r="S2302" i="1"/>
  <c r="S2299" i="1"/>
  <c r="T2389" i="1"/>
  <c r="T2310" i="1"/>
  <c r="S2377" i="1"/>
  <c r="T2305" i="1"/>
  <c r="S2305" i="1"/>
  <c r="S2334" i="1"/>
  <c r="S2341" i="1"/>
  <c r="S2291" i="1"/>
  <c r="S2314" i="1"/>
  <c r="S2312" i="1"/>
  <c r="T2296" i="1"/>
  <c r="S2296" i="1"/>
  <c r="T2350" i="1"/>
  <c r="S2350" i="1"/>
  <c r="T2374" i="1"/>
  <c r="S2374" i="1"/>
  <c r="T2320" i="1"/>
  <c r="S2320" i="1"/>
  <c r="T2381" i="1"/>
  <c r="S2381" i="1"/>
  <c r="T2369" i="1"/>
  <c r="S2369" i="1"/>
  <c r="T2338" i="1"/>
  <c r="S2338" i="1"/>
  <c r="S2330" i="1"/>
  <c r="T2330" i="1"/>
  <c r="T2393" i="1"/>
  <c r="S2393" i="1"/>
  <c r="S2306" i="1"/>
  <c r="T2306" i="1"/>
  <c r="T2362" i="1"/>
  <c r="S2362" i="1"/>
  <c r="T2386" i="1"/>
  <c r="S2386" i="1"/>
  <c r="T2295" i="1"/>
  <c r="S2295" i="1"/>
  <c r="T2319" i="1"/>
  <c r="S2319" i="1"/>
  <c r="T2293" i="1"/>
  <c r="S2293" i="1"/>
  <c r="T2345" i="1"/>
  <c r="S2345" i="1"/>
  <c r="T2309" i="1"/>
  <c r="S2309" i="1"/>
  <c r="T2357" i="1"/>
  <c r="S2357" i="1"/>
  <c r="T2333" i="1"/>
  <c r="S2333" i="1"/>
  <c r="T2285" i="1"/>
  <c r="S2285" i="1"/>
  <c r="T2263" i="1"/>
  <c r="S2263" i="1"/>
  <c r="T2281" i="1"/>
  <c r="S2281" i="1"/>
  <c r="T2275" i="1"/>
  <c r="S2275" i="1"/>
  <c r="T2265" i="1"/>
  <c r="S2265" i="1"/>
  <c r="T2279" i="1"/>
  <c r="S2279" i="1"/>
  <c r="T2287" i="1"/>
  <c r="S2287" i="1"/>
  <c r="T2271" i="1"/>
  <c r="S2271" i="1"/>
  <c r="T2277" i="1"/>
  <c r="S2277" i="1"/>
  <c r="T2267" i="1"/>
  <c r="S2267" i="1"/>
  <c r="S2262" i="1"/>
  <c r="T2262" i="1"/>
  <c r="S2286" i="1"/>
  <c r="T2286" i="1"/>
  <c r="T2264" i="1"/>
  <c r="S2264" i="1"/>
  <c r="T2288" i="1"/>
  <c r="S2288" i="1"/>
  <c r="T2266" i="1"/>
  <c r="S2266" i="1"/>
  <c r="T2268" i="1"/>
  <c r="S2268" i="1"/>
  <c r="S2270" i="1"/>
  <c r="T2270" i="1"/>
  <c r="T2272" i="1"/>
  <c r="S2272" i="1"/>
  <c r="S2274" i="1"/>
  <c r="T2274" i="1"/>
  <c r="T2276" i="1"/>
  <c r="S2276" i="1"/>
  <c r="S2278" i="1"/>
  <c r="T2278" i="1"/>
  <c r="T2280" i="1"/>
  <c r="S2280" i="1"/>
  <c r="S2282" i="1"/>
  <c r="T2282" i="1"/>
  <c r="T2284" i="1"/>
  <c r="S2284" i="1"/>
  <c r="T2248" i="1"/>
  <c r="P2259" i="1"/>
  <c r="Q2259" i="1" s="1"/>
  <c r="P2251" i="1"/>
  <c r="R2251" i="1" s="1"/>
  <c r="S2251" i="1" s="1"/>
  <c r="P2260" i="1"/>
  <c r="R2260" i="1" s="1"/>
  <c r="T2260" i="1" s="1"/>
  <c r="P2246" i="1"/>
  <c r="Q2246" i="1" s="1"/>
  <c r="P2247" i="1"/>
  <c r="Q2247" i="1" s="1"/>
  <c r="P2252" i="1"/>
  <c r="R2252" i="1" s="1"/>
  <c r="S2252" i="1" s="1"/>
  <c r="P2241" i="1"/>
  <c r="R2241" i="1" s="1"/>
  <c r="T2241" i="1" s="1"/>
  <c r="P2253" i="1"/>
  <c r="R2253" i="1" s="1"/>
  <c r="S2253" i="1" s="1"/>
  <c r="P2256" i="1"/>
  <c r="R2256" i="1" s="1"/>
  <c r="P2258" i="1"/>
  <c r="Q2258" i="1" s="1"/>
  <c r="P2244" i="1"/>
  <c r="Q2244" i="1" s="1"/>
  <c r="P2255" i="1"/>
  <c r="Q2255" i="1" s="1"/>
  <c r="P2243" i="1"/>
  <c r="Q2243" i="1" s="1"/>
  <c r="R2257" i="1"/>
  <c r="S2257" i="1" s="1"/>
  <c r="R2245" i="1"/>
  <c r="T2245" i="1" s="1"/>
  <c r="P2250" i="1"/>
  <c r="Q2248" i="1"/>
  <c r="S2248" i="1"/>
  <c r="P2242" i="1"/>
  <c r="P2249" i="1"/>
  <c r="P2254" i="1"/>
  <c r="P2261" i="1"/>
  <c r="AK30" i="3"/>
  <c r="AJ30" i="3"/>
  <c r="AK29" i="3"/>
  <c r="AJ29" i="3"/>
  <c r="AK28" i="3"/>
  <c r="AJ28" i="3"/>
  <c r="AK27" i="3"/>
  <c r="AJ27" i="3"/>
  <c r="AK26" i="3"/>
  <c r="AJ26" i="3"/>
  <c r="AK25" i="3"/>
  <c r="AJ25" i="3"/>
  <c r="AK24" i="3"/>
  <c r="AJ24" i="3"/>
  <c r="AK23" i="3"/>
  <c r="AJ23" i="3"/>
  <c r="AK22" i="3"/>
  <c r="AJ22" i="3"/>
  <c r="AK21" i="3"/>
  <c r="AJ21" i="3"/>
  <c r="AK20" i="3"/>
  <c r="AJ20" i="3"/>
  <c r="AK19" i="3"/>
  <c r="AK18" i="3"/>
  <c r="AJ18" i="3"/>
  <c r="AK17" i="3"/>
  <c r="AJ17" i="3"/>
  <c r="AK16" i="3"/>
  <c r="AJ16" i="3"/>
  <c r="AK15" i="3"/>
  <c r="AJ15" i="3"/>
  <c r="AK14" i="3"/>
  <c r="AJ14" i="3"/>
  <c r="AK13" i="3"/>
  <c r="AJ13" i="3"/>
  <c r="AK12" i="3"/>
  <c r="AJ12" i="3"/>
  <c r="AK11" i="3"/>
  <c r="AJ11" i="3"/>
  <c r="AK10" i="3"/>
  <c r="AJ10" i="3"/>
  <c r="AK9" i="3"/>
  <c r="AJ9" i="3"/>
  <c r="AK8" i="3"/>
  <c r="AJ8" i="3"/>
  <c r="AK7" i="3"/>
  <c r="AJ7" i="3"/>
  <c r="AK6" i="3"/>
  <c r="AJ6" i="3"/>
  <c r="AK5" i="3"/>
  <c r="AJ5" i="3"/>
  <c r="AK4" i="3"/>
  <c r="AJ4" i="3"/>
  <c r="AK3" i="3"/>
  <c r="AJ3" i="3"/>
  <c r="AK2" i="3"/>
  <c r="AJ2" i="3"/>
  <c r="AJ19" i="3"/>
  <c r="C30" i="3"/>
  <c r="C29" i="3"/>
  <c r="C28" i="3"/>
  <c r="C27" i="3"/>
  <c r="C26" i="3"/>
  <c r="C25" i="3"/>
  <c r="C24" i="3"/>
  <c r="C23" i="3"/>
  <c r="C22" i="3"/>
  <c r="C21" i="3"/>
  <c r="AB9" i="3"/>
  <c r="AB2" i="3"/>
  <c r="AD2" i="3" s="1"/>
  <c r="AC2" i="3"/>
  <c r="AE2" i="3" s="1"/>
  <c r="AB3" i="3"/>
  <c r="AC3" i="3"/>
  <c r="AB4" i="3"/>
  <c r="AD4" i="3" s="1"/>
  <c r="AC4" i="3"/>
  <c r="AE4" i="3" s="1"/>
  <c r="AB5" i="3"/>
  <c r="AD5" i="3" s="1"/>
  <c r="AC5" i="3"/>
  <c r="AE5" i="3" s="1"/>
  <c r="AB6" i="3"/>
  <c r="AD6" i="3" s="1"/>
  <c r="AC6" i="3"/>
  <c r="AE6" i="3" s="1"/>
  <c r="AB7" i="3"/>
  <c r="AD7" i="3" s="1"/>
  <c r="AC7" i="3"/>
  <c r="AE7" i="3" s="1"/>
  <c r="AB8" i="3"/>
  <c r="AD8" i="3" s="1"/>
  <c r="AC8" i="3"/>
  <c r="AE8" i="3" s="1"/>
  <c r="AC9" i="3"/>
  <c r="AB10" i="3"/>
  <c r="AD10" i="3" s="1"/>
  <c r="AC10" i="3"/>
  <c r="AE10" i="3" s="1"/>
  <c r="AB11" i="3"/>
  <c r="AD11" i="3" s="1"/>
  <c r="AC11" i="3"/>
  <c r="AE11" i="3" s="1"/>
  <c r="AB12" i="3"/>
  <c r="AD12" i="3" s="1"/>
  <c r="AC12" i="3"/>
  <c r="AE12" i="3" s="1"/>
  <c r="AB13" i="3"/>
  <c r="AD13" i="3" s="1"/>
  <c r="AC13" i="3"/>
  <c r="AE13" i="3" s="1"/>
  <c r="AB14" i="3"/>
  <c r="AD14" i="3" s="1"/>
  <c r="AC14" i="3"/>
  <c r="AE14" i="3" s="1"/>
  <c r="AB15" i="3"/>
  <c r="AC15" i="3"/>
  <c r="AB16" i="3"/>
  <c r="AD16" i="3" s="1"/>
  <c r="AC16" i="3"/>
  <c r="AE16" i="3" s="1"/>
  <c r="AB17" i="3"/>
  <c r="AD17" i="3" s="1"/>
  <c r="AC17" i="3"/>
  <c r="AE17" i="3" s="1"/>
  <c r="AB18" i="3"/>
  <c r="AD18" i="3" s="1"/>
  <c r="AC18" i="3"/>
  <c r="AE18" i="3" s="1"/>
  <c r="AD3" i="3"/>
  <c r="AE3" i="3"/>
  <c r="AD9" i="3"/>
  <c r="AE9" i="3"/>
  <c r="AD15" i="3"/>
  <c r="AE15" i="3"/>
  <c r="T2252" i="1" l="1"/>
  <c r="R2243" i="1"/>
  <c r="T2243" i="1" s="1"/>
  <c r="Q2252" i="1"/>
  <c r="S2245" i="1"/>
  <c r="S2260" i="1"/>
  <c r="R2247" i="1"/>
  <c r="T2247" i="1" s="1"/>
  <c r="T2251" i="1"/>
  <c r="R2246" i="1"/>
  <c r="T2246" i="1" s="1"/>
  <c r="R2255" i="1"/>
  <c r="T2255" i="1" s="1"/>
  <c r="T2257" i="1"/>
  <c r="R2258" i="1"/>
  <c r="S2258" i="1" s="1"/>
  <c r="R2259" i="1"/>
  <c r="T2259" i="1" s="1"/>
  <c r="S2241" i="1"/>
  <c r="T2253" i="1"/>
  <c r="Q2253" i="1"/>
  <c r="Q2251" i="1"/>
  <c r="Q2260" i="1"/>
  <c r="Q2241" i="1"/>
  <c r="Q2256" i="1"/>
  <c r="R2244" i="1"/>
  <c r="T2244" i="1" s="1"/>
  <c r="R2249" i="1"/>
  <c r="Q2249" i="1"/>
  <c r="Q2242" i="1"/>
  <c r="R2242" i="1"/>
  <c r="T2256" i="1"/>
  <c r="S2256" i="1"/>
  <c r="R2250" i="1"/>
  <c r="Q2250" i="1"/>
  <c r="R2261" i="1"/>
  <c r="Q2261" i="1"/>
  <c r="Q2254" i="1"/>
  <c r="R2254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P1868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S2243" i="1" l="1"/>
  <c r="T2258" i="1"/>
  <c r="S2255" i="1"/>
  <c r="S2246" i="1"/>
  <c r="S2247" i="1"/>
  <c r="S2244" i="1"/>
  <c r="S2259" i="1"/>
  <c r="T2261" i="1"/>
  <c r="S2261" i="1"/>
  <c r="T2250" i="1"/>
  <c r="S2250" i="1"/>
  <c r="S2254" i="1"/>
  <c r="T2254" i="1"/>
  <c r="S2242" i="1"/>
  <c r="T2242" i="1"/>
  <c r="T2249" i="1"/>
  <c r="S2249" i="1"/>
  <c r="P1871" i="1"/>
  <c r="Q1871" i="1" s="1"/>
  <c r="W13" i="4"/>
  <c r="P1950" i="1"/>
  <c r="Q1950" i="1" s="1"/>
  <c r="P2020" i="1"/>
  <c r="R2020" i="1" s="1"/>
  <c r="P2066" i="1"/>
  <c r="R2066" i="1" s="1"/>
  <c r="T2066" i="1" s="1"/>
  <c r="P2108" i="1"/>
  <c r="Q2108" i="1" s="1"/>
  <c r="P2138" i="1"/>
  <c r="Q2138" i="1" s="1"/>
  <c r="P1928" i="1"/>
  <c r="Q1928" i="1" s="1"/>
  <c r="P1862" i="1"/>
  <c r="R1862" i="1" s="1"/>
  <c r="S1862" i="1" s="1"/>
  <c r="P1874" i="1"/>
  <c r="Q1874" i="1" s="1"/>
  <c r="P2212" i="1"/>
  <c r="R2212" i="1" s="1"/>
  <c r="P1876" i="1"/>
  <c r="R1876" i="1" s="1"/>
  <c r="P1878" i="1"/>
  <c r="Q1878" i="1" s="1"/>
  <c r="P1881" i="1"/>
  <c r="R1881" i="1" s="1"/>
  <c r="T1881" i="1" s="1"/>
  <c r="S13" i="4"/>
  <c r="P1855" i="1"/>
  <c r="Q1855" i="1" s="1"/>
  <c r="P1867" i="1"/>
  <c r="R1867" i="1" s="1"/>
  <c r="T13" i="4"/>
  <c r="P1875" i="1"/>
  <c r="P1877" i="1"/>
  <c r="P1880" i="1"/>
  <c r="R1880" i="1" s="1"/>
  <c r="S1880" i="1" s="1"/>
  <c r="P1986" i="1"/>
  <c r="R1986" i="1" s="1"/>
  <c r="X13" i="4"/>
  <c r="P1864" i="1"/>
  <c r="R1864" i="1" s="1"/>
  <c r="S1864" i="1" s="1"/>
  <c r="P1861" i="1"/>
  <c r="Q1861" i="1" s="1"/>
  <c r="P1873" i="1"/>
  <c r="Q1873" i="1" s="1"/>
  <c r="P1882" i="1"/>
  <c r="R1882" i="1" s="1"/>
  <c r="P1883" i="1"/>
  <c r="Q1883" i="1" s="1"/>
  <c r="P1884" i="1"/>
  <c r="Q1884" i="1" s="1"/>
  <c r="P1885" i="1"/>
  <c r="R1885" i="1" s="1"/>
  <c r="P1886" i="1"/>
  <c r="P1888" i="1"/>
  <c r="P1889" i="1"/>
  <c r="P1890" i="1"/>
  <c r="P1892" i="1"/>
  <c r="R1892" i="1" s="1"/>
  <c r="T1892" i="1" s="1"/>
  <c r="P1893" i="1"/>
  <c r="R1893" i="1" s="1"/>
  <c r="T1893" i="1" s="1"/>
  <c r="P1894" i="1"/>
  <c r="Q1894" i="1" s="1"/>
  <c r="P1896" i="1"/>
  <c r="R1896" i="1" s="1"/>
  <c r="T1896" i="1" s="1"/>
  <c r="P1897" i="1"/>
  <c r="Q1897" i="1" s="1"/>
  <c r="P1898" i="1"/>
  <c r="Q1898" i="1" s="1"/>
  <c r="P1900" i="1"/>
  <c r="R1900" i="1" s="1"/>
  <c r="T1900" i="1" s="1"/>
  <c r="P1901" i="1"/>
  <c r="Q1901" i="1" s="1"/>
  <c r="P1902" i="1"/>
  <c r="P1904" i="1"/>
  <c r="R1904" i="1" s="1"/>
  <c r="P1905" i="1"/>
  <c r="P1906" i="1"/>
  <c r="P1907" i="1"/>
  <c r="R1907" i="1" s="1"/>
  <c r="S1907" i="1" s="1"/>
  <c r="P1908" i="1"/>
  <c r="R1908" i="1" s="1"/>
  <c r="P1909" i="1"/>
  <c r="R1909" i="1" s="1"/>
  <c r="S1909" i="1" s="1"/>
  <c r="P1911" i="1"/>
  <c r="Q1911" i="1" s="1"/>
  <c r="P1912" i="1"/>
  <c r="Q1912" i="1" s="1"/>
  <c r="P1913" i="1"/>
  <c r="R1913" i="1" s="1"/>
  <c r="P1915" i="1"/>
  <c r="R1915" i="1" s="1"/>
  <c r="T1915" i="1" s="1"/>
  <c r="P1916" i="1"/>
  <c r="P1917" i="1"/>
  <c r="R1917" i="1" s="1"/>
  <c r="T1917" i="1" s="1"/>
  <c r="P1918" i="1"/>
  <c r="Q1918" i="1" s="1"/>
  <c r="P1920" i="1"/>
  <c r="P1921" i="1"/>
  <c r="R1921" i="1" s="1"/>
  <c r="S1921" i="1" s="1"/>
  <c r="P1922" i="1"/>
  <c r="Q1922" i="1" s="1"/>
  <c r="P1923" i="1"/>
  <c r="R1923" i="1" s="1"/>
  <c r="T1923" i="1" s="1"/>
  <c r="P1924" i="1"/>
  <c r="Q1924" i="1" s="1"/>
  <c r="P1925" i="1"/>
  <c r="R1925" i="1" s="1"/>
  <c r="S1925" i="1" s="1"/>
  <c r="P1929" i="1"/>
  <c r="Q1929" i="1" s="1"/>
  <c r="P1930" i="1"/>
  <c r="Q1930" i="1" s="1"/>
  <c r="P1931" i="1"/>
  <c r="Q1931" i="1" s="1"/>
  <c r="P1932" i="1"/>
  <c r="Q1932" i="1" s="1"/>
  <c r="P1933" i="1"/>
  <c r="P1935" i="1"/>
  <c r="Q1935" i="1" s="1"/>
  <c r="P1936" i="1"/>
  <c r="P1937" i="1"/>
  <c r="R1937" i="1" s="1"/>
  <c r="P1939" i="1"/>
  <c r="Q1939" i="1" s="1"/>
  <c r="P1940" i="1"/>
  <c r="Q1940" i="1" s="1"/>
  <c r="P1941" i="1"/>
  <c r="Q1941" i="1" s="1"/>
  <c r="P1944" i="1"/>
  <c r="Q1944" i="1" s="1"/>
  <c r="P1945" i="1"/>
  <c r="R1945" i="1" s="1"/>
  <c r="T1945" i="1" s="1"/>
  <c r="P1948" i="1"/>
  <c r="Q1948" i="1" s="1"/>
  <c r="P1949" i="1"/>
  <c r="R1949" i="1" s="1"/>
  <c r="P1952" i="1"/>
  <c r="P1953" i="1"/>
  <c r="P1954" i="1"/>
  <c r="P1956" i="1"/>
  <c r="Q1956" i="1" s="1"/>
  <c r="P1957" i="1"/>
  <c r="P1958" i="1"/>
  <c r="Q1958" i="1" s="1"/>
  <c r="P1960" i="1"/>
  <c r="Q1960" i="1" s="1"/>
  <c r="P1961" i="1"/>
  <c r="R1961" i="1" s="1"/>
  <c r="T1961" i="1" s="1"/>
  <c r="P1962" i="1"/>
  <c r="Q1962" i="1" s="1"/>
  <c r="P1963" i="1"/>
  <c r="Q1963" i="1" s="1"/>
  <c r="P1964" i="1"/>
  <c r="Q1964" i="1" s="1"/>
  <c r="P1965" i="1"/>
  <c r="R1965" i="1" s="1"/>
  <c r="P1966" i="1"/>
  <c r="P1968" i="1"/>
  <c r="P1969" i="1"/>
  <c r="R1969" i="1" s="1"/>
  <c r="P1971" i="1"/>
  <c r="R1971" i="1" s="1"/>
  <c r="S1971" i="1" s="1"/>
  <c r="P1972" i="1"/>
  <c r="R1972" i="1" s="1"/>
  <c r="P1973" i="1"/>
  <c r="Q1973" i="1" s="1"/>
  <c r="P1974" i="1"/>
  <c r="Q1974" i="1" s="1"/>
  <c r="P1976" i="1"/>
  <c r="Q1976" i="1" s="1"/>
  <c r="P1977" i="1"/>
  <c r="Q1977" i="1" s="1"/>
  <c r="P1978" i="1"/>
  <c r="Q1978" i="1" s="1"/>
  <c r="P1980" i="1"/>
  <c r="Q1980" i="1" s="1"/>
  <c r="P1981" i="1"/>
  <c r="Q1981" i="1" s="1"/>
  <c r="P1982" i="1"/>
  <c r="Q1982" i="1" s="1"/>
  <c r="P1984" i="1"/>
  <c r="P1985" i="1"/>
  <c r="P1988" i="1"/>
  <c r="P1989" i="1"/>
  <c r="Q1989" i="1" s="1"/>
  <c r="P1991" i="1"/>
  <c r="Q1991" i="1" s="1"/>
  <c r="P1992" i="1"/>
  <c r="R1992" i="1" s="1"/>
  <c r="P1993" i="1"/>
  <c r="R1993" i="1" s="1"/>
  <c r="S1993" i="1" s="1"/>
  <c r="P1996" i="1"/>
  <c r="Q1996" i="1" s="1"/>
  <c r="P1997" i="1"/>
  <c r="R1997" i="1" s="1"/>
  <c r="T1997" i="1" s="1"/>
  <c r="P2000" i="1"/>
  <c r="Q2000" i="1" s="1"/>
  <c r="P2001" i="1"/>
  <c r="R2001" i="1" s="1"/>
  <c r="T2001" i="1" s="1"/>
  <c r="P2002" i="1"/>
  <c r="R2002" i="1" s="1"/>
  <c r="P2004" i="1"/>
  <c r="P2005" i="1"/>
  <c r="P2006" i="1"/>
  <c r="R2006" i="1" s="1"/>
  <c r="P2007" i="1"/>
  <c r="P2008" i="1"/>
  <c r="Q2008" i="1" s="1"/>
  <c r="P2009" i="1"/>
  <c r="R2009" i="1" s="1"/>
  <c r="T2009" i="1" s="1"/>
  <c r="P2010" i="1"/>
  <c r="R2010" i="1" s="1"/>
  <c r="S2010" i="1" s="1"/>
  <c r="P2012" i="1"/>
  <c r="R2012" i="1" s="1"/>
  <c r="T2012" i="1" s="1"/>
  <c r="P2013" i="1"/>
  <c r="Q2013" i="1" s="1"/>
  <c r="P2016" i="1"/>
  <c r="R2016" i="1" s="1"/>
  <c r="S2016" i="1" s="1"/>
  <c r="P2017" i="1"/>
  <c r="Q2017" i="1" s="1"/>
  <c r="P2018" i="1"/>
  <c r="R2018" i="1" s="1"/>
  <c r="P2019" i="1"/>
  <c r="P2021" i="1"/>
  <c r="P2024" i="1"/>
  <c r="Q2024" i="1" s="1"/>
  <c r="P2025" i="1"/>
  <c r="Q2025" i="1" s="1"/>
  <c r="P2026" i="1"/>
  <c r="R2026" i="1" s="1"/>
  <c r="P2028" i="1"/>
  <c r="R2028" i="1" s="1"/>
  <c r="P2029" i="1"/>
  <c r="Q2029" i="1" s="1"/>
  <c r="P2032" i="1"/>
  <c r="R2032" i="1" s="1"/>
  <c r="S2032" i="1" s="1"/>
  <c r="P2033" i="1"/>
  <c r="R2033" i="1" s="1"/>
  <c r="T2033" i="1" s="1"/>
  <c r="P2036" i="1"/>
  <c r="R2036" i="1" s="1"/>
  <c r="T2036" i="1" s="1"/>
  <c r="P2037" i="1"/>
  <c r="Q2037" i="1" s="1"/>
  <c r="P2040" i="1"/>
  <c r="P2041" i="1"/>
  <c r="Q2041" i="1" s="1"/>
  <c r="P2044" i="1"/>
  <c r="R2044" i="1" s="1"/>
  <c r="P2045" i="1"/>
  <c r="P2048" i="1"/>
  <c r="P2049" i="1"/>
  <c r="R2049" i="1" s="1"/>
  <c r="P2050" i="1"/>
  <c r="R2050" i="1" s="1"/>
  <c r="P2052" i="1"/>
  <c r="R2052" i="1" s="1"/>
  <c r="S2052" i="1" s="1"/>
  <c r="P2053" i="1"/>
  <c r="Q2053" i="1" s="1"/>
  <c r="P2054" i="1"/>
  <c r="R2054" i="1" s="1"/>
  <c r="P2055" i="1"/>
  <c r="R2055" i="1" s="1"/>
  <c r="T2055" i="1" s="1"/>
  <c r="P2056" i="1"/>
  <c r="R2056" i="1" s="1"/>
  <c r="S2056" i="1" s="1"/>
  <c r="P2057" i="1"/>
  <c r="R2057" i="1" s="1"/>
  <c r="T2057" i="1" s="1"/>
  <c r="P2059" i="1"/>
  <c r="P2060" i="1"/>
  <c r="R2060" i="1" s="1"/>
  <c r="P2061" i="1"/>
  <c r="Q2061" i="1" s="1"/>
  <c r="P2063" i="1"/>
  <c r="Q2063" i="1" s="1"/>
  <c r="P2064" i="1"/>
  <c r="Q2064" i="1" s="1"/>
  <c r="P2065" i="1"/>
  <c r="R2065" i="1" s="1"/>
  <c r="S2065" i="1" s="1"/>
  <c r="P2068" i="1"/>
  <c r="R2068" i="1" s="1"/>
  <c r="P2069" i="1"/>
  <c r="R2069" i="1" s="1"/>
  <c r="S2069" i="1" s="1"/>
  <c r="P2070" i="1"/>
  <c r="R2070" i="1" s="1"/>
  <c r="S2070" i="1" s="1"/>
  <c r="P2072" i="1"/>
  <c r="R2072" i="1" s="1"/>
  <c r="P2073" i="1"/>
  <c r="Q2073" i="1" s="1"/>
  <c r="P2074" i="1"/>
  <c r="P2076" i="1"/>
  <c r="Q2076" i="1" s="1"/>
  <c r="P2077" i="1"/>
  <c r="P2078" i="1"/>
  <c r="Q2078" i="1" s="1"/>
  <c r="P2079" i="1"/>
  <c r="P2080" i="1"/>
  <c r="Q2080" i="1" s="1"/>
  <c r="P2081" i="1"/>
  <c r="R2081" i="1" s="1"/>
  <c r="S2081" i="1" s="1"/>
  <c r="P2084" i="1"/>
  <c r="R2084" i="1" s="1"/>
  <c r="P2085" i="1"/>
  <c r="Q2085" i="1" s="1"/>
  <c r="P2088" i="1"/>
  <c r="Q2088" i="1" s="1"/>
  <c r="P2089" i="1"/>
  <c r="Q2089" i="1" s="1"/>
  <c r="P2092" i="1"/>
  <c r="Q2092" i="1" s="1"/>
  <c r="P2093" i="1"/>
  <c r="R2093" i="1" s="1"/>
  <c r="S2093" i="1" s="1"/>
  <c r="P2096" i="1"/>
  <c r="Q2096" i="1" s="1"/>
  <c r="P2097" i="1"/>
  <c r="R2097" i="1" s="1"/>
  <c r="P2098" i="1"/>
  <c r="P2100" i="1"/>
  <c r="P2101" i="1"/>
  <c r="R2101" i="1" s="1"/>
  <c r="P2104" i="1"/>
  <c r="R2104" i="1" s="1"/>
  <c r="S2104" i="1" s="1"/>
  <c r="P2105" i="1"/>
  <c r="Q2105" i="1" s="1"/>
  <c r="P2106" i="1"/>
  <c r="Q2106" i="1" s="1"/>
  <c r="P2107" i="1"/>
  <c r="Q2107" i="1" s="1"/>
  <c r="P2109" i="1"/>
  <c r="Q2109" i="1" s="1"/>
  <c r="P2112" i="1"/>
  <c r="R2112" i="1" s="1"/>
  <c r="P2113" i="1"/>
  <c r="P2116" i="1"/>
  <c r="Q2116" i="1" s="1"/>
  <c r="P2117" i="1"/>
  <c r="Q2117" i="1" s="1"/>
  <c r="P2120" i="1"/>
  <c r="R2120" i="1" s="1"/>
  <c r="S2120" i="1" s="1"/>
  <c r="P2121" i="1"/>
  <c r="P2122" i="1"/>
  <c r="Q2122" i="1" s="1"/>
  <c r="P2124" i="1"/>
  <c r="Q2124" i="1" s="1"/>
  <c r="P2125" i="1"/>
  <c r="Q2125" i="1" s="1"/>
  <c r="P2126" i="1"/>
  <c r="Q2126" i="1" s="1"/>
  <c r="P2127" i="1"/>
  <c r="R2127" i="1" s="1"/>
  <c r="S2127" i="1" s="1"/>
  <c r="P2128" i="1"/>
  <c r="Q2128" i="1" s="1"/>
  <c r="P2129" i="1"/>
  <c r="R2129" i="1" s="1"/>
  <c r="P2132" i="1"/>
  <c r="Q2132" i="1" s="1"/>
  <c r="P2133" i="1"/>
  <c r="P2136" i="1"/>
  <c r="P2137" i="1"/>
  <c r="P2140" i="1"/>
  <c r="P2141" i="1"/>
  <c r="R2141" i="1" s="1"/>
  <c r="P2144" i="1"/>
  <c r="R2144" i="1" s="1"/>
  <c r="T2144" i="1" s="1"/>
  <c r="P2145" i="1"/>
  <c r="R2145" i="1" s="1"/>
  <c r="S2145" i="1" s="1"/>
  <c r="P2146" i="1"/>
  <c r="Q2146" i="1" s="1"/>
  <c r="P2148" i="1"/>
  <c r="R2148" i="1" s="1"/>
  <c r="P2149" i="1"/>
  <c r="Q2149" i="1" s="1"/>
  <c r="P2150" i="1"/>
  <c r="Q2150" i="1" s="1"/>
  <c r="P2151" i="1"/>
  <c r="P2152" i="1"/>
  <c r="Q2152" i="1" s="1"/>
  <c r="P2153" i="1"/>
  <c r="P2156" i="1"/>
  <c r="Q2156" i="1" s="1"/>
  <c r="P2157" i="1"/>
  <c r="P2159" i="1"/>
  <c r="R2159" i="1" s="1"/>
  <c r="P2160" i="1"/>
  <c r="R2160" i="1" s="1"/>
  <c r="T2160" i="1" s="1"/>
  <c r="P2161" i="1"/>
  <c r="Q2161" i="1" s="1"/>
  <c r="P2164" i="1"/>
  <c r="Q2164" i="1" s="1"/>
  <c r="P2165" i="1"/>
  <c r="Q2165" i="1" s="1"/>
  <c r="P2168" i="1"/>
  <c r="Q2168" i="1" s="1"/>
  <c r="P2169" i="1"/>
  <c r="R2169" i="1" s="1"/>
  <c r="P2170" i="1"/>
  <c r="P2172" i="1"/>
  <c r="P2173" i="1"/>
  <c r="Q2173" i="1" s="1"/>
  <c r="P2174" i="1"/>
  <c r="P2175" i="1"/>
  <c r="Q2175" i="1" s="1"/>
  <c r="P2176" i="1"/>
  <c r="Q2176" i="1" s="1"/>
  <c r="P2177" i="1"/>
  <c r="R2177" i="1" s="1"/>
  <c r="P2180" i="1"/>
  <c r="Q2180" i="1" s="1"/>
  <c r="P2181" i="1"/>
  <c r="Q2181" i="1" s="1"/>
  <c r="P2182" i="1"/>
  <c r="Q2182" i="1" s="1"/>
  <c r="P2183" i="1"/>
  <c r="R2183" i="1" s="1"/>
  <c r="T2183" i="1" s="1"/>
  <c r="P2184" i="1"/>
  <c r="Q2184" i="1" s="1"/>
  <c r="P2185" i="1"/>
  <c r="R2185" i="1" s="1"/>
  <c r="S2185" i="1" s="1"/>
  <c r="P2186" i="1"/>
  <c r="Q2186" i="1" s="1"/>
  <c r="P2188" i="1"/>
  <c r="P2189" i="1"/>
  <c r="R2189" i="1" s="1"/>
  <c r="P2190" i="1"/>
  <c r="Q2190" i="1" s="1"/>
  <c r="P2192" i="1"/>
  <c r="Q2192" i="1" s="1"/>
  <c r="P2193" i="1"/>
  <c r="R2193" i="1" s="1"/>
  <c r="T2193" i="1" s="1"/>
  <c r="P2196" i="1"/>
  <c r="R2196" i="1" s="1"/>
  <c r="S2196" i="1" s="1"/>
  <c r="P2197" i="1"/>
  <c r="R2197" i="1" s="1"/>
  <c r="P2200" i="1"/>
  <c r="Q2200" i="1" s="1"/>
  <c r="P2201" i="1"/>
  <c r="R2201" i="1" s="1"/>
  <c r="P2204" i="1"/>
  <c r="Q2204" i="1" s="1"/>
  <c r="P2205" i="1"/>
  <c r="R2205" i="1" s="1"/>
  <c r="T2205" i="1" s="1"/>
  <c r="P2206" i="1"/>
  <c r="Q2206" i="1" s="1"/>
  <c r="P2207" i="1"/>
  <c r="R2207" i="1" s="1"/>
  <c r="P2208" i="1"/>
  <c r="P2209" i="1"/>
  <c r="R2209" i="1" s="1"/>
  <c r="S2209" i="1" s="1"/>
  <c r="P2210" i="1"/>
  <c r="Q2210" i="1" s="1"/>
  <c r="P2213" i="1"/>
  <c r="Q2213" i="1" s="1"/>
  <c r="P2216" i="1"/>
  <c r="Q2216" i="1" s="1"/>
  <c r="P2217" i="1"/>
  <c r="Q2217" i="1" s="1"/>
  <c r="P2219" i="1"/>
  <c r="Q2219" i="1" s="1"/>
  <c r="P2220" i="1"/>
  <c r="R2220" i="1" s="1"/>
  <c r="P2221" i="1"/>
  <c r="Q2221" i="1" s="1"/>
  <c r="P2223" i="1"/>
  <c r="P2224" i="1"/>
  <c r="Q2224" i="1" s="1"/>
  <c r="P2225" i="1"/>
  <c r="P2226" i="1"/>
  <c r="Q2226" i="1" s="1"/>
  <c r="P2227" i="1"/>
  <c r="R2227" i="1" s="1"/>
  <c r="S2227" i="1" s="1"/>
  <c r="P2228" i="1"/>
  <c r="Q2228" i="1" s="1"/>
  <c r="P2229" i="1"/>
  <c r="Q2229" i="1" s="1"/>
  <c r="P2231" i="1"/>
  <c r="R2231" i="1" s="1"/>
  <c r="T2231" i="1" s="1"/>
  <c r="P2232" i="1"/>
  <c r="Q2232" i="1" s="1"/>
  <c r="P2233" i="1"/>
  <c r="Q2233" i="1" s="1"/>
  <c r="P2236" i="1"/>
  <c r="Q2236" i="1" s="1"/>
  <c r="P2237" i="1"/>
  <c r="Q2237" i="1" s="1"/>
  <c r="P2240" i="1"/>
  <c r="R2240" i="1" s="1"/>
  <c r="T2240" i="1" s="1"/>
  <c r="U13" i="4"/>
  <c r="P1865" i="1"/>
  <c r="Q1865" i="1" s="1"/>
  <c r="P1857" i="1"/>
  <c r="Q1857" i="1" s="1"/>
  <c r="P1869" i="1"/>
  <c r="Q1869" i="1" s="1"/>
  <c r="P1858" i="1"/>
  <c r="Q1858" i="1" s="1"/>
  <c r="P1870" i="1"/>
  <c r="R1870" i="1" s="1"/>
  <c r="T1870" i="1" s="1"/>
  <c r="P1879" i="1"/>
  <c r="Q1879" i="1" s="1"/>
  <c r="P1891" i="1"/>
  <c r="R1891" i="1" s="1"/>
  <c r="T1891" i="1" s="1"/>
  <c r="P1934" i="1"/>
  <c r="Q1934" i="1" s="1"/>
  <c r="P1959" i="1"/>
  <c r="R1959" i="1" s="1"/>
  <c r="T1959" i="1" s="1"/>
  <c r="P1990" i="1"/>
  <c r="Q1990" i="1" s="1"/>
  <c r="P1995" i="1"/>
  <c r="R1995" i="1" s="1"/>
  <c r="P2003" i="1"/>
  <c r="Q2003" i="1" s="1"/>
  <c r="P2014" i="1"/>
  <c r="P2022" i="1"/>
  <c r="Q2022" i="1" s="1"/>
  <c r="P2031" i="1"/>
  <c r="R2031" i="1" s="1"/>
  <c r="T2031" i="1" s="1"/>
  <c r="P2039" i="1"/>
  <c r="Q2039" i="1" s="1"/>
  <c r="P2046" i="1"/>
  <c r="Q2046" i="1" s="1"/>
  <c r="P2075" i="1"/>
  <c r="R2075" i="1" s="1"/>
  <c r="S2075" i="1" s="1"/>
  <c r="P2083" i="1"/>
  <c r="R2083" i="1" s="1"/>
  <c r="P2102" i="1"/>
  <c r="Q2102" i="1" s="1"/>
  <c r="P2110" i="1"/>
  <c r="Q2110" i="1" s="1"/>
  <c r="P2115" i="1"/>
  <c r="Q2115" i="1" s="1"/>
  <c r="P2118" i="1"/>
  <c r="Q2118" i="1" s="1"/>
  <c r="P2131" i="1"/>
  <c r="P2154" i="1"/>
  <c r="Q2154" i="1" s="1"/>
  <c r="P2155" i="1"/>
  <c r="P2166" i="1"/>
  <c r="Q2166" i="1" s="1"/>
  <c r="P2171" i="1"/>
  <c r="Q2171" i="1" s="1"/>
  <c r="P2178" i="1"/>
  <c r="Q2178" i="1" s="1"/>
  <c r="P2179" i="1"/>
  <c r="R2179" i="1" s="1"/>
  <c r="T2179" i="1" s="1"/>
  <c r="P2187" i="1"/>
  <c r="R2187" i="1" s="1"/>
  <c r="P2211" i="1"/>
  <c r="Q2211" i="1" s="1"/>
  <c r="P2214" i="1"/>
  <c r="Q2214" i="1" s="1"/>
  <c r="P2222" i="1"/>
  <c r="Q2222" i="1" s="1"/>
  <c r="P2235" i="1"/>
  <c r="Q2235" i="1" s="1"/>
  <c r="P2238" i="1"/>
  <c r="Q2238" i="1" s="1"/>
  <c r="P1854" i="1"/>
  <c r="P1859" i="1"/>
  <c r="R1859" i="1" s="1"/>
  <c r="V13" i="4"/>
  <c r="P1853" i="1"/>
  <c r="Q1853" i="1" s="1"/>
  <c r="P1866" i="1"/>
  <c r="Q1866" i="1" s="1"/>
  <c r="P1856" i="1"/>
  <c r="Q1856" i="1" s="1"/>
  <c r="P1860" i="1"/>
  <c r="Q1860" i="1" s="1"/>
  <c r="P1872" i="1"/>
  <c r="R1872" i="1" s="1"/>
  <c r="T1872" i="1" s="1"/>
  <c r="P1887" i="1"/>
  <c r="P1895" i="1"/>
  <c r="P1899" i="1"/>
  <c r="R1899" i="1" s="1"/>
  <c r="T1899" i="1" s="1"/>
  <c r="P1919" i="1"/>
  <c r="P1927" i="1"/>
  <c r="P1955" i="1"/>
  <c r="P1975" i="1"/>
  <c r="P2023" i="1"/>
  <c r="P2035" i="1"/>
  <c r="P2051" i="1"/>
  <c r="P2095" i="1"/>
  <c r="P2123" i="1"/>
  <c r="P2135" i="1"/>
  <c r="R2135" i="1" s="1"/>
  <c r="P2143" i="1"/>
  <c r="R2143" i="1" s="1"/>
  <c r="P2167" i="1"/>
  <c r="P2195" i="1"/>
  <c r="P1943" i="1"/>
  <c r="P1951" i="1"/>
  <c r="R1951" i="1" s="1"/>
  <c r="S1951" i="1" s="1"/>
  <c r="P1967" i="1"/>
  <c r="Q1967" i="1" s="1"/>
  <c r="P1979" i="1"/>
  <c r="P1987" i="1"/>
  <c r="Q1987" i="1" s="1"/>
  <c r="P1999" i="1"/>
  <c r="Q1999" i="1" s="1"/>
  <c r="P2015" i="1"/>
  <c r="P2027" i="1"/>
  <c r="P2047" i="1"/>
  <c r="P2067" i="1"/>
  <c r="P2087" i="1"/>
  <c r="P2091" i="1"/>
  <c r="P2103" i="1"/>
  <c r="P2111" i="1"/>
  <c r="P2139" i="1"/>
  <c r="P2191" i="1"/>
  <c r="R2191" i="1" s="1"/>
  <c r="T2191" i="1" s="1"/>
  <c r="P2199" i="1"/>
  <c r="P2203" i="1"/>
  <c r="P2239" i="1"/>
  <c r="Q2239" i="1" s="1"/>
  <c r="R1868" i="1"/>
  <c r="T1868" i="1" s="1"/>
  <c r="Q1868" i="1"/>
  <c r="P1863" i="1"/>
  <c r="P1903" i="1"/>
  <c r="R1903" i="1" s="1"/>
  <c r="P1947" i="1"/>
  <c r="P1983" i="1"/>
  <c r="Q1983" i="1" s="1"/>
  <c r="P2011" i="1"/>
  <c r="P2043" i="1"/>
  <c r="R2043" i="1" s="1"/>
  <c r="P2071" i="1"/>
  <c r="P2099" i="1"/>
  <c r="P2119" i="1"/>
  <c r="R2119" i="1" s="1"/>
  <c r="P2147" i="1"/>
  <c r="P2163" i="1"/>
  <c r="P2215" i="1"/>
  <c r="P1910" i="1"/>
  <c r="R1910" i="1" s="1"/>
  <c r="S1910" i="1" s="1"/>
  <c r="P1914" i="1"/>
  <c r="R1914" i="1" s="1"/>
  <c r="P1926" i="1"/>
  <c r="P1938" i="1"/>
  <c r="P1942" i="1"/>
  <c r="Q1942" i="1" s="1"/>
  <c r="P1946" i="1"/>
  <c r="P1970" i="1"/>
  <c r="P1994" i="1"/>
  <c r="P1998" i="1"/>
  <c r="Q1998" i="1" s="1"/>
  <c r="P2030" i="1"/>
  <c r="R2030" i="1" s="1"/>
  <c r="P2034" i="1"/>
  <c r="P2038" i="1"/>
  <c r="R2038" i="1" s="1"/>
  <c r="P2082" i="1"/>
  <c r="P2086" i="1"/>
  <c r="R2086" i="1" s="1"/>
  <c r="P2114" i="1"/>
  <c r="Q2114" i="1" s="1"/>
  <c r="P2134" i="1"/>
  <c r="P2158" i="1"/>
  <c r="P2162" i="1"/>
  <c r="Q2162" i="1" s="1"/>
  <c r="P2198" i="1"/>
  <c r="R2198" i="1" s="1"/>
  <c r="P2230" i="1"/>
  <c r="P2234" i="1"/>
  <c r="Q2234" i="1" s="1"/>
  <c r="P2094" i="1"/>
  <c r="R2094" i="1" s="1"/>
  <c r="P2042" i="1"/>
  <c r="R2042" i="1" s="1"/>
  <c r="T2042" i="1" s="1"/>
  <c r="P2058" i="1"/>
  <c r="P2062" i="1"/>
  <c r="P2090" i="1"/>
  <c r="Q2090" i="1" s="1"/>
  <c r="P2130" i="1"/>
  <c r="P2142" i="1"/>
  <c r="R2142" i="1" s="1"/>
  <c r="P2194" i="1"/>
  <c r="Q2194" i="1" s="1"/>
  <c r="P2202" i="1"/>
  <c r="Q2202" i="1" s="1"/>
  <c r="P2218" i="1"/>
  <c r="Q2218" i="1" s="1"/>
  <c r="U1852" i="1"/>
  <c r="P1852" i="1"/>
  <c r="Q1852" i="1" s="1"/>
  <c r="U1851" i="1"/>
  <c r="P1851" i="1"/>
  <c r="R1851" i="1" s="1"/>
  <c r="U1638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R1871" i="1" l="1"/>
  <c r="T1871" i="1" s="1"/>
  <c r="T1862" i="1"/>
  <c r="R2108" i="1"/>
  <c r="T2108" i="1" s="1"/>
  <c r="S2012" i="1"/>
  <c r="Q1993" i="1"/>
  <c r="R1894" i="1"/>
  <c r="T1894" i="1" s="1"/>
  <c r="Q2145" i="1"/>
  <c r="R2089" i="1"/>
  <c r="T2089" i="1" s="1"/>
  <c r="R2126" i="1"/>
  <c r="T2126" i="1" s="1"/>
  <c r="Q1913" i="1"/>
  <c r="R2204" i="1"/>
  <c r="T2204" i="1" s="1"/>
  <c r="R1861" i="1"/>
  <c r="S1861" i="1" s="1"/>
  <c r="Q2160" i="1"/>
  <c r="R2029" i="1"/>
  <c r="S2029" i="1" s="1"/>
  <c r="R2229" i="1"/>
  <c r="T2229" i="1" s="1"/>
  <c r="Q2016" i="1"/>
  <c r="Q2081" i="1"/>
  <c r="S2009" i="1"/>
  <c r="Q2101" i="1"/>
  <c r="S1892" i="1"/>
  <c r="Q1992" i="1"/>
  <c r="Q2020" i="1"/>
  <c r="T2016" i="1"/>
  <c r="Q2072" i="1"/>
  <c r="R2122" i="1"/>
  <c r="T2122" i="1" s="1"/>
  <c r="Q1892" i="1"/>
  <c r="R1973" i="1"/>
  <c r="T1973" i="1" s="1"/>
  <c r="Q1907" i="1"/>
  <c r="R2064" i="1"/>
  <c r="S2064" i="1" s="1"/>
  <c r="Q2012" i="1"/>
  <c r="Q2212" i="1"/>
  <c r="Q1896" i="1"/>
  <c r="Q1923" i="1"/>
  <c r="Q2050" i="1"/>
  <c r="Q1908" i="1"/>
  <c r="R2008" i="1"/>
  <c r="S2008" i="1" s="1"/>
  <c r="Q1876" i="1"/>
  <c r="R2106" i="1"/>
  <c r="T2106" i="1" s="1"/>
  <c r="S2036" i="1"/>
  <c r="R2192" i="1"/>
  <c r="S2192" i="1" s="1"/>
  <c r="R2149" i="1"/>
  <c r="S2149" i="1" s="1"/>
  <c r="Q1862" i="1"/>
  <c r="Q2141" i="1"/>
  <c r="S1923" i="1"/>
  <c r="R1991" i="1"/>
  <c r="S1991" i="1" s="1"/>
  <c r="R1928" i="1"/>
  <c r="S1928" i="1" s="1"/>
  <c r="R1918" i="1"/>
  <c r="T1918" i="1" s="1"/>
  <c r="R2176" i="1"/>
  <c r="T2176" i="1" s="1"/>
  <c r="R2085" i="1"/>
  <c r="S2085" i="1" s="1"/>
  <c r="R2053" i="1"/>
  <c r="S2053" i="1" s="1"/>
  <c r="S1881" i="1"/>
  <c r="R1935" i="1"/>
  <c r="S1935" i="1" s="1"/>
  <c r="R1944" i="1"/>
  <c r="T1944" i="1" s="1"/>
  <c r="R1962" i="1"/>
  <c r="S1962" i="1" s="1"/>
  <c r="R2232" i="1"/>
  <c r="T2232" i="1" s="1"/>
  <c r="Q1965" i="1"/>
  <c r="Q2159" i="1"/>
  <c r="Q2049" i="1"/>
  <c r="R2236" i="1"/>
  <c r="S2236" i="1" s="1"/>
  <c r="R1964" i="1"/>
  <c r="T1964" i="1" s="1"/>
  <c r="Q2056" i="1"/>
  <c r="Q2066" i="1"/>
  <c r="R1960" i="1"/>
  <c r="T1960" i="1" s="1"/>
  <c r="T1907" i="1"/>
  <c r="R2168" i="1"/>
  <c r="T2168" i="1" s="1"/>
  <c r="Q2201" i="1"/>
  <c r="R1950" i="1"/>
  <c r="T1950" i="1" s="1"/>
  <c r="Q2055" i="1"/>
  <c r="R2224" i="1"/>
  <c r="S2224" i="1" s="1"/>
  <c r="R1982" i="1"/>
  <c r="T1982" i="1" s="1"/>
  <c r="R1874" i="1"/>
  <c r="T1874" i="1" s="1"/>
  <c r="R1924" i="1"/>
  <c r="T1924" i="1" s="1"/>
  <c r="R2116" i="1"/>
  <c r="S2116" i="1" s="1"/>
  <c r="R2024" i="1"/>
  <c r="S2024" i="1" s="1"/>
  <c r="R2039" i="1"/>
  <c r="S2039" i="1" s="1"/>
  <c r="R2046" i="1"/>
  <c r="S2046" i="1" s="1"/>
  <c r="Q1909" i="1"/>
  <c r="R1912" i="1"/>
  <c r="T1912" i="1" s="1"/>
  <c r="S2033" i="1"/>
  <c r="Q2148" i="1"/>
  <c r="Q2084" i="1"/>
  <c r="R2228" i="1"/>
  <c r="T2228" i="1" s="1"/>
  <c r="Q2187" i="1"/>
  <c r="R1878" i="1"/>
  <c r="S1878" i="1" s="1"/>
  <c r="S1961" i="1"/>
  <c r="R2216" i="1"/>
  <c r="S2216" i="1" s="1"/>
  <c r="Q2104" i="1"/>
  <c r="Q2144" i="1"/>
  <c r="T1864" i="1"/>
  <c r="Q2179" i="1"/>
  <c r="Q2065" i="1"/>
  <c r="R1866" i="1"/>
  <c r="S1866" i="1" s="1"/>
  <c r="Q1945" i="1"/>
  <c r="Q2193" i="1"/>
  <c r="R1974" i="1"/>
  <c r="S1974" i="1" s="1"/>
  <c r="R2178" i="1"/>
  <c r="S2178" i="1" s="1"/>
  <c r="Q1864" i="1"/>
  <c r="R1963" i="1"/>
  <c r="S1963" i="1" s="1"/>
  <c r="Q2052" i="1"/>
  <c r="Q2177" i="1"/>
  <c r="R2080" i="1"/>
  <c r="T2080" i="1" s="1"/>
  <c r="S1893" i="1"/>
  <c r="Q2009" i="1"/>
  <c r="T2032" i="1"/>
  <c r="Q2068" i="1"/>
  <c r="Q1870" i="1"/>
  <c r="R2125" i="1"/>
  <c r="S2125" i="1" s="1"/>
  <c r="T2052" i="1"/>
  <c r="R2088" i="1"/>
  <c r="S2088" i="1" s="1"/>
  <c r="R2213" i="1"/>
  <c r="S2213" i="1" s="1"/>
  <c r="R1853" i="1"/>
  <c r="S1853" i="1" s="1"/>
  <c r="R1929" i="1"/>
  <c r="S1929" i="1" s="1"/>
  <c r="Q2196" i="1"/>
  <c r="Q2028" i="1"/>
  <c r="R2171" i="1"/>
  <c r="S2171" i="1" s="1"/>
  <c r="R2105" i="1"/>
  <c r="S2105" i="1" s="1"/>
  <c r="R1941" i="1"/>
  <c r="T1941" i="1" s="1"/>
  <c r="T2010" i="1"/>
  <c r="Q2054" i="1"/>
  <c r="R2124" i="1"/>
  <c r="S2124" i="1" s="1"/>
  <c r="Q1925" i="1"/>
  <c r="Q1961" i="1"/>
  <c r="Q2231" i="1"/>
  <c r="R2210" i="1"/>
  <c r="S2210" i="1" s="1"/>
  <c r="T2070" i="1"/>
  <c r="R1976" i="1"/>
  <c r="T1976" i="1" s="1"/>
  <c r="S2231" i="1"/>
  <c r="Q2032" i="1"/>
  <c r="R1869" i="1"/>
  <c r="T1869" i="1" s="1"/>
  <c r="R2180" i="1"/>
  <c r="T2180" i="1" s="1"/>
  <c r="Q2197" i="1"/>
  <c r="T1909" i="1"/>
  <c r="R2138" i="1"/>
  <c r="S2138" i="1" s="1"/>
  <c r="Q2026" i="1"/>
  <c r="R2146" i="1"/>
  <c r="T2146" i="1" s="1"/>
  <c r="Q2069" i="1"/>
  <c r="T2069" i="1"/>
  <c r="T1925" i="1"/>
  <c r="R1939" i="1"/>
  <c r="S1939" i="1" s="1"/>
  <c r="R1922" i="1"/>
  <c r="S1922" i="1" s="1"/>
  <c r="R1958" i="1"/>
  <c r="S1958" i="1" s="1"/>
  <c r="Q2010" i="1"/>
  <c r="R1858" i="1"/>
  <c r="S1858" i="1" s="1"/>
  <c r="R1940" i="1"/>
  <c r="T1940" i="1" s="1"/>
  <c r="R2219" i="1"/>
  <c r="S2219" i="1" s="1"/>
  <c r="S2193" i="1"/>
  <c r="S1945" i="1"/>
  <c r="R2181" i="1"/>
  <c r="T2181" i="1" s="1"/>
  <c r="Q1997" i="1"/>
  <c r="Q1893" i="1"/>
  <c r="R2161" i="1"/>
  <c r="S2161" i="1" s="1"/>
  <c r="R1911" i="1"/>
  <c r="T1911" i="1" s="1"/>
  <c r="R2217" i="1"/>
  <c r="S2217" i="1" s="1"/>
  <c r="R2237" i="1"/>
  <c r="T2237" i="1" s="1"/>
  <c r="Q1972" i="1"/>
  <c r="R2200" i="1"/>
  <c r="S2200" i="1" s="1"/>
  <c r="R2073" i="1"/>
  <c r="T2073" i="1" s="1"/>
  <c r="S1997" i="1"/>
  <c r="Q1882" i="1"/>
  <c r="R1989" i="1"/>
  <c r="T1989" i="1" s="1"/>
  <c r="Q2112" i="1"/>
  <c r="R1856" i="1"/>
  <c r="T1856" i="1" s="1"/>
  <c r="Q2127" i="1"/>
  <c r="Q2205" i="1"/>
  <c r="Q2031" i="1"/>
  <c r="T1880" i="1"/>
  <c r="R2003" i="1"/>
  <c r="S2003" i="1" s="1"/>
  <c r="Q1885" i="1"/>
  <c r="R1901" i="1"/>
  <c r="T1901" i="1" s="1"/>
  <c r="T1921" i="1"/>
  <c r="Q1969" i="1"/>
  <c r="R1884" i="1"/>
  <c r="S1884" i="1" s="1"/>
  <c r="R1857" i="1"/>
  <c r="T1857" i="1" s="1"/>
  <c r="R2092" i="1"/>
  <c r="S2092" i="1" s="1"/>
  <c r="Q2036" i="1"/>
  <c r="R2184" i="1"/>
  <c r="S2184" i="1" s="1"/>
  <c r="R2165" i="1"/>
  <c r="S2165" i="1" s="1"/>
  <c r="Q2057" i="1"/>
  <c r="Q2183" i="1"/>
  <c r="R2000" i="1"/>
  <c r="T2000" i="1" s="1"/>
  <c r="R1978" i="1"/>
  <c r="S1978" i="1" s="1"/>
  <c r="R2164" i="1"/>
  <c r="S2164" i="1" s="1"/>
  <c r="R2182" i="1"/>
  <c r="T2182" i="1" s="1"/>
  <c r="R1977" i="1"/>
  <c r="S1977" i="1" s="1"/>
  <c r="R2226" i="1"/>
  <c r="T2226" i="1" s="1"/>
  <c r="R2155" i="1"/>
  <c r="T2155" i="1" s="1"/>
  <c r="Q2155" i="1"/>
  <c r="Q2100" i="1"/>
  <c r="R2100" i="1"/>
  <c r="T2100" i="1" s="1"/>
  <c r="R2048" i="1"/>
  <c r="S2048" i="1" s="1"/>
  <c r="Q2048" i="1"/>
  <c r="R2007" i="1"/>
  <c r="Q2007" i="1"/>
  <c r="Q2227" i="1"/>
  <c r="Q2172" i="1"/>
  <c r="R2172" i="1"/>
  <c r="S2172" i="1" s="1"/>
  <c r="Q2133" i="1"/>
  <c r="R2133" i="1"/>
  <c r="T2133" i="1" s="1"/>
  <c r="R2059" i="1"/>
  <c r="Q2059" i="1"/>
  <c r="R2004" i="1"/>
  <c r="Q2004" i="1"/>
  <c r="Q1968" i="1"/>
  <c r="R1968" i="1"/>
  <c r="S1968" i="1" s="1"/>
  <c r="Q1933" i="1"/>
  <c r="R1933" i="1"/>
  <c r="T1933" i="1" s="1"/>
  <c r="Q1902" i="1"/>
  <c r="R1902" i="1"/>
  <c r="S1902" i="1" s="1"/>
  <c r="R1875" i="1"/>
  <c r="Q1875" i="1"/>
  <c r="R2186" i="1"/>
  <c r="T2186" i="1" s="1"/>
  <c r="R2117" i="1"/>
  <c r="S2117" i="1" s="1"/>
  <c r="R2022" i="1"/>
  <c r="S2022" i="1" s="1"/>
  <c r="Q1986" i="1"/>
  <c r="R2223" i="1"/>
  <c r="Q2223" i="1"/>
  <c r="R2151" i="1"/>
  <c r="T2151" i="1" s="1"/>
  <c r="Q2151" i="1"/>
  <c r="Q2018" i="1"/>
  <c r="R2063" i="1"/>
  <c r="S2063" i="1" s="1"/>
  <c r="Q2093" i="1"/>
  <c r="R2041" i="1"/>
  <c r="T2041" i="1" s="1"/>
  <c r="R2238" i="1"/>
  <c r="S2238" i="1" s="1"/>
  <c r="R2152" i="1"/>
  <c r="T2152" i="1" s="1"/>
  <c r="Q2207" i="1"/>
  <c r="R2190" i="1"/>
  <c r="S2190" i="1" s="1"/>
  <c r="Q1917" i="1"/>
  <c r="R1956" i="1"/>
  <c r="T1956" i="1" s="1"/>
  <c r="R2132" i="1"/>
  <c r="S2132" i="1" s="1"/>
  <c r="R2078" i="1"/>
  <c r="S2078" i="1" s="1"/>
  <c r="R2061" i="1"/>
  <c r="T2061" i="1" s="1"/>
  <c r="Q2209" i="1"/>
  <c r="Q1971" i="1"/>
  <c r="Q1859" i="1"/>
  <c r="R2025" i="1"/>
  <c r="S2025" i="1" s="1"/>
  <c r="Q2157" i="1"/>
  <c r="R2157" i="1"/>
  <c r="S2157" i="1" s="1"/>
  <c r="Q2121" i="1"/>
  <c r="R2121" i="1"/>
  <c r="S2121" i="1" s="1"/>
  <c r="R1957" i="1"/>
  <c r="Q1957" i="1"/>
  <c r="T1937" i="1"/>
  <c r="S1937" i="1"/>
  <c r="Q1906" i="1"/>
  <c r="R1906" i="1"/>
  <c r="S1906" i="1" s="1"/>
  <c r="Q2208" i="1"/>
  <c r="R2208" i="1"/>
  <c r="S2208" i="1" s="1"/>
  <c r="Q2098" i="1"/>
  <c r="R2098" i="1"/>
  <c r="T2098" i="1" s="1"/>
  <c r="R2045" i="1"/>
  <c r="Q2045" i="1"/>
  <c r="Q1988" i="1"/>
  <c r="R1988" i="1"/>
  <c r="T1988" i="1" s="1"/>
  <c r="Q1936" i="1"/>
  <c r="R1936" i="1"/>
  <c r="S1936" i="1" s="1"/>
  <c r="Q1920" i="1"/>
  <c r="R1920" i="1"/>
  <c r="T1920" i="1" s="1"/>
  <c r="Q1905" i="1"/>
  <c r="R1905" i="1"/>
  <c r="T1905" i="1" s="1"/>
  <c r="R1889" i="1"/>
  <c r="S1889" i="1" s="1"/>
  <c r="Q1889" i="1"/>
  <c r="Q1921" i="1"/>
  <c r="Q2189" i="1"/>
  <c r="Q2120" i="1"/>
  <c r="R2131" i="1"/>
  <c r="T2131" i="1" s="1"/>
  <c r="Q2131" i="1"/>
  <c r="R2225" i="1"/>
  <c r="S2225" i="1" s="1"/>
  <c r="Q2225" i="1"/>
  <c r="Q2188" i="1"/>
  <c r="R2188" i="1"/>
  <c r="T2188" i="1" s="1"/>
  <c r="Q2153" i="1"/>
  <c r="R2153" i="1"/>
  <c r="S2153" i="1" s="1"/>
  <c r="Q2136" i="1"/>
  <c r="R2136" i="1"/>
  <c r="S2136" i="1" s="1"/>
  <c r="R2077" i="1"/>
  <c r="S2077" i="1" s="1"/>
  <c r="Q2077" i="1"/>
  <c r="S2060" i="1"/>
  <c r="T2060" i="1"/>
  <c r="Q2021" i="1"/>
  <c r="R2021" i="1"/>
  <c r="S2021" i="1" s="1"/>
  <c r="Q2005" i="1"/>
  <c r="R2005" i="1"/>
  <c r="S2005" i="1" s="1"/>
  <c r="Q1985" i="1"/>
  <c r="R1985" i="1"/>
  <c r="S1985" i="1" s="1"/>
  <c r="Q1954" i="1"/>
  <c r="R1954" i="1"/>
  <c r="T1954" i="1" s="1"/>
  <c r="T1904" i="1"/>
  <c r="S1904" i="1"/>
  <c r="Q1888" i="1"/>
  <c r="R1888" i="1"/>
  <c r="S1888" i="1" s="1"/>
  <c r="Q1877" i="1"/>
  <c r="R1877" i="1"/>
  <c r="T1877" i="1" s="1"/>
  <c r="Q2044" i="1"/>
  <c r="R2175" i="1"/>
  <c r="S2175" i="1" s="1"/>
  <c r="Q1904" i="1"/>
  <c r="R2019" i="1"/>
  <c r="T2019" i="1" s="1"/>
  <c r="Q2019" i="1"/>
  <c r="Q1984" i="1"/>
  <c r="R1984" i="1"/>
  <c r="S1984" i="1" s="1"/>
  <c r="Q1953" i="1"/>
  <c r="R1953" i="1"/>
  <c r="T1953" i="1" s="1"/>
  <c r="R1886" i="1"/>
  <c r="Q1886" i="1"/>
  <c r="Q2097" i="1"/>
  <c r="Q2006" i="1"/>
  <c r="Q2170" i="1"/>
  <c r="R2170" i="1"/>
  <c r="T2170" i="1" s="1"/>
  <c r="Q2113" i="1"/>
  <c r="R2113" i="1"/>
  <c r="S2113" i="1" s="1"/>
  <c r="Q2074" i="1"/>
  <c r="R2074" i="1"/>
  <c r="T2074" i="1" s="1"/>
  <c r="R2040" i="1"/>
  <c r="Q2040" i="1"/>
  <c r="Q1966" i="1"/>
  <c r="R1966" i="1"/>
  <c r="T1966" i="1" s="1"/>
  <c r="Q1952" i="1"/>
  <c r="R1952" i="1"/>
  <c r="T1952" i="1" s="1"/>
  <c r="R1916" i="1"/>
  <c r="T1916" i="1" s="1"/>
  <c r="Q1916" i="1"/>
  <c r="R2156" i="1"/>
  <c r="T2156" i="1" s="1"/>
  <c r="S1917" i="1"/>
  <c r="R2235" i="1"/>
  <c r="T2235" i="1" s="1"/>
  <c r="Q2002" i="1"/>
  <c r="Q1880" i="1"/>
  <c r="R2154" i="1"/>
  <c r="T2154" i="1" s="1"/>
  <c r="R1932" i="1"/>
  <c r="T1932" i="1" s="1"/>
  <c r="R2096" i="1"/>
  <c r="S2096" i="1" s="1"/>
  <c r="R1865" i="1"/>
  <c r="T1865" i="1" s="1"/>
  <c r="Q2240" i="1"/>
  <c r="Q2185" i="1"/>
  <c r="Q2140" i="1"/>
  <c r="R2140" i="1"/>
  <c r="S2140" i="1" s="1"/>
  <c r="R2079" i="1"/>
  <c r="S2079" i="1" s="1"/>
  <c r="Q2079" i="1"/>
  <c r="Q1890" i="1"/>
  <c r="R1890" i="1"/>
  <c r="T1890" i="1" s="1"/>
  <c r="Q1937" i="1"/>
  <c r="R1854" i="1"/>
  <c r="Q1854" i="1"/>
  <c r="R2014" i="1"/>
  <c r="T2014" i="1" s="1"/>
  <c r="Q2014" i="1"/>
  <c r="Q2174" i="1"/>
  <c r="R2174" i="1"/>
  <c r="T2174" i="1" s="1"/>
  <c r="Q2137" i="1"/>
  <c r="R2137" i="1"/>
  <c r="S2137" i="1" s="1"/>
  <c r="R2076" i="1"/>
  <c r="T2076" i="1" s="1"/>
  <c r="R2173" i="1"/>
  <c r="S2173" i="1" s="1"/>
  <c r="R2206" i="1"/>
  <c r="T2206" i="1" s="1"/>
  <c r="Q2060" i="1"/>
  <c r="S2183" i="1"/>
  <c r="R1948" i="1"/>
  <c r="T1948" i="1" s="1"/>
  <c r="R1980" i="1"/>
  <c r="T1980" i="1" s="1"/>
  <c r="R2017" i="1"/>
  <c r="S2017" i="1" s="1"/>
  <c r="Q1949" i="1"/>
  <c r="Q1867" i="1"/>
  <c r="Q2129" i="1"/>
  <c r="R1981" i="1"/>
  <c r="S1981" i="1" s="1"/>
  <c r="Q2220" i="1"/>
  <c r="R1897" i="1"/>
  <c r="T1897" i="1" s="1"/>
  <c r="Q2033" i="1"/>
  <c r="R1996" i="1"/>
  <c r="T1996" i="1" s="1"/>
  <c r="R2109" i="1"/>
  <c r="S2109" i="1" s="1"/>
  <c r="Q1881" i="1"/>
  <c r="R1898" i="1"/>
  <c r="T1898" i="1" s="1"/>
  <c r="Q2001" i="1"/>
  <c r="T2056" i="1"/>
  <c r="S1900" i="1"/>
  <c r="R2107" i="1"/>
  <c r="T2107" i="1" s="1"/>
  <c r="R2233" i="1"/>
  <c r="T2233" i="1" s="1"/>
  <c r="Q2169" i="1"/>
  <c r="R2150" i="1"/>
  <c r="T2150" i="1" s="1"/>
  <c r="R1931" i="1"/>
  <c r="S1931" i="1" s="1"/>
  <c r="Q1915" i="1"/>
  <c r="R2037" i="1"/>
  <c r="T2037" i="1" s="1"/>
  <c r="Q2070" i="1"/>
  <c r="R1855" i="1"/>
  <c r="S1855" i="1" s="1"/>
  <c r="R2128" i="1"/>
  <c r="T2128" i="1" s="1"/>
  <c r="R1930" i="1"/>
  <c r="T1930" i="1" s="1"/>
  <c r="Q1900" i="1"/>
  <c r="R2013" i="1"/>
  <c r="S2013" i="1" s="1"/>
  <c r="R1873" i="1"/>
  <c r="S1873" i="1" s="1"/>
  <c r="R2221" i="1"/>
  <c r="S2221" i="1" s="1"/>
  <c r="R1883" i="1"/>
  <c r="T1883" i="1" s="1"/>
  <c r="R2110" i="1"/>
  <c r="S2110" i="1" s="1"/>
  <c r="R2102" i="1"/>
  <c r="T2102" i="1" s="1"/>
  <c r="R2115" i="1"/>
  <c r="S2115" i="1" s="1"/>
  <c r="Q1995" i="1"/>
  <c r="Q2075" i="1"/>
  <c r="R2214" i="1"/>
  <c r="T2214" i="1" s="1"/>
  <c r="R2166" i="1"/>
  <c r="T2166" i="1" s="1"/>
  <c r="S1872" i="1"/>
  <c r="Q1891" i="1"/>
  <c r="Q1959" i="1"/>
  <c r="R2211" i="1"/>
  <c r="S2211" i="1" s="1"/>
  <c r="R2118" i="1"/>
  <c r="T2118" i="1" s="1"/>
  <c r="R1879" i="1"/>
  <c r="T1879" i="1" s="1"/>
  <c r="Q2083" i="1"/>
  <c r="R2222" i="1"/>
  <c r="T2222" i="1" s="1"/>
  <c r="R1860" i="1"/>
  <c r="T1860" i="1" s="1"/>
  <c r="Q1872" i="1"/>
  <c r="R1990" i="1"/>
  <c r="T1990" i="1" s="1"/>
  <c r="R1934" i="1"/>
  <c r="S1934" i="1" s="1"/>
  <c r="Q2143" i="1"/>
  <c r="T2185" i="1"/>
  <c r="Q2042" i="1"/>
  <c r="Q2086" i="1"/>
  <c r="S2042" i="1"/>
  <c r="Q1910" i="1"/>
  <c r="R2239" i="1"/>
  <c r="S2239" i="1" s="1"/>
  <c r="S2160" i="1"/>
  <c r="T1951" i="1"/>
  <c r="S2066" i="1"/>
  <c r="S2057" i="1"/>
  <c r="Q1899" i="1"/>
  <c r="T2075" i="1"/>
  <c r="S2055" i="1"/>
  <c r="T1993" i="1"/>
  <c r="T2127" i="1"/>
  <c r="S2191" i="1"/>
  <c r="Q2094" i="1"/>
  <c r="S2031" i="1"/>
  <c r="S2205" i="1"/>
  <c r="S1899" i="1"/>
  <c r="R2234" i="1"/>
  <c r="S2234" i="1" s="1"/>
  <c r="Q1951" i="1"/>
  <c r="T1910" i="1"/>
  <c r="Q2198" i="1"/>
  <c r="R2194" i="1"/>
  <c r="S2194" i="1" s="1"/>
  <c r="T2120" i="1"/>
  <c r="T2209" i="1"/>
  <c r="Q2142" i="1"/>
  <c r="R1942" i="1"/>
  <c r="T1942" i="1" s="1"/>
  <c r="R2218" i="1"/>
  <c r="T2218" i="1" s="1"/>
  <c r="Q2119" i="1"/>
  <c r="T2227" i="1"/>
  <c r="S2179" i="1"/>
  <c r="Q2191" i="1"/>
  <c r="T2196" i="1"/>
  <c r="T2065" i="1"/>
  <c r="R2162" i="1"/>
  <c r="T2162" i="1" s="1"/>
  <c r="R2114" i="1"/>
  <c r="S2114" i="1" s="1"/>
  <c r="R2202" i="1"/>
  <c r="T2202" i="1" s="1"/>
  <c r="R2090" i="1"/>
  <c r="T2090" i="1" s="1"/>
  <c r="S1870" i="1"/>
  <c r="T1971" i="1"/>
  <c r="Q2135" i="1"/>
  <c r="T2081" i="1"/>
  <c r="S1868" i="1"/>
  <c r="S1896" i="1"/>
  <c r="S1949" i="1"/>
  <c r="T1949" i="1"/>
  <c r="T2093" i="1"/>
  <c r="S1959" i="1"/>
  <c r="T2145" i="1"/>
  <c r="S2144" i="1"/>
  <c r="S2001" i="1"/>
  <c r="R1999" i="1"/>
  <c r="T1999" i="1" s="1"/>
  <c r="Q2027" i="1"/>
  <c r="R2027" i="1"/>
  <c r="Q2095" i="1"/>
  <c r="R2095" i="1"/>
  <c r="T1885" i="1"/>
  <c r="S1885" i="1"/>
  <c r="R1987" i="1"/>
  <c r="T1987" i="1" s="1"/>
  <c r="R2062" i="1"/>
  <c r="Q2062" i="1"/>
  <c r="Q2082" i="1"/>
  <c r="R2082" i="1"/>
  <c r="S2212" i="1"/>
  <c r="T2212" i="1"/>
  <c r="R2099" i="1"/>
  <c r="Q2099" i="1"/>
  <c r="Q2015" i="1"/>
  <c r="R2015" i="1"/>
  <c r="R2051" i="1"/>
  <c r="Q2051" i="1"/>
  <c r="T1867" i="1"/>
  <c r="S1867" i="1"/>
  <c r="T2028" i="1"/>
  <c r="S2028" i="1"/>
  <c r="R2023" i="1"/>
  <c r="Q2023" i="1"/>
  <c r="R2011" i="1"/>
  <c r="Q2011" i="1"/>
  <c r="S1882" i="1"/>
  <c r="T1882" i="1"/>
  <c r="R1979" i="1"/>
  <c r="Q1979" i="1"/>
  <c r="T2189" i="1"/>
  <c r="S2189" i="1"/>
  <c r="Q1975" i="1"/>
  <c r="R1975" i="1"/>
  <c r="T2112" i="1"/>
  <c r="S2112" i="1"/>
  <c r="S2141" i="1"/>
  <c r="T2141" i="1"/>
  <c r="T1913" i="1"/>
  <c r="S1913" i="1"/>
  <c r="S2197" i="1"/>
  <c r="T2197" i="1"/>
  <c r="R1998" i="1"/>
  <c r="S1998" i="1" s="1"/>
  <c r="Q2230" i="1"/>
  <c r="R2230" i="1"/>
  <c r="Q1994" i="1"/>
  <c r="R1994" i="1"/>
  <c r="Q1947" i="1"/>
  <c r="R1947" i="1"/>
  <c r="R2111" i="1"/>
  <c r="Q2111" i="1"/>
  <c r="Q1927" i="1"/>
  <c r="R1927" i="1"/>
  <c r="S2072" i="1"/>
  <c r="T2072" i="1"/>
  <c r="R2058" i="1"/>
  <c r="Q2058" i="1"/>
  <c r="R2034" i="1"/>
  <c r="Q2034" i="1"/>
  <c r="Q2043" i="1"/>
  <c r="R1983" i="1"/>
  <c r="S1983" i="1" s="1"/>
  <c r="Q1970" i="1"/>
  <c r="R1970" i="1"/>
  <c r="R2103" i="1"/>
  <c r="Q2103" i="1"/>
  <c r="Q1943" i="1"/>
  <c r="R1943" i="1"/>
  <c r="Q2195" i="1"/>
  <c r="R2195" i="1"/>
  <c r="Q1919" i="1"/>
  <c r="R1919" i="1"/>
  <c r="T1876" i="1"/>
  <c r="S1876" i="1"/>
  <c r="T1859" i="1"/>
  <c r="S1859" i="1"/>
  <c r="S2169" i="1"/>
  <c r="T2169" i="1"/>
  <c r="R2071" i="1"/>
  <c r="Q2071" i="1"/>
  <c r="S1995" i="1"/>
  <c r="T1995" i="1"/>
  <c r="Q2139" i="1"/>
  <c r="R2139" i="1"/>
  <c r="S2240" i="1"/>
  <c r="Q2030" i="1"/>
  <c r="R1967" i="1"/>
  <c r="T1967" i="1" s="1"/>
  <c r="Q1946" i="1"/>
  <c r="R1946" i="1"/>
  <c r="Q1863" i="1"/>
  <c r="R1863" i="1"/>
  <c r="R2091" i="1"/>
  <c r="Q2091" i="1"/>
  <c r="R2167" i="1"/>
  <c r="Q2167" i="1"/>
  <c r="S2083" i="1"/>
  <c r="T2083" i="1"/>
  <c r="T2038" i="1"/>
  <c r="S2038" i="1"/>
  <c r="R2203" i="1"/>
  <c r="Q2203" i="1"/>
  <c r="Q2035" i="1"/>
  <c r="R2035" i="1"/>
  <c r="T2043" i="1"/>
  <c r="S2043" i="1"/>
  <c r="R2199" i="1"/>
  <c r="Q2199" i="1"/>
  <c r="Q2038" i="1"/>
  <c r="S1915" i="1"/>
  <c r="Q2158" i="1"/>
  <c r="R2158" i="1"/>
  <c r="Q2215" i="1"/>
  <c r="R2215" i="1"/>
  <c r="T1908" i="1"/>
  <c r="S1908" i="1"/>
  <c r="R2087" i="1"/>
  <c r="Q2087" i="1"/>
  <c r="S2220" i="1"/>
  <c r="T2220" i="1"/>
  <c r="Q1895" i="1"/>
  <c r="R1895" i="1"/>
  <c r="R1955" i="1"/>
  <c r="Q1955" i="1"/>
  <c r="S1891" i="1"/>
  <c r="Q1914" i="1"/>
  <c r="Q1903" i="1"/>
  <c r="Q2134" i="1"/>
  <c r="R2134" i="1"/>
  <c r="Q1938" i="1"/>
  <c r="R1938" i="1"/>
  <c r="S1986" i="1"/>
  <c r="T1986" i="1"/>
  <c r="R2163" i="1"/>
  <c r="Q2163" i="1"/>
  <c r="T1965" i="1"/>
  <c r="S1965" i="1"/>
  <c r="R2067" i="1"/>
  <c r="Q2067" i="1"/>
  <c r="T2068" i="1"/>
  <c r="S2068" i="1"/>
  <c r="T2135" i="1"/>
  <c r="S2135" i="1"/>
  <c r="Q1887" i="1"/>
  <c r="R1887" i="1"/>
  <c r="T2104" i="1"/>
  <c r="Q2130" i="1"/>
  <c r="R2130" i="1"/>
  <c r="Q1926" i="1"/>
  <c r="R1926" i="1"/>
  <c r="Q2147" i="1"/>
  <c r="R2147" i="1"/>
  <c r="T2018" i="1"/>
  <c r="S2018" i="1"/>
  <c r="R2047" i="1"/>
  <c r="Q2047" i="1"/>
  <c r="Q2123" i="1"/>
  <c r="R2123" i="1"/>
  <c r="S2049" i="1"/>
  <c r="T2049" i="1"/>
  <c r="T2030" i="1"/>
  <c r="S2030" i="1"/>
  <c r="S2050" i="1"/>
  <c r="T2050" i="1"/>
  <c r="T2142" i="1"/>
  <c r="S2142" i="1"/>
  <c r="S2148" i="1"/>
  <c r="T2148" i="1"/>
  <c r="T2143" i="1"/>
  <c r="S2143" i="1"/>
  <c r="T2198" i="1"/>
  <c r="S2198" i="1"/>
  <c r="T2159" i="1"/>
  <c r="S2159" i="1"/>
  <c r="T2020" i="1"/>
  <c r="S2020" i="1"/>
  <c r="S2097" i="1"/>
  <c r="T2097" i="1"/>
  <c r="S2201" i="1"/>
  <c r="T2201" i="1"/>
  <c r="T2026" i="1"/>
  <c r="S2026" i="1"/>
  <c r="T1969" i="1"/>
  <c r="S1969" i="1"/>
  <c r="T2101" i="1"/>
  <c r="S2101" i="1"/>
  <c r="T2002" i="1"/>
  <c r="S2002" i="1"/>
  <c r="S2129" i="1"/>
  <c r="T2129" i="1"/>
  <c r="S2177" i="1"/>
  <c r="T2177" i="1"/>
  <c r="T2006" i="1"/>
  <c r="S2006" i="1"/>
  <c r="T2187" i="1"/>
  <c r="S2187" i="1"/>
  <c r="T1914" i="1"/>
  <c r="S1914" i="1"/>
  <c r="T1972" i="1"/>
  <c r="S1972" i="1"/>
  <c r="T2044" i="1"/>
  <c r="S2044" i="1"/>
  <c r="S2084" i="1"/>
  <c r="T2084" i="1"/>
  <c r="S2086" i="1"/>
  <c r="T2086" i="1"/>
  <c r="S1992" i="1"/>
  <c r="T1992" i="1"/>
  <c r="T2094" i="1"/>
  <c r="S2094" i="1"/>
  <c r="T2054" i="1"/>
  <c r="S2054" i="1"/>
  <c r="T1903" i="1"/>
  <c r="S1903" i="1"/>
  <c r="T2207" i="1"/>
  <c r="S2207" i="1"/>
  <c r="S2119" i="1"/>
  <c r="T2119" i="1"/>
  <c r="R1852" i="1"/>
  <c r="T1852" i="1" s="1"/>
  <c r="T1851" i="1"/>
  <c r="S1851" i="1"/>
  <c r="Q1851" i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R1820" i="1" s="1"/>
  <c r="S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R8" i="4"/>
  <c r="P1796" i="1"/>
  <c r="P1795" i="1"/>
  <c r="P1794" i="1"/>
  <c r="P1793" i="1"/>
  <c r="P1792" i="1"/>
  <c r="P1791" i="1"/>
  <c r="P1790" i="1"/>
  <c r="R1790" i="1" s="1"/>
  <c r="S1790" i="1" s="1"/>
  <c r="P1789" i="1"/>
  <c r="P1788" i="1"/>
  <c r="R1788" i="1" s="1"/>
  <c r="S1788" i="1" s="1"/>
  <c r="P1787" i="1"/>
  <c r="P1786" i="1"/>
  <c r="P1785" i="1"/>
  <c r="P1784" i="1"/>
  <c r="P1783" i="1"/>
  <c r="P1782" i="1"/>
  <c r="R1782" i="1" s="1"/>
  <c r="S1782" i="1" s="1"/>
  <c r="P1781" i="1"/>
  <c r="P1780" i="1"/>
  <c r="P1779" i="1"/>
  <c r="P1778" i="1"/>
  <c r="P1777" i="1"/>
  <c r="R1777" i="1" s="1"/>
  <c r="S1777" i="1" s="1"/>
  <c r="P1776" i="1"/>
  <c r="P1775" i="1"/>
  <c r="P1774" i="1"/>
  <c r="P1773" i="1"/>
  <c r="P1772" i="1"/>
  <c r="P1771" i="1"/>
  <c r="P1770" i="1"/>
  <c r="R1770" i="1" s="1"/>
  <c r="S1770" i="1" s="1"/>
  <c r="P1769" i="1"/>
  <c r="R1769" i="1" s="1"/>
  <c r="S1769" i="1" s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R1757" i="1" s="1"/>
  <c r="S1757" i="1" s="1"/>
  <c r="P1756" i="1"/>
  <c r="P1755" i="1"/>
  <c r="R1755" i="1" s="1"/>
  <c r="S1755" i="1" s="1"/>
  <c r="P1754" i="1"/>
  <c r="P1753" i="1"/>
  <c r="P1752" i="1"/>
  <c r="P1751" i="1"/>
  <c r="P1750" i="1"/>
  <c r="P1749" i="1"/>
  <c r="P1748" i="1"/>
  <c r="P1747" i="1"/>
  <c r="P1746" i="1"/>
  <c r="R1746" i="1" s="1"/>
  <c r="S1746" i="1" s="1"/>
  <c r="P1745" i="1"/>
  <c r="R1745" i="1" s="1"/>
  <c r="S1745" i="1" s="1"/>
  <c r="P1744" i="1"/>
  <c r="R1744" i="1" s="1"/>
  <c r="S1744" i="1" s="1"/>
  <c r="P1743" i="1"/>
  <c r="P1742" i="1"/>
  <c r="P1741" i="1"/>
  <c r="P1740" i="1"/>
  <c r="P1739" i="1"/>
  <c r="P1738" i="1"/>
  <c r="P1737" i="1"/>
  <c r="P1736" i="1"/>
  <c r="P1735" i="1"/>
  <c r="P1734" i="1"/>
  <c r="P1733" i="1"/>
  <c r="R1733" i="1" s="1"/>
  <c r="S1733" i="1" s="1"/>
  <c r="P1732" i="1"/>
  <c r="P1731" i="1"/>
  <c r="P1730" i="1"/>
  <c r="R1730" i="1" s="1"/>
  <c r="S1730" i="1" s="1"/>
  <c r="P1729" i="1"/>
  <c r="R1729" i="1" s="1"/>
  <c r="S1729" i="1" s="1"/>
  <c r="P1728" i="1"/>
  <c r="R1728" i="1" s="1"/>
  <c r="S1728" i="1" s="1"/>
  <c r="P1727" i="1"/>
  <c r="P1726" i="1"/>
  <c r="P1725" i="1"/>
  <c r="R1725" i="1" s="1"/>
  <c r="S1725" i="1" s="1"/>
  <c r="P1724" i="1"/>
  <c r="P1723" i="1"/>
  <c r="P1722" i="1"/>
  <c r="P1721" i="1"/>
  <c r="P1720" i="1"/>
  <c r="R1720" i="1" s="1"/>
  <c r="S1720" i="1" s="1"/>
  <c r="P1719" i="1"/>
  <c r="P1718" i="1"/>
  <c r="R1718" i="1" s="1"/>
  <c r="S1718" i="1" s="1"/>
  <c r="P1717" i="1"/>
  <c r="P1716" i="1"/>
  <c r="P1715" i="1"/>
  <c r="P1714" i="1"/>
  <c r="P1713" i="1"/>
  <c r="P1712" i="1"/>
  <c r="P1711" i="1"/>
  <c r="P1710" i="1"/>
  <c r="R1710" i="1" s="1"/>
  <c r="S1710" i="1" s="1"/>
  <c r="P1709" i="1"/>
  <c r="P1708" i="1"/>
  <c r="P1707" i="1"/>
  <c r="P1706" i="1"/>
  <c r="P1705" i="1"/>
  <c r="P1704" i="1"/>
  <c r="R1704" i="1" s="1"/>
  <c r="S1704" i="1" s="1"/>
  <c r="P1703" i="1"/>
  <c r="P1702" i="1"/>
  <c r="P1701" i="1"/>
  <c r="P1700" i="1"/>
  <c r="P1699" i="1"/>
  <c r="P1698" i="1"/>
  <c r="P1697" i="1"/>
  <c r="R1697" i="1" s="1"/>
  <c r="S1697" i="1" s="1"/>
  <c r="P1696" i="1"/>
  <c r="P1695" i="1"/>
  <c r="P1694" i="1"/>
  <c r="P1693" i="1"/>
  <c r="P1692" i="1"/>
  <c r="R1692" i="1" s="1"/>
  <c r="S1692" i="1" s="1"/>
  <c r="P1691" i="1"/>
  <c r="R1691" i="1" s="1"/>
  <c r="S1691" i="1" s="1"/>
  <c r="P1690" i="1"/>
  <c r="P1689" i="1"/>
  <c r="P1688" i="1"/>
  <c r="P1687" i="1"/>
  <c r="P1686" i="1"/>
  <c r="P1685" i="1"/>
  <c r="R1685" i="1" s="1"/>
  <c r="S1685" i="1" s="1"/>
  <c r="P1684" i="1"/>
  <c r="P1683" i="1"/>
  <c r="P1682" i="1"/>
  <c r="R1682" i="1" s="1"/>
  <c r="S1682" i="1" s="1"/>
  <c r="P1681" i="1"/>
  <c r="P1680" i="1"/>
  <c r="P1679" i="1"/>
  <c r="P1678" i="1"/>
  <c r="P1677" i="1"/>
  <c r="R1677" i="1" s="1"/>
  <c r="S1677" i="1" s="1"/>
  <c r="P1676" i="1"/>
  <c r="P1675" i="1"/>
  <c r="P1674" i="1"/>
  <c r="R1674" i="1" s="1"/>
  <c r="S1674" i="1" s="1"/>
  <c r="P1673" i="1"/>
  <c r="P1672" i="1"/>
  <c r="R1672" i="1" s="1"/>
  <c r="S1672" i="1" s="1"/>
  <c r="P1671" i="1"/>
  <c r="R1671" i="1" s="1"/>
  <c r="S1671" i="1" s="1"/>
  <c r="P1670" i="1"/>
  <c r="R1670" i="1" s="1"/>
  <c r="S1670" i="1" s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R1658" i="1" s="1"/>
  <c r="S1658" i="1" s="1"/>
  <c r="P1657" i="1"/>
  <c r="P1656" i="1"/>
  <c r="P1655" i="1"/>
  <c r="P1654" i="1"/>
  <c r="R1654" i="1" s="1"/>
  <c r="P1653" i="1"/>
  <c r="P1652" i="1"/>
  <c r="P1651" i="1"/>
  <c r="P1650" i="1"/>
  <c r="P1649" i="1"/>
  <c r="R1649" i="1" s="1"/>
  <c r="S1649" i="1" s="1"/>
  <c r="P1648" i="1"/>
  <c r="R1648" i="1" s="1"/>
  <c r="S1648" i="1" s="1"/>
  <c r="P1647" i="1"/>
  <c r="P1646" i="1"/>
  <c r="R1646" i="1" s="1"/>
  <c r="S1646" i="1" s="1"/>
  <c r="P1645" i="1"/>
  <c r="R1645" i="1" s="1"/>
  <c r="S1645" i="1" s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R1632" i="1" s="1"/>
  <c r="S1632" i="1" s="1"/>
  <c r="P1631" i="1"/>
  <c r="P1630" i="1"/>
  <c r="P1629" i="1"/>
  <c r="P1628" i="1"/>
  <c r="P1627" i="1"/>
  <c r="P1626" i="1"/>
  <c r="P1625" i="1"/>
  <c r="R1625" i="1" s="1"/>
  <c r="S1625" i="1" s="1"/>
  <c r="P1624" i="1"/>
  <c r="P1623" i="1"/>
  <c r="P1622" i="1"/>
  <c r="P1621" i="1"/>
  <c r="P1620" i="1"/>
  <c r="P1619" i="1"/>
  <c r="P1618" i="1"/>
  <c r="P1617" i="1"/>
  <c r="R1617" i="1" s="1"/>
  <c r="P1616" i="1"/>
  <c r="P1615" i="1"/>
  <c r="P1614" i="1"/>
  <c r="P1613" i="1"/>
  <c r="P1612" i="1"/>
  <c r="P1611" i="1"/>
  <c r="R1611" i="1" s="1"/>
  <c r="S1611" i="1" s="1"/>
  <c r="P1610" i="1"/>
  <c r="P1609" i="1"/>
  <c r="P1608" i="1"/>
  <c r="P1607" i="1"/>
  <c r="P1606" i="1"/>
  <c r="P1605" i="1"/>
  <c r="P1604" i="1"/>
  <c r="P1603" i="1"/>
  <c r="P1602" i="1"/>
  <c r="P1601" i="1"/>
  <c r="R1601" i="1" s="1"/>
  <c r="P1600" i="1"/>
  <c r="P1599" i="1"/>
  <c r="R1599" i="1" s="1"/>
  <c r="S1599" i="1" s="1"/>
  <c r="P1598" i="1"/>
  <c r="R1598" i="1" s="1"/>
  <c r="P1597" i="1"/>
  <c r="P1596" i="1"/>
  <c r="P1595" i="1"/>
  <c r="P1594" i="1"/>
  <c r="P1593" i="1"/>
  <c r="P1592" i="1"/>
  <c r="P1591" i="1"/>
  <c r="P1590" i="1"/>
  <c r="R1590" i="1" s="1"/>
  <c r="S1590" i="1" s="1"/>
  <c r="P1589" i="1"/>
  <c r="P1588" i="1"/>
  <c r="P1587" i="1"/>
  <c r="P1586" i="1"/>
  <c r="P1585" i="1"/>
  <c r="P1584" i="1"/>
  <c r="R1584" i="1" s="1"/>
  <c r="S1584" i="1" s="1"/>
  <c r="P1583" i="1"/>
  <c r="P1582" i="1"/>
  <c r="P1581" i="1"/>
  <c r="P1580" i="1"/>
  <c r="P1579" i="1"/>
  <c r="P1578" i="1"/>
  <c r="P1577" i="1"/>
  <c r="P1576" i="1"/>
  <c r="R1576" i="1" s="1"/>
  <c r="S1576" i="1" s="1"/>
  <c r="P1575" i="1"/>
  <c r="R1575" i="1" s="1"/>
  <c r="S1575" i="1" s="1"/>
  <c r="P1574" i="1"/>
  <c r="R1574" i="1" s="1"/>
  <c r="P1573" i="1"/>
  <c r="P1572" i="1"/>
  <c r="R1572" i="1" s="1"/>
  <c r="S1572" i="1" s="1"/>
  <c r="P1571" i="1"/>
  <c r="R1571" i="1" s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R1554" i="1" s="1"/>
  <c r="S1554" i="1" s="1"/>
  <c r="P1553" i="1"/>
  <c r="R1553" i="1" s="1"/>
  <c r="S1553" i="1" s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R1541" i="1" s="1"/>
  <c r="S1541" i="1" s="1"/>
  <c r="P1540" i="1"/>
  <c r="R1540" i="1" s="1"/>
  <c r="S1540" i="1" s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R1528" i="1" s="1"/>
  <c r="P1527" i="1"/>
  <c r="P1526" i="1"/>
  <c r="R1526" i="1" s="1"/>
  <c r="S1526" i="1" s="1"/>
  <c r="P1525" i="1"/>
  <c r="P1524" i="1"/>
  <c r="P1523" i="1"/>
  <c r="P1522" i="1"/>
  <c r="P1521" i="1"/>
  <c r="P1520" i="1"/>
  <c r="P1519" i="1"/>
  <c r="P1518" i="1"/>
  <c r="R1518" i="1" s="1"/>
  <c r="S1518" i="1" s="1"/>
  <c r="P1517" i="1"/>
  <c r="R1517" i="1" s="1"/>
  <c r="S1517" i="1" s="1"/>
  <c r="P1516" i="1"/>
  <c r="P1515" i="1"/>
  <c r="P1514" i="1"/>
  <c r="P1513" i="1"/>
  <c r="Q1513" i="1" s="1"/>
  <c r="P1512" i="1"/>
  <c r="P1511" i="1"/>
  <c r="Q1511" i="1" s="1"/>
  <c r="P1510" i="1"/>
  <c r="P1509" i="1"/>
  <c r="P1508" i="1"/>
  <c r="P1507" i="1"/>
  <c r="P1506" i="1"/>
  <c r="P1505" i="1"/>
  <c r="P1504" i="1"/>
  <c r="R1504" i="1" s="1"/>
  <c r="S1504" i="1" s="1"/>
  <c r="P1503" i="1"/>
  <c r="P1502" i="1"/>
  <c r="R1502" i="1" s="1"/>
  <c r="S1502" i="1" s="1"/>
  <c r="P1501" i="1"/>
  <c r="R1501" i="1" s="1"/>
  <c r="S1501" i="1" s="1"/>
  <c r="P1500" i="1"/>
  <c r="R1500" i="1" s="1"/>
  <c r="S1500" i="1" s="1"/>
  <c r="P1499" i="1"/>
  <c r="R1499" i="1" s="1"/>
  <c r="S1499" i="1" s="1"/>
  <c r="P1498" i="1"/>
  <c r="R1498" i="1" s="1"/>
  <c r="P1497" i="1"/>
  <c r="P1496" i="1"/>
  <c r="P1495" i="1"/>
  <c r="P1494" i="1"/>
  <c r="R1494" i="1" s="1"/>
  <c r="S1494" i="1" s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R1482" i="1" s="1"/>
  <c r="S1482" i="1" s="1"/>
  <c r="P1481" i="1"/>
  <c r="P1480" i="1"/>
  <c r="R1480" i="1" s="1"/>
  <c r="S1480" i="1" s="1"/>
  <c r="P1479" i="1"/>
  <c r="P1478" i="1"/>
  <c r="P1477" i="1"/>
  <c r="P1476" i="1"/>
  <c r="R1476" i="1" s="1"/>
  <c r="S1476" i="1" s="1"/>
  <c r="P1475" i="1"/>
  <c r="P1474" i="1"/>
  <c r="P1473" i="1"/>
  <c r="P1472" i="1"/>
  <c r="P1471" i="1"/>
  <c r="P1470" i="1"/>
  <c r="R1470" i="1" s="1"/>
  <c r="S1470" i="1" s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R1457" i="1" s="1"/>
  <c r="S1457" i="1" s="1"/>
  <c r="P1456" i="1"/>
  <c r="P1455" i="1"/>
  <c r="R1455" i="1" s="1"/>
  <c r="S1455" i="1" s="1"/>
  <c r="P1454" i="1"/>
  <c r="R1454" i="1" s="1"/>
  <c r="P1453" i="1"/>
  <c r="P1452" i="1"/>
  <c r="R1452" i="1" s="1"/>
  <c r="S1452" i="1" s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R1434" i="1" s="1"/>
  <c r="S1434" i="1" s="1"/>
  <c r="P1433" i="1"/>
  <c r="R1433" i="1" s="1"/>
  <c r="S1433" i="1" s="1"/>
  <c r="P1432" i="1"/>
  <c r="R1432" i="1" s="1"/>
  <c r="S1432" i="1" s="1"/>
  <c r="P1431" i="1"/>
  <c r="R1431" i="1" s="1"/>
  <c r="S1431" i="1" s="1"/>
  <c r="P1430" i="1"/>
  <c r="R1430" i="1" s="1"/>
  <c r="S1430" i="1" s="1"/>
  <c r="P1429" i="1"/>
  <c r="R1429" i="1" s="1"/>
  <c r="S1429" i="1" s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R1408" i="1" s="1"/>
  <c r="S1408" i="1" s="1"/>
  <c r="P1407" i="1"/>
  <c r="P1406" i="1"/>
  <c r="P1405" i="1"/>
  <c r="P1404" i="1"/>
  <c r="P1403" i="1"/>
  <c r="R1403" i="1" s="1"/>
  <c r="P1402" i="1"/>
  <c r="R1402" i="1" s="1"/>
  <c r="P1401" i="1"/>
  <c r="P1400" i="1"/>
  <c r="P1399" i="1"/>
  <c r="P1398" i="1"/>
  <c r="P1397" i="1"/>
  <c r="P1396" i="1"/>
  <c r="R1396" i="1" s="1"/>
  <c r="S1396" i="1" s="1"/>
  <c r="P1395" i="1"/>
  <c r="P1394" i="1"/>
  <c r="P1393" i="1"/>
  <c r="P1392" i="1"/>
  <c r="P1391" i="1"/>
  <c r="R1391" i="1" s="1"/>
  <c r="S1391" i="1" s="1"/>
  <c r="P1390" i="1"/>
  <c r="P1389" i="1"/>
  <c r="R1389" i="1" s="1"/>
  <c r="S1389" i="1" s="1"/>
  <c r="P1388" i="1"/>
  <c r="P1387" i="1"/>
  <c r="P1386" i="1"/>
  <c r="R1386" i="1" s="1"/>
  <c r="S1386" i="1" s="1"/>
  <c r="P1385" i="1"/>
  <c r="P1384" i="1"/>
  <c r="R1384" i="1" s="1"/>
  <c r="P1383" i="1"/>
  <c r="R1383" i="1" s="1"/>
  <c r="S1383" i="1" s="1"/>
  <c r="P1382" i="1"/>
  <c r="R1382" i="1" s="1"/>
  <c r="S1382" i="1" s="1"/>
  <c r="P1381" i="1"/>
  <c r="P1380" i="1"/>
  <c r="R1380" i="1" s="1"/>
  <c r="S1380" i="1" s="1"/>
  <c r="P1379" i="1"/>
  <c r="P1378" i="1"/>
  <c r="P1377" i="1"/>
  <c r="P1376" i="1"/>
  <c r="P1375" i="1"/>
  <c r="P1374" i="1"/>
  <c r="P1373" i="1"/>
  <c r="P1372" i="1"/>
  <c r="P1371" i="1"/>
  <c r="R1371" i="1" s="1"/>
  <c r="S1371" i="1" s="1"/>
  <c r="P1370" i="1"/>
  <c r="P1369" i="1"/>
  <c r="P1368" i="1"/>
  <c r="R1368" i="1" s="1"/>
  <c r="S1368" i="1" s="1"/>
  <c r="P1367" i="1"/>
  <c r="P1366" i="1"/>
  <c r="R1366" i="1" s="1"/>
  <c r="P1365" i="1"/>
  <c r="P1364" i="1"/>
  <c r="P1363" i="1"/>
  <c r="P1362" i="1"/>
  <c r="R1362" i="1" s="1"/>
  <c r="S1362" i="1" s="1"/>
  <c r="P1361" i="1"/>
  <c r="R1361" i="1" s="1"/>
  <c r="P1360" i="1"/>
  <c r="R1360" i="1" s="1"/>
  <c r="S1360" i="1" s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R1344" i="1" s="1"/>
  <c r="S1344" i="1" s="1"/>
  <c r="P1343" i="1"/>
  <c r="P1342" i="1"/>
  <c r="P1341" i="1"/>
  <c r="P1340" i="1"/>
  <c r="P1339" i="1"/>
  <c r="P1338" i="1"/>
  <c r="P1337" i="1"/>
  <c r="R1337" i="1" s="1"/>
  <c r="P1336" i="1"/>
  <c r="P1335" i="1"/>
  <c r="P1334" i="1"/>
  <c r="R1334" i="1" s="1"/>
  <c r="P1333" i="1"/>
  <c r="P1332" i="1"/>
  <c r="R1332" i="1" s="1"/>
  <c r="S1332" i="1" s="1"/>
  <c r="P1331" i="1"/>
  <c r="P1330" i="1"/>
  <c r="P1329" i="1"/>
  <c r="P1328" i="1"/>
  <c r="P1327" i="1"/>
  <c r="P1326" i="1"/>
  <c r="P1325" i="1"/>
  <c r="P1324" i="1"/>
  <c r="P1323" i="1"/>
  <c r="R1323" i="1" s="1"/>
  <c r="S1323" i="1" s="1"/>
  <c r="P1322" i="1"/>
  <c r="P1321" i="1"/>
  <c r="P1320" i="1"/>
  <c r="P1319" i="1"/>
  <c r="R1319" i="1" s="1"/>
  <c r="P1318" i="1"/>
  <c r="P1317" i="1"/>
  <c r="P1316" i="1"/>
  <c r="P1315" i="1"/>
  <c r="P1314" i="1"/>
  <c r="R1314" i="1" s="1"/>
  <c r="S1314" i="1" s="1"/>
  <c r="P1313" i="1"/>
  <c r="R1313" i="1" s="1"/>
  <c r="S1313" i="1" s="1"/>
  <c r="P1312" i="1"/>
  <c r="P1311" i="1"/>
  <c r="P1310" i="1"/>
  <c r="P1309" i="1"/>
  <c r="P1308" i="1"/>
  <c r="P1307" i="1"/>
  <c r="P1306" i="1"/>
  <c r="P1305" i="1"/>
  <c r="P1304" i="1"/>
  <c r="P1303" i="1"/>
  <c r="P1302" i="1"/>
  <c r="R1302" i="1" s="1"/>
  <c r="S1302" i="1" s="1"/>
  <c r="P1301" i="1"/>
  <c r="P1300" i="1"/>
  <c r="P1299" i="1"/>
  <c r="R1299" i="1" s="1"/>
  <c r="S1299" i="1" s="1"/>
  <c r="P1298" i="1"/>
  <c r="R1298" i="1" s="1"/>
  <c r="S1298" i="1" s="1"/>
  <c r="P1297" i="1"/>
  <c r="R1297" i="1" s="1"/>
  <c r="S1297" i="1" s="1"/>
  <c r="P1296" i="1"/>
  <c r="P1295" i="1"/>
  <c r="P1294" i="1"/>
  <c r="P1293" i="1"/>
  <c r="P1292" i="1"/>
  <c r="P1291" i="1"/>
  <c r="P1290" i="1"/>
  <c r="R1290" i="1" s="1"/>
  <c r="S1290" i="1" s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R1275" i="1" s="1"/>
  <c r="S1275" i="1" s="1"/>
  <c r="P1274" i="1"/>
  <c r="R1274" i="1" s="1"/>
  <c r="S1274" i="1" s="1"/>
  <c r="P1273" i="1"/>
  <c r="P1272" i="1"/>
  <c r="R1272" i="1" s="1"/>
  <c r="S1272" i="1" s="1"/>
  <c r="P1271" i="1"/>
  <c r="P1270" i="1"/>
  <c r="P1269" i="1"/>
  <c r="P1268" i="1"/>
  <c r="P1267" i="1"/>
  <c r="P1266" i="1"/>
  <c r="P1265" i="1"/>
  <c r="R1265" i="1" s="1"/>
  <c r="S1265" i="1" s="1"/>
  <c r="P1264" i="1"/>
  <c r="P1263" i="1"/>
  <c r="R1263" i="1" s="1"/>
  <c r="S1263" i="1" s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R1251" i="1" s="1"/>
  <c r="S1251" i="1" s="1"/>
  <c r="P1250" i="1"/>
  <c r="P1249" i="1"/>
  <c r="P1248" i="1"/>
  <c r="R1248" i="1" s="1"/>
  <c r="S1248" i="1" s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R1230" i="1" s="1"/>
  <c r="S1230" i="1" s="1"/>
  <c r="P1229" i="1"/>
  <c r="R1229" i="1" s="1"/>
  <c r="S1229" i="1" s="1"/>
  <c r="P1228" i="1"/>
  <c r="P1227" i="1"/>
  <c r="R1227" i="1" s="1"/>
  <c r="S1227" i="1" s="1"/>
  <c r="P1226" i="1"/>
  <c r="R1226" i="1" s="1"/>
  <c r="S1226" i="1" s="1"/>
  <c r="P1225" i="1"/>
  <c r="R1225" i="1" s="1"/>
  <c r="S1225" i="1" s="1"/>
  <c r="P1224" i="1"/>
  <c r="P1223" i="1"/>
  <c r="R1223" i="1" s="1"/>
  <c r="P1222" i="1"/>
  <c r="P1221" i="1"/>
  <c r="P1220" i="1"/>
  <c r="P1219" i="1"/>
  <c r="P1218" i="1"/>
  <c r="P1217" i="1"/>
  <c r="P1216" i="1"/>
  <c r="P1215" i="1"/>
  <c r="P1214" i="1"/>
  <c r="P1213" i="1"/>
  <c r="P1212" i="1"/>
  <c r="R1212" i="1" s="1"/>
  <c r="S1212" i="1" s="1"/>
  <c r="P1211" i="1"/>
  <c r="P1210" i="1"/>
  <c r="P1209" i="1"/>
  <c r="P1208" i="1"/>
  <c r="P1207" i="1"/>
  <c r="P1206" i="1"/>
  <c r="R1206" i="1" s="1"/>
  <c r="S1206" i="1" s="1"/>
  <c r="P1205" i="1"/>
  <c r="R1205" i="1" s="1"/>
  <c r="S1205" i="1" s="1"/>
  <c r="P1204" i="1"/>
  <c r="P1203" i="1"/>
  <c r="R1203" i="1" s="1"/>
  <c r="S1203" i="1" s="1"/>
  <c r="P1202" i="1"/>
  <c r="P1201" i="1"/>
  <c r="P1200" i="1"/>
  <c r="R1200" i="1" s="1"/>
  <c r="S1200" i="1" s="1"/>
  <c r="P1199" i="1"/>
  <c r="P1198" i="1"/>
  <c r="R1198" i="1" s="1"/>
  <c r="P1197" i="1"/>
  <c r="R1197" i="1" s="1"/>
  <c r="S1197" i="1" s="1"/>
  <c r="P1196" i="1"/>
  <c r="P1195" i="1"/>
  <c r="P1194" i="1"/>
  <c r="P1193" i="1"/>
  <c r="P1192" i="1"/>
  <c r="P1191" i="1"/>
  <c r="P1190" i="1"/>
  <c r="R1190" i="1" s="1"/>
  <c r="S1190" i="1" s="1"/>
  <c r="P1189" i="1"/>
  <c r="P1188" i="1"/>
  <c r="P1187" i="1"/>
  <c r="P1186" i="1"/>
  <c r="R1186" i="1" s="1"/>
  <c r="P1185" i="1"/>
  <c r="P1184" i="1"/>
  <c r="P1183" i="1"/>
  <c r="P1182" i="1"/>
  <c r="P1181" i="1"/>
  <c r="P1180" i="1"/>
  <c r="P1179" i="1"/>
  <c r="P1178" i="1"/>
  <c r="R1178" i="1" s="1"/>
  <c r="S1178" i="1" s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R1166" i="1" s="1"/>
  <c r="S1166" i="1" s="1"/>
  <c r="P1165" i="1"/>
  <c r="P1164" i="1"/>
  <c r="P1163" i="1"/>
  <c r="P1162" i="1"/>
  <c r="P1161" i="1"/>
  <c r="P1160" i="1"/>
  <c r="P1159" i="1"/>
  <c r="P1158" i="1"/>
  <c r="R1158" i="1" s="1"/>
  <c r="S1158" i="1" s="1"/>
  <c r="P1157" i="1"/>
  <c r="P1156" i="1"/>
  <c r="R1156" i="1" s="1"/>
  <c r="S1156" i="1" s="1"/>
  <c r="P1155" i="1"/>
  <c r="R1155" i="1" s="1"/>
  <c r="S1155" i="1" s="1"/>
  <c r="P1154" i="1"/>
  <c r="P1153" i="1"/>
  <c r="P1152" i="1"/>
  <c r="R1152" i="1" s="1"/>
  <c r="S1152" i="1" s="1"/>
  <c r="P1151" i="1"/>
  <c r="P1150" i="1"/>
  <c r="P1149" i="1"/>
  <c r="P1148" i="1"/>
  <c r="P1147" i="1"/>
  <c r="P1146" i="1"/>
  <c r="P1145" i="1"/>
  <c r="P1144" i="1"/>
  <c r="P1143" i="1"/>
  <c r="R1143" i="1" s="1"/>
  <c r="S1143" i="1" s="1"/>
  <c r="P1142" i="1"/>
  <c r="P1141" i="1"/>
  <c r="P1140" i="1"/>
  <c r="R1140" i="1" s="1"/>
  <c r="S1140" i="1" s="1"/>
  <c r="P1139" i="1"/>
  <c r="P1138" i="1"/>
  <c r="P1137" i="1"/>
  <c r="P1136" i="1"/>
  <c r="P1135" i="1"/>
  <c r="P1134" i="1"/>
  <c r="P1133" i="1"/>
  <c r="P1132" i="1"/>
  <c r="P1131" i="1"/>
  <c r="R1131" i="1" s="1"/>
  <c r="S1131" i="1" s="1"/>
  <c r="P1130" i="1"/>
  <c r="P1129" i="1"/>
  <c r="R1129" i="1" s="1"/>
  <c r="S1129" i="1" s="1"/>
  <c r="P1128" i="1"/>
  <c r="R1128" i="1" s="1"/>
  <c r="S1128" i="1" s="1"/>
  <c r="P1127" i="1"/>
  <c r="P1126" i="1"/>
  <c r="P1125" i="1"/>
  <c r="P1124" i="1"/>
  <c r="P1123" i="1"/>
  <c r="P1122" i="1"/>
  <c r="P1121" i="1"/>
  <c r="P1120" i="1"/>
  <c r="P1119" i="1"/>
  <c r="P1118" i="1"/>
  <c r="P1117" i="1"/>
  <c r="R1117" i="1" s="1"/>
  <c r="S1117" i="1" s="1"/>
  <c r="P1116" i="1"/>
  <c r="P1115" i="1"/>
  <c r="R1115" i="1" s="1"/>
  <c r="P1114" i="1"/>
  <c r="P1113" i="1"/>
  <c r="P1112" i="1"/>
  <c r="P1111" i="1"/>
  <c r="P1110" i="1"/>
  <c r="P1109" i="1"/>
  <c r="P1108" i="1"/>
  <c r="P1107" i="1"/>
  <c r="P1106" i="1"/>
  <c r="R1106" i="1" s="1"/>
  <c r="S1106" i="1" s="1"/>
  <c r="P1105" i="1"/>
  <c r="P1104" i="1"/>
  <c r="P1103" i="1"/>
  <c r="P1102" i="1"/>
  <c r="P1101" i="1"/>
  <c r="P1100" i="1"/>
  <c r="P1099" i="1"/>
  <c r="P1098" i="1"/>
  <c r="R1098" i="1" s="1"/>
  <c r="S1098" i="1" s="1"/>
  <c r="P1097" i="1"/>
  <c r="P1096" i="1"/>
  <c r="P1095" i="1"/>
  <c r="P1094" i="1"/>
  <c r="P1093" i="1"/>
  <c r="P1092" i="1"/>
  <c r="R1092" i="1" s="1"/>
  <c r="S1092" i="1" s="1"/>
  <c r="P1091" i="1"/>
  <c r="R1091" i="1" s="1"/>
  <c r="P1090" i="1"/>
  <c r="R1090" i="1" s="1"/>
  <c r="S1090" i="1" s="1"/>
  <c r="P1089" i="1"/>
  <c r="P1088" i="1"/>
  <c r="P1087" i="1"/>
  <c r="P1086" i="1"/>
  <c r="R1086" i="1" s="1"/>
  <c r="S1086" i="1" s="1"/>
  <c r="P1085" i="1"/>
  <c r="P1084" i="1"/>
  <c r="P1083" i="1"/>
  <c r="R1083" i="1" s="1"/>
  <c r="S1083" i="1" s="1"/>
  <c r="P1082" i="1"/>
  <c r="P1081" i="1"/>
  <c r="P1080" i="1"/>
  <c r="P1079" i="1"/>
  <c r="P1078" i="1"/>
  <c r="P1077" i="1"/>
  <c r="P1076" i="1"/>
  <c r="P1075" i="1"/>
  <c r="P1074" i="1"/>
  <c r="R1074" i="1" s="1"/>
  <c r="S1074" i="1" s="1"/>
  <c r="P1073" i="1"/>
  <c r="P1072" i="1"/>
  <c r="P1071" i="1"/>
  <c r="P1070" i="1"/>
  <c r="R1070" i="1" s="1"/>
  <c r="S1070" i="1" s="1"/>
  <c r="P1069" i="1"/>
  <c r="P1068" i="1"/>
  <c r="P1067" i="1"/>
  <c r="P1066" i="1"/>
  <c r="P1065" i="1"/>
  <c r="P1064" i="1"/>
  <c r="P1063" i="1"/>
  <c r="P1062" i="1"/>
  <c r="P1061" i="1"/>
  <c r="P1060" i="1"/>
  <c r="R1060" i="1" s="1"/>
  <c r="S1060" i="1" s="1"/>
  <c r="P1059" i="1"/>
  <c r="R1059" i="1" s="1"/>
  <c r="S1059" i="1" s="1"/>
  <c r="P1058" i="1"/>
  <c r="P1057" i="1"/>
  <c r="P1056" i="1"/>
  <c r="P1055" i="1"/>
  <c r="P1054" i="1"/>
  <c r="P1053" i="1"/>
  <c r="P1052" i="1"/>
  <c r="P1051" i="1"/>
  <c r="P1050" i="1"/>
  <c r="P1049" i="1"/>
  <c r="P1048" i="1"/>
  <c r="R1048" i="1" s="1"/>
  <c r="S1048" i="1" s="1"/>
  <c r="P1047" i="1"/>
  <c r="P1046" i="1"/>
  <c r="R1046" i="1" s="1"/>
  <c r="S1046" i="1" s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Q1025" i="1" s="1"/>
  <c r="P1024" i="1"/>
  <c r="P1023" i="1"/>
  <c r="R1023" i="1" s="1"/>
  <c r="S1023" i="1" s="1"/>
  <c r="P1022" i="1"/>
  <c r="P1021" i="1"/>
  <c r="R1021" i="1" s="1"/>
  <c r="S1021" i="1" s="1"/>
  <c r="P1020" i="1"/>
  <c r="R1020" i="1" s="1"/>
  <c r="S1020" i="1" s="1"/>
  <c r="P1019" i="1"/>
  <c r="P1018" i="1"/>
  <c r="R1018" i="1" s="1"/>
  <c r="P1017" i="1"/>
  <c r="R1017" i="1" s="1"/>
  <c r="S1017" i="1" s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R990" i="1" s="1"/>
  <c r="S990" i="1" s="1"/>
  <c r="P989" i="1"/>
  <c r="Q989" i="1" s="1"/>
  <c r="P988" i="1"/>
  <c r="Q988" i="1" s="1"/>
  <c r="P987" i="1"/>
  <c r="P986" i="1"/>
  <c r="P985" i="1"/>
  <c r="P984" i="1"/>
  <c r="P983" i="1"/>
  <c r="P982" i="1"/>
  <c r="P981" i="1"/>
  <c r="R981" i="1" s="1"/>
  <c r="S981" i="1" s="1"/>
  <c r="P980" i="1"/>
  <c r="P979" i="1"/>
  <c r="P978" i="1"/>
  <c r="P977" i="1"/>
  <c r="P976" i="1"/>
  <c r="R976" i="1" s="1"/>
  <c r="S976" i="1" s="1"/>
  <c r="P975" i="1"/>
  <c r="P974" i="1"/>
  <c r="P973" i="1"/>
  <c r="P972" i="1"/>
  <c r="R972" i="1" s="1"/>
  <c r="S972" i="1" s="1"/>
  <c r="P971" i="1"/>
  <c r="P970" i="1"/>
  <c r="P969" i="1"/>
  <c r="P968" i="1"/>
  <c r="P967" i="1"/>
  <c r="P966" i="1"/>
  <c r="P965" i="1"/>
  <c r="P964" i="1"/>
  <c r="P963" i="1"/>
  <c r="P962" i="1"/>
  <c r="P961" i="1"/>
  <c r="P960" i="1"/>
  <c r="R960" i="1" s="1"/>
  <c r="S960" i="1" s="1"/>
  <c r="P959" i="1"/>
  <c r="P958" i="1"/>
  <c r="P957" i="1"/>
  <c r="P956" i="1"/>
  <c r="P955" i="1"/>
  <c r="P954" i="1"/>
  <c r="R954" i="1" s="1"/>
  <c r="S954" i="1" s="1"/>
  <c r="P953" i="1"/>
  <c r="P952" i="1"/>
  <c r="P951" i="1"/>
  <c r="R951" i="1" s="1"/>
  <c r="S951" i="1" s="1"/>
  <c r="P950" i="1"/>
  <c r="P949" i="1"/>
  <c r="R949" i="1" s="1"/>
  <c r="S949" i="1" s="1"/>
  <c r="P948" i="1"/>
  <c r="R948" i="1" s="1"/>
  <c r="S948" i="1" s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R923" i="1" s="1"/>
  <c r="P922" i="1"/>
  <c r="P921" i="1"/>
  <c r="R921" i="1" s="1"/>
  <c r="S921" i="1" s="1"/>
  <c r="P920" i="1"/>
  <c r="P919" i="1"/>
  <c r="P918" i="1"/>
  <c r="P917" i="1"/>
  <c r="P916" i="1"/>
  <c r="P915" i="1"/>
  <c r="P914" i="1"/>
  <c r="P913" i="1"/>
  <c r="P912" i="1"/>
  <c r="R912" i="1" s="1"/>
  <c r="S912" i="1" s="1"/>
  <c r="P911" i="1"/>
  <c r="P910" i="1"/>
  <c r="P909" i="1"/>
  <c r="R909" i="1" s="1"/>
  <c r="P908" i="1"/>
  <c r="P907" i="1"/>
  <c r="P906" i="1"/>
  <c r="P905" i="1"/>
  <c r="P904" i="1"/>
  <c r="P903" i="1"/>
  <c r="R903" i="1" s="1"/>
  <c r="S903" i="1" s="1"/>
  <c r="P902" i="1"/>
  <c r="P901" i="1"/>
  <c r="P900" i="1"/>
  <c r="R900" i="1" s="1"/>
  <c r="S900" i="1" s="1"/>
  <c r="P899" i="1"/>
  <c r="P898" i="1"/>
  <c r="P897" i="1"/>
  <c r="P896" i="1"/>
  <c r="P895" i="1"/>
  <c r="P894" i="1"/>
  <c r="P893" i="1"/>
  <c r="P892" i="1"/>
  <c r="P891" i="1"/>
  <c r="R891" i="1" s="1"/>
  <c r="S891" i="1" s="1"/>
  <c r="P890" i="1"/>
  <c r="P889" i="1"/>
  <c r="P888" i="1"/>
  <c r="P887" i="1"/>
  <c r="P886" i="1"/>
  <c r="R886" i="1" s="1"/>
  <c r="P885" i="1"/>
  <c r="R885" i="1" s="1"/>
  <c r="S885" i="1" s="1"/>
  <c r="P884" i="1"/>
  <c r="P883" i="1"/>
  <c r="P882" i="1"/>
  <c r="R882" i="1" s="1"/>
  <c r="S882" i="1" s="1"/>
  <c r="P881" i="1"/>
  <c r="P880" i="1"/>
  <c r="R880" i="1" s="1"/>
  <c r="S880" i="1" s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R855" i="1" s="1"/>
  <c r="S855" i="1" s="1"/>
  <c r="P854" i="1"/>
  <c r="R854" i="1" s="1"/>
  <c r="S854" i="1" s="1"/>
  <c r="P853" i="1"/>
  <c r="P852" i="1"/>
  <c r="P851" i="1"/>
  <c r="P850" i="1"/>
  <c r="P849" i="1"/>
  <c r="P848" i="1"/>
  <c r="P847" i="1"/>
  <c r="P846" i="1"/>
  <c r="P845" i="1"/>
  <c r="P844" i="1"/>
  <c r="P843" i="1"/>
  <c r="R843" i="1" s="1"/>
  <c r="S843" i="1" s="1"/>
  <c r="P842" i="1"/>
  <c r="P841" i="1"/>
  <c r="R841" i="1" s="1"/>
  <c r="S841" i="1" s="1"/>
  <c r="P840" i="1"/>
  <c r="P839" i="1"/>
  <c r="P838" i="1"/>
  <c r="P837" i="1"/>
  <c r="P836" i="1"/>
  <c r="P835" i="1"/>
  <c r="P834" i="1"/>
  <c r="P833" i="1"/>
  <c r="P832" i="1"/>
  <c r="P831" i="1"/>
  <c r="R831" i="1" s="1"/>
  <c r="S831" i="1" s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R817" i="1" s="1"/>
  <c r="S817" i="1" s="1"/>
  <c r="P816" i="1"/>
  <c r="R816" i="1" s="1"/>
  <c r="S816" i="1" s="1"/>
  <c r="P815" i="1"/>
  <c r="P814" i="1"/>
  <c r="R814" i="1" s="1"/>
  <c r="P813" i="1"/>
  <c r="R813" i="1" s="1"/>
  <c r="S813" i="1" s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R786" i="1" s="1"/>
  <c r="S786" i="1" s="1"/>
  <c r="P785" i="1"/>
  <c r="R785" i="1" s="1"/>
  <c r="S785" i="1" s="1"/>
  <c r="P784" i="1"/>
  <c r="P783" i="1"/>
  <c r="P782" i="1"/>
  <c r="P781" i="1"/>
  <c r="P780" i="1"/>
  <c r="P779" i="1"/>
  <c r="P778" i="1"/>
  <c r="P777" i="1"/>
  <c r="P776" i="1"/>
  <c r="P775" i="1"/>
  <c r="P774" i="1"/>
  <c r="P773" i="1"/>
  <c r="R773" i="1" s="1"/>
  <c r="S773" i="1" s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R750" i="1" s="1"/>
  <c r="S750" i="1" s="1"/>
  <c r="P749" i="1"/>
  <c r="P748" i="1"/>
  <c r="R748" i="1" s="1"/>
  <c r="P747" i="1"/>
  <c r="P746" i="1"/>
  <c r="R746" i="1" s="1"/>
  <c r="S746" i="1" s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R722" i="1" s="1"/>
  <c r="S722" i="1" s="1"/>
  <c r="P721" i="1"/>
  <c r="R721" i="1" s="1"/>
  <c r="S721" i="1" s="1"/>
  <c r="P720" i="1"/>
  <c r="P719" i="1"/>
  <c r="P718" i="1"/>
  <c r="P717" i="1"/>
  <c r="P716" i="1"/>
  <c r="P715" i="1"/>
  <c r="P714" i="1"/>
  <c r="P713" i="1"/>
  <c r="P712" i="1"/>
  <c r="R712" i="1" s="1"/>
  <c r="S712" i="1" s="1"/>
  <c r="P711" i="1"/>
  <c r="P710" i="1"/>
  <c r="P709" i="1"/>
  <c r="R709" i="1" s="1"/>
  <c r="S709" i="1" s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R689" i="1" s="1"/>
  <c r="S689" i="1" s="1"/>
  <c r="P688" i="1"/>
  <c r="P687" i="1"/>
  <c r="P686" i="1"/>
  <c r="R686" i="1" s="1"/>
  <c r="S686" i="1" s="1"/>
  <c r="P685" i="1"/>
  <c r="R685" i="1" s="1"/>
  <c r="S685" i="1" s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R658" i="1" s="1"/>
  <c r="P657" i="1"/>
  <c r="R657" i="1" s="1"/>
  <c r="S657" i="1" s="1"/>
  <c r="P656" i="1"/>
  <c r="P655" i="1"/>
  <c r="P654" i="1"/>
  <c r="P653" i="1"/>
  <c r="P652" i="1"/>
  <c r="Q652" i="1" s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R638" i="1" s="1"/>
  <c r="S638" i="1" s="1"/>
  <c r="P637" i="1"/>
  <c r="R637" i="1" s="1"/>
  <c r="S637" i="1" s="1"/>
  <c r="P636" i="1"/>
  <c r="P635" i="1"/>
  <c r="P634" i="1"/>
  <c r="R634" i="1" s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R615" i="1" s="1"/>
  <c r="S615" i="1" s="1"/>
  <c r="P614" i="1"/>
  <c r="R614" i="1" s="1"/>
  <c r="S614" i="1" s="1"/>
  <c r="P613" i="1"/>
  <c r="P612" i="1"/>
  <c r="P611" i="1"/>
  <c r="P610" i="1"/>
  <c r="P609" i="1"/>
  <c r="P608" i="1"/>
  <c r="P607" i="1"/>
  <c r="P606" i="1"/>
  <c r="P605" i="1"/>
  <c r="R605" i="1" s="1"/>
  <c r="S605" i="1" s="1"/>
  <c r="P604" i="1"/>
  <c r="R604" i="1" s="1"/>
  <c r="S604" i="1" s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R589" i="1" s="1"/>
  <c r="S589" i="1" s="1"/>
  <c r="P588" i="1"/>
  <c r="R588" i="1" s="1"/>
  <c r="S588" i="1" s="1"/>
  <c r="P587" i="1"/>
  <c r="P586" i="1"/>
  <c r="R586" i="1" s="1"/>
  <c r="P585" i="1"/>
  <c r="P584" i="1"/>
  <c r="R584" i="1" s="1"/>
  <c r="S584" i="1" s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R568" i="1" s="1"/>
  <c r="S568" i="1" s="1"/>
  <c r="P567" i="1"/>
  <c r="P566" i="1"/>
  <c r="R566" i="1" s="1"/>
  <c r="S566" i="1" s="1"/>
  <c r="P565" i="1"/>
  <c r="P564" i="1"/>
  <c r="P563" i="1"/>
  <c r="P562" i="1"/>
  <c r="P561" i="1"/>
  <c r="P560" i="1"/>
  <c r="P559" i="1"/>
  <c r="P558" i="1"/>
  <c r="P557" i="1"/>
  <c r="R557" i="1" s="1"/>
  <c r="S557" i="1" s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R542" i="1" s="1"/>
  <c r="S542" i="1" s="1"/>
  <c r="P541" i="1"/>
  <c r="P540" i="1"/>
  <c r="R540" i="1" s="1"/>
  <c r="S540" i="1" s="1"/>
  <c r="P539" i="1"/>
  <c r="P538" i="1"/>
  <c r="R538" i="1" s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R521" i="1" s="1"/>
  <c r="S521" i="1" s="1"/>
  <c r="P520" i="1"/>
  <c r="R520" i="1" s="1"/>
  <c r="S520" i="1" s="1"/>
  <c r="P519" i="1"/>
  <c r="P518" i="1"/>
  <c r="P517" i="1"/>
  <c r="P516" i="1"/>
  <c r="P515" i="1"/>
  <c r="P514" i="1"/>
  <c r="P513" i="1"/>
  <c r="P512" i="1"/>
  <c r="R512" i="1" s="1"/>
  <c r="S512" i="1" s="1"/>
  <c r="P511" i="1"/>
  <c r="R511" i="1" s="1"/>
  <c r="S511" i="1" s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R495" i="1" s="1"/>
  <c r="S495" i="1" s="1"/>
  <c r="P494" i="1"/>
  <c r="R494" i="1" s="1"/>
  <c r="S494" i="1" s="1"/>
  <c r="P493" i="1"/>
  <c r="P492" i="1"/>
  <c r="P491" i="1"/>
  <c r="R491" i="1" s="1"/>
  <c r="S491" i="1" s="1"/>
  <c r="P490" i="1"/>
  <c r="R490" i="1" s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R473" i="1" s="1"/>
  <c r="S473" i="1" s="1"/>
  <c r="P472" i="1"/>
  <c r="R472" i="1" s="1"/>
  <c r="S472" i="1" s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R449" i="1" s="1"/>
  <c r="S449" i="1" s="1"/>
  <c r="P448" i="1"/>
  <c r="R448" i="1" s="1"/>
  <c r="S448" i="1" s="1"/>
  <c r="P447" i="1"/>
  <c r="P446" i="1"/>
  <c r="R446" i="1" s="1"/>
  <c r="S446" i="1" s="1"/>
  <c r="P445" i="1"/>
  <c r="R445" i="1" s="1"/>
  <c r="S445" i="1" s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R430" i="1" s="1"/>
  <c r="P429" i="1"/>
  <c r="P428" i="1"/>
  <c r="P427" i="1"/>
  <c r="P426" i="1"/>
  <c r="P425" i="1"/>
  <c r="P424" i="1"/>
  <c r="P423" i="1"/>
  <c r="P422" i="1"/>
  <c r="R422" i="1" s="1"/>
  <c r="S422" i="1" s="1"/>
  <c r="P421" i="1"/>
  <c r="R421" i="1" s="1"/>
  <c r="S421" i="1" s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R406" i="1" s="1"/>
  <c r="P405" i="1"/>
  <c r="P404" i="1"/>
  <c r="P403" i="1"/>
  <c r="P402" i="1"/>
  <c r="R402" i="1" s="1"/>
  <c r="S402" i="1" s="1"/>
  <c r="P401" i="1"/>
  <c r="R401" i="1" s="1"/>
  <c r="S401" i="1" s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R388" i="1" s="1"/>
  <c r="S388" i="1" s="1"/>
  <c r="P387" i="1"/>
  <c r="R387" i="1" s="1"/>
  <c r="S387" i="1" s="1"/>
  <c r="P386" i="1"/>
  <c r="P385" i="1"/>
  <c r="P384" i="1"/>
  <c r="P383" i="1"/>
  <c r="P382" i="1"/>
  <c r="P381" i="1"/>
  <c r="R381" i="1" s="1"/>
  <c r="S381" i="1" s="1"/>
  <c r="P380" i="1"/>
  <c r="R380" i="1" s="1"/>
  <c r="S380" i="1" s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R366" i="1" s="1"/>
  <c r="S366" i="1" s="1"/>
  <c r="P365" i="1"/>
  <c r="R365" i="1" s="1"/>
  <c r="S365" i="1" s="1"/>
  <c r="P364" i="1"/>
  <c r="P363" i="1"/>
  <c r="R363" i="1" s="1"/>
  <c r="S363" i="1" s="1"/>
  <c r="P362" i="1"/>
  <c r="R362" i="1" s="1"/>
  <c r="S362" i="1" s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R349" i="1" s="1"/>
  <c r="S349" i="1" s="1"/>
  <c r="P348" i="1"/>
  <c r="R348" i="1" s="1"/>
  <c r="S348" i="1" s="1"/>
  <c r="P347" i="1"/>
  <c r="P346" i="1"/>
  <c r="P345" i="1"/>
  <c r="P344" i="1"/>
  <c r="P343" i="1"/>
  <c r="P342" i="1"/>
  <c r="P341" i="1"/>
  <c r="R341" i="1" s="1"/>
  <c r="S341" i="1" s="1"/>
  <c r="P340" i="1"/>
  <c r="R340" i="1" s="1"/>
  <c r="S340" i="1" s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R327" i="1" s="1"/>
  <c r="S327" i="1" s="1"/>
  <c r="P326" i="1"/>
  <c r="R326" i="1" s="1"/>
  <c r="S326" i="1" s="1"/>
  <c r="P325" i="1"/>
  <c r="P324" i="1"/>
  <c r="R324" i="1" s="1"/>
  <c r="S324" i="1" s="1"/>
  <c r="P323" i="1"/>
  <c r="R323" i="1" s="1"/>
  <c r="S323" i="1" s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R310" i="1" s="1"/>
  <c r="P309" i="1"/>
  <c r="P308" i="1"/>
  <c r="P307" i="1"/>
  <c r="P306" i="1"/>
  <c r="P305" i="1"/>
  <c r="P304" i="1"/>
  <c r="P303" i="1"/>
  <c r="P302" i="1"/>
  <c r="R302" i="1" s="1"/>
  <c r="S302" i="1" s="1"/>
  <c r="P301" i="1"/>
  <c r="R301" i="1" s="1"/>
  <c r="S301" i="1" s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R288" i="1" s="1"/>
  <c r="S288" i="1" s="1"/>
  <c r="P287" i="1"/>
  <c r="R287" i="1" s="1"/>
  <c r="S287" i="1" s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R270" i="1" s="1"/>
  <c r="S270" i="1" s="1"/>
  <c r="P269" i="1"/>
  <c r="R269" i="1" s="1"/>
  <c r="S269" i="1" s="1"/>
  <c r="P268" i="1"/>
  <c r="P267" i="1"/>
  <c r="P266" i="1"/>
  <c r="P265" i="1"/>
  <c r="P264" i="1"/>
  <c r="P263" i="1"/>
  <c r="R263" i="1" s="1"/>
  <c r="S263" i="1" s="1"/>
  <c r="P262" i="1"/>
  <c r="R262" i="1" s="1"/>
  <c r="P261" i="1"/>
  <c r="P260" i="1"/>
  <c r="P259" i="1"/>
  <c r="P258" i="1"/>
  <c r="P257" i="1"/>
  <c r="P255" i="1"/>
  <c r="P254" i="1"/>
  <c r="P253" i="1"/>
  <c r="P252" i="1"/>
  <c r="P251" i="1"/>
  <c r="P250" i="1"/>
  <c r="P249" i="1"/>
  <c r="R249" i="1" s="1"/>
  <c r="S249" i="1" s="1"/>
  <c r="P248" i="1"/>
  <c r="P247" i="1"/>
  <c r="P246" i="1"/>
  <c r="P245" i="1"/>
  <c r="R245" i="1" s="1"/>
  <c r="S245" i="1" s="1"/>
  <c r="P244" i="1"/>
  <c r="R244" i="1" s="1"/>
  <c r="S244" i="1" s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R231" i="1" s="1"/>
  <c r="S231" i="1" s="1"/>
  <c r="P230" i="1"/>
  <c r="R230" i="1" s="1"/>
  <c r="S230" i="1" s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R209" i="1" s="1"/>
  <c r="S209" i="1" s="1"/>
  <c r="P208" i="1"/>
  <c r="R208" i="1" s="1"/>
  <c r="S208" i="1" s="1"/>
  <c r="P207" i="1"/>
  <c r="P206" i="1"/>
  <c r="R206" i="1" s="1"/>
  <c r="S206" i="1" s="1"/>
  <c r="P205" i="1"/>
  <c r="R205" i="1" s="1"/>
  <c r="S205" i="1" s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R192" i="1" s="1"/>
  <c r="P191" i="1"/>
  <c r="R191" i="1" s="1"/>
  <c r="S191" i="1" s="1"/>
  <c r="P190" i="1"/>
  <c r="P189" i="1"/>
  <c r="P188" i="1"/>
  <c r="P187" i="1"/>
  <c r="P186" i="1"/>
  <c r="P185" i="1"/>
  <c r="P184" i="1"/>
  <c r="R184" i="1" s="1"/>
  <c r="S184" i="1" s="1"/>
  <c r="P183" i="1"/>
  <c r="R183" i="1" s="1"/>
  <c r="S183" i="1" s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R170" i="1" s="1"/>
  <c r="S170" i="1" s="1"/>
  <c r="P169" i="1"/>
  <c r="R169" i="1" s="1"/>
  <c r="S169" i="1" s="1"/>
  <c r="P168" i="1"/>
  <c r="P167" i="1"/>
  <c r="R167" i="1" s="1"/>
  <c r="S167" i="1" s="1"/>
  <c r="P166" i="1"/>
  <c r="R166" i="1" s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R153" i="1" s="1"/>
  <c r="S153" i="1" s="1"/>
  <c r="P152" i="1"/>
  <c r="P151" i="1"/>
  <c r="P150" i="1"/>
  <c r="P149" i="1"/>
  <c r="P148" i="1"/>
  <c r="P147" i="1"/>
  <c r="R147" i="1" s="1"/>
  <c r="S147" i="1" s="1"/>
  <c r="P146" i="1"/>
  <c r="P145" i="1"/>
  <c r="R145" i="1" s="1"/>
  <c r="S145" i="1" s="1"/>
  <c r="P144" i="1"/>
  <c r="P143" i="1"/>
  <c r="P142" i="1"/>
  <c r="P141" i="1"/>
  <c r="P140" i="1"/>
  <c r="P139" i="1"/>
  <c r="P138" i="1"/>
  <c r="P137" i="1"/>
  <c r="P136" i="1"/>
  <c r="P135" i="1"/>
  <c r="P134" i="1"/>
  <c r="R134" i="1" s="1"/>
  <c r="S134" i="1" s="1"/>
  <c r="P133" i="1"/>
  <c r="P132" i="1"/>
  <c r="R132" i="1" s="1"/>
  <c r="S132" i="1" s="1"/>
  <c r="P131" i="1"/>
  <c r="P130" i="1"/>
  <c r="R130" i="1" s="1"/>
  <c r="P129" i="1"/>
  <c r="R129" i="1" s="1"/>
  <c r="S129" i="1" s="1"/>
  <c r="P128" i="1"/>
  <c r="P127" i="1"/>
  <c r="P126" i="1"/>
  <c r="P125" i="1"/>
  <c r="P124" i="1"/>
  <c r="P123" i="1"/>
  <c r="P122" i="1"/>
  <c r="P121" i="1"/>
  <c r="P120" i="1"/>
  <c r="P119" i="1"/>
  <c r="P118" i="1"/>
  <c r="P117" i="1"/>
  <c r="R117" i="1" s="1"/>
  <c r="S117" i="1" s="1"/>
  <c r="P116" i="1"/>
  <c r="P115" i="1"/>
  <c r="P114" i="1"/>
  <c r="P113" i="1"/>
  <c r="R113" i="1" s="1"/>
  <c r="S113" i="1" s="1"/>
  <c r="P112" i="1"/>
  <c r="R112" i="1" s="1"/>
  <c r="S112" i="1" s="1"/>
  <c r="P111" i="1"/>
  <c r="Q111" i="1" s="1"/>
  <c r="P110" i="1"/>
  <c r="P109" i="1"/>
  <c r="P108" i="1"/>
  <c r="P107" i="1"/>
  <c r="P106" i="1"/>
  <c r="P105" i="1"/>
  <c r="P104" i="1"/>
  <c r="P103" i="1"/>
  <c r="P102" i="1"/>
  <c r="P101" i="1"/>
  <c r="P100" i="1"/>
  <c r="R100" i="1" s="1"/>
  <c r="S100" i="1" s="1"/>
  <c r="P99" i="1"/>
  <c r="R99" i="1" s="1"/>
  <c r="S99" i="1" s="1"/>
  <c r="P98" i="1"/>
  <c r="P97" i="1"/>
  <c r="P96" i="1"/>
  <c r="P95" i="1"/>
  <c r="R95" i="1" s="1"/>
  <c r="S95" i="1" s="1"/>
  <c r="P94" i="1"/>
  <c r="P93" i="1"/>
  <c r="R93" i="1" s="1"/>
  <c r="S93" i="1" s="1"/>
  <c r="P92" i="1"/>
  <c r="P91" i="1"/>
  <c r="P90" i="1"/>
  <c r="P89" i="1"/>
  <c r="P88" i="1"/>
  <c r="P87" i="1"/>
  <c r="P86" i="1"/>
  <c r="P85" i="1"/>
  <c r="P84" i="1"/>
  <c r="P83" i="1"/>
  <c r="P82" i="1"/>
  <c r="R82" i="1" s="1"/>
  <c r="P81" i="1"/>
  <c r="P80" i="1"/>
  <c r="P79" i="1"/>
  <c r="P78" i="1"/>
  <c r="P77" i="1"/>
  <c r="R77" i="1" s="1"/>
  <c r="S77" i="1" s="1"/>
  <c r="P76" i="1"/>
  <c r="R76" i="1" s="1"/>
  <c r="S76" i="1" s="1"/>
  <c r="P75" i="1"/>
  <c r="P74" i="1"/>
  <c r="P73" i="1"/>
  <c r="P72" i="1"/>
  <c r="P71" i="1"/>
  <c r="P70" i="1"/>
  <c r="P69" i="1"/>
  <c r="P68" i="1"/>
  <c r="P67" i="1"/>
  <c r="P66" i="1"/>
  <c r="P65" i="1"/>
  <c r="P64" i="1"/>
  <c r="R64" i="1" s="1"/>
  <c r="S64" i="1" s="1"/>
  <c r="P63" i="1"/>
  <c r="R63" i="1" s="1"/>
  <c r="S63" i="1" s="1"/>
  <c r="P62" i="1"/>
  <c r="P61" i="1"/>
  <c r="R61" i="1" s="1"/>
  <c r="S61" i="1" s="1"/>
  <c r="P60" i="1"/>
  <c r="R60" i="1" s="1"/>
  <c r="S60" i="1" s="1"/>
  <c r="P59" i="1"/>
  <c r="P58" i="1"/>
  <c r="P57" i="1"/>
  <c r="P56" i="1"/>
  <c r="P55" i="1"/>
  <c r="P54" i="1"/>
  <c r="P53" i="1"/>
  <c r="P52" i="1"/>
  <c r="P51" i="1"/>
  <c r="P50" i="1"/>
  <c r="P49" i="1"/>
  <c r="P48" i="1"/>
  <c r="R48" i="1" s="1"/>
  <c r="S48" i="1" s="1"/>
  <c r="P47" i="1"/>
  <c r="R47" i="1" s="1"/>
  <c r="S47" i="1" s="1"/>
  <c r="P46" i="1"/>
  <c r="P45" i="1"/>
  <c r="P44" i="1"/>
  <c r="P43" i="1"/>
  <c r="P42" i="1"/>
  <c r="R42" i="1" s="1"/>
  <c r="S42" i="1" s="1"/>
  <c r="P41" i="1"/>
  <c r="P40" i="1"/>
  <c r="R40" i="1" s="1"/>
  <c r="S40" i="1" s="1"/>
  <c r="P39" i="1"/>
  <c r="P38" i="1"/>
  <c r="P37" i="1"/>
  <c r="P36" i="1"/>
  <c r="P35" i="1"/>
  <c r="P34" i="1"/>
  <c r="P33" i="1"/>
  <c r="P32" i="1"/>
  <c r="P31" i="1"/>
  <c r="P30" i="1"/>
  <c r="P29" i="1"/>
  <c r="R29" i="1" s="1"/>
  <c r="S29" i="1" s="1"/>
  <c r="P28" i="1"/>
  <c r="P27" i="1"/>
  <c r="R27" i="1" s="1"/>
  <c r="S27" i="1" s="1"/>
  <c r="P26" i="1"/>
  <c r="P25" i="1"/>
  <c r="R25" i="1" s="1"/>
  <c r="S25" i="1" s="1"/>
  <c r="P24" i="1"/>
  <c r="R24" i="1" s="1"/>
  <c r="S24" i="1" s="1"/>
  <c r="P23" i="1"/>
  <c r="P22" i="1"/>
  <c r="P21" i="1"/>
  <c r="P20" i="1"/>
  <c r="P19" i="1"/>
  <c r="P18" i="1"/>
  <c r="P17" i="1"/>
  <c r="P16" i="1"/>
  <c r="P15" i="1"/>
  <c r="P14" i="1"/>
  <c r="P13" i="1"/>
  <c r="P12" i="1"/>
  <c r="R12" i="1" s="1"/>
  <c r="S12" i="1" s="1"/>
  <c r="P11" i="1"/>
  <c r="R11" i="1" s="1"/>
  <c r="S11" i="1" s="1"/>
  <c r="P10" i="1"/>
  <c r="P9" i="1"/>
  <c r="R9" i="1" s="1"/>
  <c r="S9" i="1" s="1"/>
  <c r="P8" i="1"/>
  <c r="Q8" i="1" s="1"/>
  <c r="P7" i="1"/>
  <c r="P6" i="1"/>
  <c r="P5" i="1"/>
  <c r="P4" i="1"/>
  <c r="P3" i="1"/>
  <c r="Q3" i="1" s="1"/>
  <c r="P2" i="1"/>
  <c r="P256" i="1"/>
  <c r="R1513" i="1"/>
  <c r="S1513" i="1" s="1"/>
  <c r="H4" i="2"/>
  <c r="H5" i="2"/>
  <c r="H6" i="2"/>
  <c r="H7" i="2"/>
  <c r="H8" i="2"/>
  <c r="H9" i="2"/>
  <c r="H10" i="2"/>
  <c r="H11" i="2"/>
  <c r="H12" i="2"/>
  <c r="H13" i="2"/>
  <c r="H14" i="2"/>
  <c r="H3" i="2"/>
  <c r="S5" i="4"/>
  <c r="S8" i="4"/>
  <c r="S7" i="4"/>
  <c r="S6" i="4"/>
  <c r="S4" i="4"/>
  <c r="S3" i="4"/>
  <c r="E8" i="2"/>
  <c r="F8" i="2" s="1"/>
  <c r="G8" i="2" s="1"/>
  <c r="F7" i="2"/>
  <c r="G7" i="2" s="1"/>
  <c r="E7" i="2"/>
  <c r="E6" i="2"/>
  <c r="F6" i="2" s="1"/>
  <c r="G6" i="2" s="1"/>
  <c r="E5" i="2"/>
  <c r="F5" i="2" s="1"/>
  <c r="G5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F4" i="2"/>
  <c r="G4" i="2" s="1"/>
  <c r="E4" i="2"/>
  <c r="U21" i="4" l="1"/>
  <c r="S1871" i="1"/>
  <c r="T2053" i="1"/>
  <c r="S1894" i="1"/>
  <c r="S17" i="4"/>
  <c r="S2108" i="1"/>
  <c r="S2229" i="1"/>
  <c r="T2039" i="1"/>
  <c r="S2126" i="1"/>
  <c r="S2089" i="1"/>
  <c r="T2008" i="1"/>
  <c r="T1861" i="1"/>
  <c r="T2224" i="1"/>
  <c r="T2217" i="1"/>
  <c r="T2138" i="1"/>
  <c r="S1940" i="1"/>
  <c r="T1939" i="1"/>
  <c r="T2171" i="1"/>
  <c r="T2192" i="1"/>
  <c r="S2080" i="1"/>
  <c r="T1935" i="1"/>
  <c r="S2181" i="1"/>
  <c r="T2149" i="1"/>
  <c r="T1929" i="1"/>
  <c r="T2064" i="1"/>
  <c r="T1978" i="1"/>
  <c r="T1974" i="1"/>
  <c r="T2085" i="1"/>
  <c r="S2074" i="1"/>
  <c r="T2029" i="1"/>
  <c r="T2024" i="1"/>
  <c r="T2088" i="1"/>
  <c r="S1982" i="1"/>
  <c r="S2204" i="1"/>
  <c r="T2219" i="1"/>
  <c r="S1976" i="1"/>
  <c r="S1954" i="1"/>
  <c r="S1973" i="1"/>
  <c r="T2116" i="1"/>
  <c r="T1866" i="1"/>
  <c r="T2164" i="1"/>
  <c r="T2210" i="1"/>
  <c r="S2154" i="1"/>
  <c r="T2236" i="1"/>
  <c r="T2124" i="1"/>
  <c r="S1918" i="1"/>
  <c r="T2005" i="1"/>
  <c r="S2232" i="1"/>
  <c r="T2178" i="1"/>
  <c r="S2128" i="1"/>
  <c r="S1950" i="1"/>
  <c r="S1911" i="1"/>
  <c r="T2216" i="1"/>
  <c r="S2073" i="1"/>
  <c r="S1874" i="1"/>
  <c r="S2122" i="1"/>
  <c r="S1964" i="1"/>
  <c r="S2180" i="1"/>
  <c r="S2228" i="1"/>
  <c r="S1941" i="1"/>
  <c r="S1960" i="1"/>
  <c r="S2168" i="1"/>
  <c r="T1963" i="1"/>
  <c r="T1991" i="1"/>
  <c r="T1873" i="1"/>
  <c r="T2125" i="1"/>
  <c r="T1958" i="1"/>
  <c r="S2176" i="1"/>
  <c r="S2106" i="1"/>
  <c r="S2156" i="1"/>
  <c r="T1858" i="1"/>
  <c r="T1928" i="1"/>
  <c r="T2046" i="1"/>
  <c r="T1884" i="1"/>
  <c r="T1922" i="1"/>
  <c r="T1878" i="1"/>
  <c r="S2102" i="1"/>
  <c r="S1912" i="1"/>
  <c r="T2213" i="1"/>
  <c r="T1962" i="1"/>
  <c r="T1888" i="1"/>
  <c r="S1924" i="1"/>
  <c r="S2182" i="1"/>
  <c r="S1944" i="1"/>
  <c r="T1853" i="1"/>
  <c r="S2146" i="1"/>
  <c r="S2076" i="1"/>
  <c r="T1984" i="1"/>
  <c r="T2078" i="1"/>
  <c r="T2208" i="1"/>
  <c r="T1936" i="1"/>
  <c r="T2077" i="1"/>
  <c r="S2061" i="1"/>
  <c r="T2121" i="1"/>
  <c r="T2003" i="1"/>
  <c r="T2221" i="1"/>
  <c r="S2188" i="1"/>
  <c r="T2092" i="1"/>
  <c r="S1956" i="1"/>
  <c r="S2151" i="1"/>
  <c r="T2190" i="1"/>
  <c r="T2048" i="1"/>
  <c r="S1856" i="1"/>
  <c r="T2105" i="1"/>
  <c r="T1889" i="1"/>
  <c r="T2136" i="1"/>
  <c r="S2237" i="1"/>
  <c r="S2226" i="1"/>
  <c r="S1930" i="1"/>
  <c r="S2107" i="1"/>
  <c r="T2161" i="1"/>
  <c r="S2155" i="1"/>
  <c r="T2013" i="1"/>
  <c r="S2133" i="1"/>
  <c r="S1869" i="1"/>
  <c r="T1981" i="1"/>
  <c r="S2000" i="1"/>
  <c r="S1860" i="1"/>
  <c r="S1933" i="1"/>
  <c r="T2165" i="1"/>
  <c r="T2079" i="1"/>
  <c r="T2022" i="1"/>
  <c r="S1905" i="1"/>
  <c r="S2152" i="1"/>
  <c r="T2238" i="1"/>
  <c r="S2098" i="1"/>
  <c r="S2186" i="1"/>
  <c r="T1855" i="1"/>
  <c r="S1898" i="1"/>
  <c r="S1857" i="1"/>
  <c r="S2041" i="1"/>
  <c r="S2214" i="1"/>
  <c r="T2157" i="1"/>
  <c r="T2153" i="1"/>
  <c r="S2166" i="1"/>
  <c r="S2170" i="1"/>
  <c r="S2222" i="1"/>
  <c r="T2110" i="1"/>
  <c r="S1966" i="1"/>
  <c r="S1989" i="1"/>
  <c r="T2184" i="1"/>
  <c r="T2025" i="1"/>
  <c r="T2117" i="1"/>
  <c r="S1901" i="1"/>
  <c r="T2200" i="1"/>
  <c r="S2019" i="1"/>
  <c r="S1988" i="1"/>
  <c r="T2175" i="1"/>
  <c r="T2137" i="1"/>
  <c r="S1916" i="1"/>
  <c r="T2017" i="1"/>
  <c r="T2173" i="1"/>
  <c r="T1977" i="1"/>
  <c r="T2140" i="1"/>
  <c r="S2014" i="1"/>
  <c r="T2172" i="1"/>
  <c r="T1906" i="1"/>
  <c r="S1886" i="1"/>
  <c r="T1886" i="1"/>
  <c r="T2115" i="1"/>
  <c r="S1948" i="1"/>
  <c r="S1996" i="1"/>
  <c r="S1890" i="1"/>
  <c r="S1865" i="1"/>
  <c r="T2021" i="1"/>
  <c r="T2063" i="1"/>
  <c r="T2040" i="1"/>
  <c r="S2040" i="1"/>
  <c r="S1957" i="1"/>
  <c r="T1957" i="1"/>
  <c r="T2007" i="1"/>
  <c r="S2007" i="1"/>
  <c r="T2132" i="1"/>
  <c r="S2037" i="1"/>
  <c r="S1953" i="1"/>
  <c r="T2113" i="1"/>
  <c r="S1980" i="1"/>
  <c r="S1952" i="1"/>
  <c r="S1897" i="1"/>
  <c r="S1920" i="1"/>
  <c r="S2223" i="1"/>
  <c r="T2223" i="1"/>
  <c r="S2045" i="1"/>
  <c r="T2045" i="1"/>
  <c r="T1875" i="1"/>
  <c r="S1875" i="1"/>
  <c r="S1854" i="1"/>
  <c r="T1854" i="1"/>
  <c r="T2109" i="1"/>
  <c r="S1877" i="1"/>
  <c r="S1883" i="1"/>
  <c r="S2131" i="1"/>
  <c r="T1931" i="1"/>
  <c r="T1902" i="1"/>
  <c r="T1968" i="1"/>
  <c r="S2004" i="1"/>
  <c r="T2004" i="1"/>
  <c r="S1932" i="1"/>
  <c r="T2225" i="1"/>
  <c r="S2206" i="1"/>
  <c r="T1985" i="1"/>
  <c r="T1934" i="1"/>
  <c r="S2100" i="1"/>
  <c r="S2233" i="1"/>
  <c r="S2174" i="1"/>
  <c r="S2235" i="1"/>
  <c r="T2059" i="1"/>
  <c r="S2059" i="1"/>
  <c r="S2150" i="1"/>
  <c r="S1879" i="1"/>
  <c r="T2096" i="1"/>
  <c r="S2118" i="1"/>
  <c r="S1990" i="1"/>
  <c r="T2211" i="1"/>
  <c r="U23" i="4"/>
  <c r="U19" i="4"/>
  <c r="U17" i="4"/>
  <c r="U15" i="4"/>
  <c r="U22" i="4"/>
  <c r="U20" i="4"/>
  <c r="U18" i="4"/>
  <c r="U16" i="4"/>
  <c r="U14" i="4"/>
  <c r="V23" i="4"/>
  <c r="V21" i="4"/>
  <c r="V19" i="4"/>
  <c r="V17" i="4"/>
  <c r="V15" i="4"/>
  <c r="S20" i="4"/>
  <c r="T23" i="4"/>
  <c r="T21" i="4"/>
  <c r="T19" i="4"/>
  <c r="T17" i="4"/>
  <c r="T15" i="4"/>
  <c r="S23" i="4"/>
  <c r="S21" i="4"/>
  <c r="S19" i="4"/>
  <c r="S15" i="4"/>
  <c r="T14" i="4"/>
  <c r="S18" i="4"/>
  <c r="X22" i="4"/>
  <c r="X20" i="4"/>
  <c r="X18" i="4"/>
  <c r="X16" i="4"/>
  <c r="X14" i="4"/>
  <c r="T22" i="4"/>
  <c r="T18" i="4"/>
  <c r="S14" i="4"/>
  <c r="X23" i="4"/>
  <c r="X15" i="4"/>
  <c r="W21" i="4"/>
  <c r="W22" i="4"/>
  <c r="W20" i="4"/>
  <c r="W18" i="4"/>
  <c r="W16" i="4"/>
  <c r="W14" i="4"/>
  <c r="T20" i="4"/>
  <c r="S16" i="4"/>
  <c r="X21" i="4"/>
  <c r="W23" i="4"/>
  <c r="W15" i="4"/>
  <c r="V22" i="4"/>
  <c r="V20" i="4"/>
  <c r="V18" i="4"/>
  <c r="V16" i="4"/>
  <c r="V14" i="4"/>
  <c r="X19" i="4"/>
  <c r="W17" i="4"/>
  <c r="T16" i="4"/>
  <c r="S22" i="4"/>
  <c r="X17" i="4"/>
  <c r="W19" i="4"/>
  <c r="Q2" i="1"/>
  <c r="R2" i="1"/>
  <c r="T2239" i="1"/>
  <c r="T2114" i="1"/>
  <c r="S2162" i="1"/>
  <c r="T2194" i="1"/>
  <c r="S2202" i="1"/>
  <c r="S1967" i="1"/>
  <c r="S1942" i="1"/>
  <c r="S1999" i="1"/>
  <c r="T2234" i="1"/>
  <c r="S2090" i="1"/>
  <c r="S2218" i="1"/>
  <c r="T1983" i="1"/>
  <c r="T1998" i="1"/>
  <c r="S1926" i="1"/>
  <c r="T1926" i="1"/>
  <c r="T2215" i="1"/>
  <c r="S2215" i="1"/>
  <c r="S2199" i="1"/>
  <c r="T2199" i="1"/>
  <c r="T2051" i="1"/>
  <c r="S2051" i="1"/>
  <c r="S2123" i="1"/>
  <c r="T2123" i="1"/>
  <c r="S2139" i="1"/>
  <c r="T2139" i="1"/>
  <c r="S2111" i="1"/>
  <c r="T2111" i="1"/>
  <c r="S2167" i="1"/>
  <c r="T2167" i="1"/>
  <c r="S2034" i="1"/>
  <c r="T2034" i="1"/>
  <c r="S1979" i="1"/>
  <c r="T1979" i="1"/>
  <c r="T2095" i="1"/>
  <c r="S2095" i="1"/>
  <c r="T2067" i="1"/>
  <c r="S2067" i="1"/>
  <c r="T2027" i="1"/>
  <c r="S2027" i="1"/>
  <c r="S1987" i="1"/>
  <c r="S1938" i="1"/>
  <c r="T1938" i="1"/>
  <c r="S2087" i="1"/>
  <c r="T2087" i="1"/>
  <c r="S2103" i="1"/>
  <c r="T2103" i="1"/>
  <c r="T1994" i="1"/>
  <c r="S1994" i="1"/>
  <c r="T2203" i="1"/>
  <c r="S2203" i="1"/>
  <c r="T1946" i="1"/>
  <c r="S1946" i="1"/>
  <c r="T2058" i="1"/>
  <c r="S2058" i="1"/>
  <c r="T2134" i="1"/>
  <c r="S2134" i="1"/>
  <c r="T2071" i="1"/>
  <c r="S2071" i="1"/>
  <c r="S2230" i="1"/>
  <c r="T2230" i="1"/>
  <c r="T2163" i="1"/>
  <c r="S2163" i="1"/>
  <c r="S2158" i="1"/>
  <c r="T2158" i="1"/>
  <c r="T1943" i="1"/>
  <c r="S1943" i="1"/>
  <c r="T2035" i="1"/>
  <c r="S2035" i="1"/>
  <c r="T1863" i="1"/>
  <c r="S1863" i="1"/>
  <c r="S1947" i="1"/>
  <c r="T1947" i="1"/>
  <c r="S2047" i="1"/>
  <c r="T2047" i="1"/>
  <c r="T1895" i="1"/>
  <c r="S1895" i="1"/>
  <c r="T2091" i="1"/>
  <c r="S2091" i="1"/>
  <c r="T1919" i="1"/>
  <c r="S1919" i="1"/>
  <c r="S2099" i="1"/>
  <c r="T2099" i="1"/>
  <c r="S2130" i="1"/>
  <c r="T2130" i="1"/>
  <c r="S2062" i="1"/>
  <c r="T2062" i="1"/>
  <c r="S2015" i="1"/>
  <c r="T2015" i="1"/>
  <c r="T2147" i="1"/>
  <c r="S2147" i="1"/>
  <c r="T2195" i="1"/>
  <c r="S2195" i="1"/>
  <c r="S1970" i="1"/>
  <c r="T1970" i="1"/>
  <c r="T2011" i="1"/>
  <c r="S2011" i="1"/>
  <c r="S2023" i="1"/>
  <c r="T2023" i="1"/>
  <c r="S1955" i="1"/>
  <c r="T1955" i="1"/>
  <c r="T1887" i="1"/>
  <c r="S1887" i="1"/>
  <c r="T1927" i="1"/>
  <c r="S1927" i="1"/>
  <c r="S1975" i="1"/>
  <c r="T1975" i="1"/>
  <c r="S2082" i="1"/>
  <c r="T2082" i="1"/>
  <c r="S1852" i="1"/>
  <c r="R1803" i="1"/>
  <c r="S1803" i="1" s="1"/>
  <c r="R1802" i="1"/>
  <c r="S1802" i="1" s="1"/>
  <c r="R1830" i="1"/>
  <c r="S1830" i="1" s="1"/>
  <c r="R1822" i="1"/>
  <c r="S1822" i="1" s="1"/>
  <c r="R1811" i="1"/>
  <c r="S1811" i="1" s="1"/>
  <c r="R1806" i="1"/>
  <c r="S1806" i="1" s="1"/>
  <c r="R1844" i="1"/>
  <c r="S1844" i="1" s="1"/>
  <c r="R1827" i="1"/>
  <c r="S1827" i="1" s="1"/>
  <c r="R1826" i="1"/>
  <c r="S1826" i="1" s="1"/>
  <c r="R1804" i="1"/>
  <c r="S1804" i="1" s="1"/>
  <c r="R1798" i="1"/>
  <c r="S1798" i="1" s="1"/>
  <c r="R1843" i="1"/>
  <c r="S1843" i="1" s="1"/>
  <c r="R1841" i="1"/>
  <c r="S1841" i="1" s="1"/>
  <c r="R1810" i="1"/>
  <c r="S1810" i="1" s="1"/>
  <c r="R1825" i="1"/>
  <c r="S1825" i="1" s="1"/>
  <c r="R1840" i="1"/>
  <c r="S1840" i="1" s="1"/>
  <c r="R1848" i="1"/>
  <c r="S1848" i="1" s="1"/>
  <c r="R1818" i="1"/>
  <c r="S1818" i="1" s="1"/>
  <c r="R1833" i="1"/>
  <c r="S1833" i="1" s="1"/>
  <c r="R1828" i="1"/>
  <c r="S1828" i="1" s="1"/>
  <c r="R1814" i="1"/>
  <c r="S1814" i="1" s="1"/>
  <c r="R1836" i="1"/>
  <c r="S1836" i="1" s="1"/>
  <c r="R1849" i="1"/>
  <c r="S1849" i="1" s="1"/>
  <c r="R1834" i="1"/>
  <c r="S1834" i="1" s="1"/>
  <c r="R1812" i="1"/>
  <c r="S1812" i="1" s="1"/>
  <c r="R1838" i="1"/>
  <c r="S1838" i="1" s="1"/>
  <c r="R1816" i="1"/>
  <c r="S1816" i="1" s="1"/>
  <c r="R1846" i="1"/>
  <c r="S1846" i="1" s="1"/>
  <c r="R1842" i="1"/>
  <c r="S1842" i="1" s="1"/>
  <c r="R1824" i="1"/>
  <c r="S1824" i="1" s="1"/>
  <c r="Q1820" i="1"/>
  <c r="R1809" i="1"/>
  <c r="S1809" i="1" s="1"/>
  <c r="R1801" i="1"/>
  <c r="S1801" i="1" s="1"/>
  <c r="R1819" i="1"/>
  <c r="S1819" i="1" s="1"/>
  <c r="R1850" i="1"/>
  <c r="S1850" i="1" s="1"/>
  <c r="R1832" i="1"/>
  <c r="S1832" i="1" s="1"/>
  <c r="R1817" i="1"/>
  <c r="S1817" i="1" s="1"/>
  <c r="R1835" i="1"/>
  <c r="S1835" i="1" s="1"/>
  <c r="T1820" i="1"/>
  <c r="R1847" i="1"/>
  <c r="S1847" i="1" s="1"/>
  <c r="R1839" i="1"/>
  <c r="S1839" i="1" s="1"/>
  <c r="R1831" i="1"/>
  <c r="S1831" i="1" s="1"/>
  <c r="R1823" i="1"/>
  <c r="S1823" i="1" s="1"/>
  <c r="R1815" i="1"/>
  <c r="S1815" i="1" s="1"/>
  <c r="R1807" i="1"/>
  <c r="S1807" i="1" s="1"/>
  <c r="R1799" i="1"/>
  <c r="S1799" i="1" s="1"/>
  <c r="R1808" i="1"/>
  <c r="S1808" i="1" s="1"/>
  <c r="R1800" i="1"/>
  <c r="S1800" i="1" s="1"/>
  <c r="R1845" i="1"/>
  <c r="S1845" i="1" s="1"/>
  <c r="R1837" i="1"/>
  <c r="S1837" i="1" s="1"/>
  <c r="R1829" i="1"/>
  <c r="S1829" i="1" s="1"/>
  <c r="R1821" i="1"/>
  <c r="S1821" i="1" s="1"/>
  <c r="R1813" i="1"/>
  <c r="S1813" i="1" s="1"/>
  <c r="R1805" i="1"/>
  <c r="S1805" i="1" s="1"/>
  <c r="R1797" i="1"/>
  <c r="S1797" i="1" s="1"/>
  <c r="T430" i="1"/>
  <c r="T490" i="1"/>
  <c r="T1366" i="1"/>
  <c r="T1384" i="1"/>
  <c r="Q13" i="4"/>
  <c r="T1574" i="1"/>
  <c r="T1048" i="1"/>
  <c r="S1384" i="1"/>
  <c r="T1391" i="1"/>
  <c r="S1574" i="1"/>
  <c r="T1380" i="1"/>
  <c r="T816" i="1"/>
  <c r="T588" i="1"/>
  <c r="T1090" i="1"/>
  <c r="T1617" i="1"/>
  <c r="S1617" i="1"/>
  <c r="T406" i="1"/>
  <c r="S406" i="1"/>
  <c r="T814" i="1"/>
  <c r="S814" i="1"/>
  <c r="T909" i="1"/>
  <c r="S909" i="1"/>
  <c r="T538" i="1"/>
  <c r="S538" i="1"/>
  <c r="T634" i="1"/>
  <c r="S634" i="1"/>
  <c r="T82" i="1"/>
  <c r="S82" i="1"/>
  <c r="T130" i="1"/>
  <c r="S130" i="1"/>
  <c r="T166" i="1"/>
  <c r="S166" i="1"/>
  <c r="S923" i="1"/>
  <c r="T923" i="1"/>
  <c r="T1091" i="1"/>
  <c r="S1091" i="1"/>
  <c r="T1115" i="1"/>
  <c r="S1115" i="1"/>
  <c r="T1223" i="1"/>
  <c r="T1319" i="1"/>
  <c r="S1319" i="1"/>
  <c r="S1403" i="1"/>
  <c r="T1403" i="1"/>
  <c r="S1571" i="1"/>
  <c r="T1571" i="1"/>
  <c r="T1017" i="1"/>
  <c r="T310" i="1"/>
  <c r="S310" i="1"/>
  <c r="T658" i="1"/>
  <c r="S658" i="1"/>
  <c r="T1018" i="1"/>
  <c r="S1018" i="1"/>
  <c r="T1198" i="1"/>
  <c r="S1198" i="1"/>
  <c r="T1402" i="1"/>
  <c r="S1402" i="1"/>
  <c r="S1223" i="1"/>
  <c r="T262" i="1"/>
  <c r="S262" i="1"/>
  <c r="T586" i="1"/>
  <c r="S586" i="1"/>
  <c r="T886" i="1"/>
  <c r="S886" i="1"/>
  <c r="T1186" i="1"/>
  <c r="S1186" i="1"/>
  <c r="T1498" i="1"/>
  <c r="S1498" i="1"/>
  <c r="T1654" i="1"/>
  <c r="S1654" i="1"/>
  <c r="S430" i="1"/>
  <c r="S490" i="1"/>
  <c r="S1366" i="1"/>
  <c r="T1334" i="1"/>
  <c r="S1334" i="1"/>
  <c r="T1454" i="1"/>
  <c r="S1454" i="1"/>
  <c r="T1598" i="1"/>
  <c r="S1598" i="1"/>
  <c r="T1337" i="1"/>
  <c r="S1337" i="1"/>
  <c r="T1361" i="1"/>
  <c r="S1361" i="1"/>
  <c r="T1601" i="1"/>
  <c r="S1601" i="1"/>
  <c r="T1452" i="1"/>
  <c r="T192" i="1"/>
  <c r="S192" i="1"/>
  <c r="T748" i="1"/>
  <c r="S748" i="1"/>
  <c r="T1408" i="1"/>
  <c r="T1432" i="1"/>
  <c r="T1528" i="1"/>
  <c r="S1528" i="1"/>
  <c r="T1313" i="1"/>
  <c r="T1433" i="1"/>
  <c r="T1457" i="1"/>
  <c r="T1541" i="1"/>
  <c r="T1625" i="1"/>
  <c r="T1576" i="1"/>
  <c r="T1540" i="1"/>
  <c r="T1480" i="1"/>
  <c r="T1396" i="1"/>
  <c r="T1156" i="1"/>
  <c r="T1060" i="1"/>
  <c r="T954" i="1"/>
  <c r="T990" i="1"/>
  <c r="T1074" i="1"/>
  <c r="T1086" i="1"/>
  <c r="T1098" i="1"/>
  <c r="T1158" i="1"/>
  <c r="T1206" i="1"/>
  <c r="T1290" i="1"/>
  <c r="T1314" i="1"/>
  <c r="T1362" i="1"/>
  <c r="T1386" i="1"/>
  <c r="T1434" i="1"/>
  <c r="T1470" i="1"/>
  <c r="T1482" i="1"/>
  <c r="T1554" i="1"/>
  <c r="T1590" i="1"/>
  <c r="T1599" i="1"/>
  <c r="T1575" i="1"/>
  <c r="T1455" i="1"/>
  <c r="T1371" i="1"/>
  <c r="T1323" i="1"/>
  <c r="T1203" i="1"/>
  <c r="T1155" i="1"/>
  <c r="T1143" i="1"/>
  <c r="T1131" i="1"/>
  <c r="T1083" i="1"/>
  <c r="T1059" i="1"/>
  <c r="T1023" i="1"/>
  <c r="T951" i="1"/>
  <c r="T891" i="1"/>
  <c r="T831" i="1"/>
  <c r="T1526" i="1"/>
  <c r="T1382" i="1"/>
  <c r="T1499" i="1"/>
  <c r="T191" i="1"/>
  <c r="T900" i="1"/>
  <c r="T960" i="1"/>
  <c r="T972" i="1"/>
  <c r="T1020" i="1"/>
  <c r="T1092" i="1"/>
  <c r="T1128" i="1"/>
  <c r="T1140" i="1"/>
  <c r="T1152" i="1"/>
  <c r="T1200" i="1"/>
  <c r="T1212" i="1"/>
  <c r="T1332" i="1"/>
  <c r="T1344" i="1"/>
  <c r="T1476" i="1"/>
  <c r="T1500" i="1"/>
  <c r="T1584" i="1"/>
  <c r="T1197" i="1"/>
  <c r="T1513" i="1"/>
  <c r="T721" i="1"/>
  <c r="T1129" i="1"/>
  <c r="T566" i="1"/>
  <c r="T722" i="1"/>
  <c r="T1046" i="1"/>
  <c r="T1070" i="1"/>
  <c r="T1106" i="1"/>
  <c r="T1166" i="1"/>
  <c r="T1190" i="1"/>
  <c r="T1117" i="1"/>
  <c r="T1178" i="1"/>
  <c r="T1021" i="1"/>
  <c r="T813" i="1"/>
  <c r="T327" i="1"/>
  <c r="T363" i="1"/>
  <c r="T387" i="1"/>
  <c r="T495" i="1"/>
  <c r="T615" i="1"/>
  <c r="T843" i="1"/>
  <c r="T855" i="1"/>
  <c r="T903" i="1"/>
  <c r="T1227" i="1"/>
  <c r="T1383" i="1"/>
  <c r="T27" i="1"/>
  <c r="T63" i="1"/>
  <c r="T99" i="1"/>
  <c r="T147" i="1"/>
  <c r="T183" i="1"/>
  <c r="T1733" i="1"/>
  <c r="T1697" i="1"/>
  <c r="T1685" i="1"/>
  <c r="T145" i="1"/>
  <c r="Q1048" i="1"/>
  <c r="Q145" i="1"/>
  <c r="Q1526" i="1"/>
  <c r="Q191" i="1"/>
  <c r="Q1574" i="1"/>
  <c r="T9" i="1"/>
  <c r="T93" i="1"/>
  <c r="T117" i="1"/>
  <c r="T129" i="1"/>
  <c r="T153" i="1"/>
  <c r="T249" i="1"/>
  <c r="Q269" i="1"/>
  <c r="Q1617" i="1"/>
  <c r="Q588" i="1"/>
  <c r="Q589" i="1"/>
  <c r="Q1021" i="1"/>
  <c r="Q1226" i="1"/>
  <c r="Q1265" i="1"/>
  <c r="Q1290" i="1"/>
  <c r="Q1572" i="1"/>
  <c r="Q205" i="1"/>
  <c r="Q270" i="1"/>
  <c r="Q1725" i="1"/>
  <c r="Q586" i="1"/>
  <c r="Q323" i="1"/>
  <c r="Q637" i="1"/>
  <c r="Q1646" i="1"/>
  <c r="Q324" i="1"/>
  <c r="Q1692" i="1"/>
  <c r="Q326" i="1"/>
  <c r="Q841" i="1"/>
  <c r="Q721" i="1"/>
  <c r="Q746" i="1"/>
  <c r="Q816" i="1"/>
  <c r="Q1697" i="1"/>
  <c r="Q445" i="1"/>
  <c r="Q854" i="1"/>
  <c r="Q446" i="1"/>
  <c r="Q912" i="1"/>
  <c r="Q1728" i="1"/>
  <c r="T205" i="1"/>
  <c r="Q95" i="1"/>
  <c r="Q520" i="1"/>
  <c r="Q948" i="1"/>
  <c r="Q1501" i="1"/>
  <c r="Q1729" i="1"/>
  <c r="Q1128" i="1"/>
  <c r="Q1645" i="1"/>
  <c r="Q1298" i="1"/>
  <c r="Q1332" i="1"/>
  <c r="Q1334" i="1"/>
  <c r="Q1500" i="1"/>
  <c r="T381" i="1"/>
  <c r="T657" i="1"/>
  <c r="T885" i="1"/>
  <c r="T921" i="1"/>
  <c r="T981" i="1"/>
  <c r="T1389" i="1"/>
  <c r="T1677" i="1"/>
  <c r="T1725" i="1"/>
  <c r="Q132" i="1"/>
  <c r="Q566" i="1"/>
  <c r="Q949" i="1"/>
  <c r="Q1502" i="1"/>
  <c r="Q1730" i="1"/>
  <c r="Q1263" i="1"/>
  <c r="Q1431" i="1"/>
  <c r="T366" i="1"/>
  <c r="Q1086" i="1"/>
  <c r="Q1457" i="1"/>
  <c r="Q1611" i="1"/>
  <c r="R988" i="1"/>
  <c r="T263" i="1"/>
  <c r="T167" i="1"/>
  <c r="Q843" i="1"/>
  <c r="Q1060" i="1"/>
  <c r="Q1433" i="1"/>
  <c r="Q1720" i="1"/>
  <c r="T77" i="1"/>
  <c r="T209" i="1"/>
  <c r="T270" i="1"/>
  <c r="Q1601" i="1"/>
  <c r="Q147" i="1"/>
  <c r="Q855" i="1"/>
  <c r="Q1323" i="1"/>
  <c r="Q1470" i="1"/>
  <c r="Q327" i="1"/>
  <c r="Q1155" i="1"/>
  <c r="R652" i="1"/>
  <c r="Q387" i="1"/>
  <c r="Q657" i="1"/>
  <c r="Q1156" i="1"/>
  <c r="Q27" i="1"/>
  <c r="Q206" i="1"/>
  <c r="Q388" i="1"/>
  <c r="Q658" i="1"/>
  <c r="Q1158" i="1"/>
  <c r="Q1360" i="1"/>
  <c r="Q1755" i="1"/>
  <c r="R989" i="1"/>
  <c r="T287" i="1"/>
  <c r="T323" i="1"/>
  <c r="T1691" i="1"/>
  <c r="Q40" i="1"/>
  <c r="Q208" i="1"/>
  <c r="Q1648" i="1"/>
  <c r="R1511" i="1"/>
  <c r="T11" i="1"/>
  <c r="T288" i="1"/>
  <c r="T348" i="1"/>
  <c r="Q47" i="1"/>
  <c r="Q209" i="1"/>
  <c r="Q1227" i="1"/>
  <c r="Q1362" i="1"/>
  <c r="Q1528" i="1"/>
  <c r="Q1649" i="1"/>
  <c r="Q1769" i="1"/>
  <c r="T301" i="1"/>
  <c r="T349" i="1"/>
  <c r="T421" i="1"/>
  <c r="T445" i="1"/>
  <c r="T589" i="1"/>
  <c r="T637" i="1"/>
  <c r="T685" i="1"/>
  <c r="T709" i="1"/>
  <c r="T817" i="1"/>
  <c r="T841" i="1"/>
  <c r="T949" i="1"/>
  <c r="T1225" i="1"/>
  <c r="T1297" i="1"/>
  <c r="T1429" i="1"/>
  <c r="T1501" i="1"/>
  <c r="T1645" i="1"/>
  <c r="T1729" i="1"/>
  <c r="T1777" i="1"/>
  <c r="Q48" i="1"/>
  <c r="Q262" i="1"/>
  <c r="Q448" i="1"/>
  <c r="Q748" i="1"/>
  <c r="Q1023" i="1"/>
  <c r="Q1229" i="1"/>
  <c r="Q1429" i="1"/>
  <c r="Q1540" i="1"/>
  <c r="Q1682" i="1"/>
  <c r="Q1770" i="1"/>
  <c r="Q99" i="1"/>
  <c r="Q1059" i="1"/>
  <c r="Q1432" i="1"/>
  <c r="Q1575" i="1"/>
  <c r="T29" i="1"/>
  <c r="T113" i="1"/>
  <c r="T245" i="1"/>
  <c r="T402" i="1"/>
  <c r="T491" i="1"/>
  <c r="Q954" i="1"/>
  <c r="Q1361" i="1"/>
  <c r="Q1757" i="1"/>
  <c r="T47" i="1"/>
  <c r="T95" i="1"/>
  <c r="T324" i="1"/>
  <c r="T25" i="1"/>
  <c r="T61" i="1"/>
  <c r="T169" i="1"/>
  <c r="Q93" i="1"/>
  <c r="Q263" i="1"/>
  <c r="Q494" i="1"/>
  <c r="Q750" i="1"/>
  <c r="Q1046" i="1"/>
  <c r="Q1251" i="1"/>
  <c r="Q1430" i="1"/>
  <c r="Q1541" i="1"/>
  <c r="Q1685" i="1"/>
  <c r="Q1790" i="1"/>
  <c r="R20" i="1"/>
  <c r="S20" i="1" s="1"/>
  <c r="Q20" i="1"/>
  <c r="R68" i="1"/>
  <c r="Q68" i="1"/>
  <c r="R116" i="1"/>
  <c r="Q116" i="1"/>
  <c r="R152" i="1"/>
  <c r="Q152" i="1"/>
  <c r="R188" i="1"/>
  <c r="Q188" i="1"/>
  <c r="R224" i="1"/>
  <c r="S224" i="1" s="1"/>
  <c r="Q224" i="1"/>
  <c r="R236" i="1"/>
  <c r="S236" i="1" s="1"/>
  <c r="Q236" i="1"/>
  <c r="R273" i="1"/>
  <c r="Q273" i="1"/>
  <c r="R285" i="1"/>
  <c r="Q285" i="1"/>
  <c r="R297" i="1"/>
  <c r="Q297" i="1"/>
  <c r="R309" i="1"/>
  <c r="Q309" i="1"/>
  <c r="R321" i="1"/>
  <c r="Q321" i="1"/>
  <c r="R333" i="1"/>
  <c r="Q333" i="1"/>
  <c r="R345" i="1"/>
  <c r="Q345" i="1"/>
  <c r="R357" i="1"/>
  <c r="Q357" i="1"/>
  <c r="R369" i="1"/>
  <c r="Q369" i="1"/>
  <c r="R393" i="1"/>
  <c r="Q393" i="1"/>
  <c r="R405" i="1"/>
  <c r="Q405" i="1"/>
  <c r="R417" i="1"/>
  <c r="Q417" i="1"/>
  <c r="R429" i="1"/>
  <c r="Q429" i="1"/>
  <c r="R453" i="1"/>
  <c r="Q453" i="1"/>
  <c r="R465" i="1"/>
  <c r="Q465" i="1"/>
  <c r="R477" i="1"/>
  <c r="Q477" i="1"/>
  <c r="R513" i="1"/>
  <c r="Q513" i="1"/>
  <c r="R525" i="1"/>
  <c r="Q525" i="1"/>
  <c r="R537" i="1"/>
  <c r="Q537" i="1"/>
  <c r="R549" i="1"/>
  <c r="Q549" i="1"/>
  <c r="R561" i="1"/>
  <c r="Q561" i="1"/>
  <c r="R573" i="1"/>
  <c r="Q573" i="1"/>
  <c r="R585" i="1"/>
  <c r="Q585" i="1"/>
  <c r="R597" i="1"/>
  <c r="Q597" i="1"/>
  <c r="R609" i="1"/>
  <c r="Q609" i="1"/>
  <c r="R621" i="1"/>
  <c r="Q621" i="1"/>
  <c r="R633" i="1"/>
  <c r="Q633" i="1"/>
  <c r="Q380" i="1"/>
  <c r="Q584" i="1"/>
  <c r="R32" i="1"/>
  <c r="S32" i="1" s="1"/>
  <c r="Q32" i="1"/>
  <c r="R56" i="1"/>
  <c r="S56" i="1" s="1"/>
  <c r="Q56" i="1"/>
  <c r="R104" i="1"/>
  <c r="Q104" i="1"/>
  <c r="R128" i="1"/>
  <c r="Q128" i="1"/>
  <c r="R164" i="1"/>
  <c r="Q164" i="1"/>
  <c r="R176" i="1"/>
  <c r="Q176" i="1"/>
  <c r="R200" i="1"/>
  <c r="Q200" i="1"/>
  <c r="R248" i="1"/>
  <c r="S248" i="1" s="1"/>
  <c r="Q248" i="1"/>
  <c r="R489" i="1"/>
  <c r="Q489" i="1"/>
  <c r="Q381" i="1"/>
  <c r="Q42" i="1"/>
  <c r="R44" i="1"/>
  <c r="Q44" i="1"/>
  <c r="R80" i="1"/>
  <c r="Q80" i="1"/>
  <c r="R92" i="1"/>
  <c r="S92" i="1" s="1"/>
  <c r="Q92" i="1"/>
  <c r="R140" i="1"/>
  <c r="S140" i="1" s="1"/>
  <c r="Q140" i="1"/>
  <c r="R212" i="1"/>
  <c r="Q212" i="1"/>
  <c r="R261" i="1"/>
  <c r="Q261" i="1"/>
  <c r="R501" i="1"/>
  <c r="Q501" i="1"/>
  <c r="R441" i="1"/>
  <c r="Q441" i="1"/>
  <c r="Q511" i="1"/>
  <c r="R6" i="1"/>
  <c r="S6" i="1" s="1"/>
  <c r="Q6" i="1"/>
  <c r="R18" i="1"/>
  <c r="Q18" i="1"/>
  <c r="R30" i="1"/>
  <c r="Q30" i="1"/>
  <c r="R54" i="1"/>
  <c r="Q54" i="1"/>
  <c r="R78" i="1"/>
  <c r="Q78" i="1"/>
  <c r="R90" i="1"/>
  <c r="Q90" i="1"/>
  <c r="R102" i="1"/>
  <c r="Q102" i="1"/>
  <c r="R114" i="1"/>
  <c r="Q114" i="1"/>
  <c r="R126" i="1"/>
  <c r="Q126" i="1"/>
  <c r="R138" i="1"/>
  <c r="Q138" i="1"/>
  <c r="R150" i="1"/>
  <c r="Q150" i="1"/>
  <c r="R162" i="1"/>
  <c r="Q162" i="1"/>
  <c r="R174" i="1"/>
  <c r="Q174" i="1"/>
  <c r="R186" i="1"/>
  <c r="Q186" i="1"/>
  <c r="R198" i="1"/>
  <c r="Q198" i="1"/>
  <c r="R210" i="1"/>
  <c r="Q210" i="1"/>
  <c r="R222" i="1"/>
  <c r="Q222" i="1"/>
  <c r="R234" i="1"/>
  <c r="Q234" i="1"/>
  <c r="R246" i="1"/>
  <c r="Q246" i="1"/>
  <c r="R259" i="1"/>
  <c r="Q259" i="1"/>
  <c r="R271" i="1"/>
  <c r="Q271" i="1"/>
  <c r="R283" i="1"/>
  <c r="Q283" i="1"/>
  <c r="R295" i="1"/>
  <c r="Q295" i="1"/>
  <c r="R307" i="1"/>
  <c r="Q307" i="1"/>
  <c r="R319" i="1"/>
  <c r="Q319" i="1"/>
  <c r="R331" i="1"/>
  <c r="Q331" i="1"/>
  <c r="R343" i="1"/>
  <c r="Q343" i="1"/>
  <c r="R355" i="1"/>
  <c r="Q355" i="1"/>
  <c r="R367" i="1"/>
  <c r="Q367" i="1"/>
  <c r="R379" i="1"/>
  <c r="Q379" i="1"/>
  <c r="R391" i="1"/>
  <c r="Q391" i="1"/>
  <c r="R403" i="1"/>
  <c r="Q403" i="1"/>
  <c r="R415" i="1"/>
  <c r="Q415" i="1"/>
  <c r="R427" i="1"/>
  <c r="Q427" i="1"/>
  <c r="R439" i="1"/>
  <c r="Q439" i="1"/>
  <c r="R451" i="1"/>
  <c r="Q451" i="1"/>
  <c r="R463" i="1"/>
  <c r="Q463" i="1"/>
  <c r="R475" i="1"/>
  <c r="Q475" i="1"/>
  <c r="R487" i="1"/>
  <c r="Q487" i="1"/>
  <c r="R499" i="1"/>
  <c r="Q499" i="1"/>
  <c r="R523" i="1"/>
  <c r="Q523" i="1"/>
  <c r="R535" i="1"/>
  <c r="Q535" i="1"/>
  <c r="R547" i="1"/>
  <c r="Q547" i="1"/>
  <c r="R559" i="1"/>
  <c r="Q559" i="1"/>
  <c r="R571" i="1"/>
  <c r="Q571" i="1"/>
  <c r="R583" i="1"/>
  <c r="Q583" i="1"/>
  <c r="R595" i="1"/>
  <c r="Q595" i="1"/>
  <c r="R607" i="1"/>
  <c r="Q607" i="1"/>
  <c r="R619" i="1"/>
  <c r="Q619" i="1"/>
  <c r="R631" i="1"/>
  <c r="Q631" i="1"/>
  <c r="R643" i="1"/>
  <c r="Q643" i="1"/>
  <c r="R655" i="1"/>
  <c r="Q655" i="1"/>
  <c r="R667" i="1"/>
  <c r="Q667" i="1"/>
  <c r="R679" i="1"/>
  <c r="Q679" i="1"/>
  <c r="R691" i="1"/>
  <c r="Q691" i="1"/>
  <c r="R703" i="1"/>
  <c r="Q703" i="1"/>
  <c r="R715" i="1"/>
  <c r="Q715" i="1"/>
  <c r="R727" i="1"/>
  <c r="Q727" i="1"/>
  <c r="R739" i="1"/>
  <c r="Q739" i="1"/>
  <c r="R751" i="1"/>
  <c r="Q751" i="1"/>
  <c r="R763" i="1"/>
  <c r="Q763" i="1"/>
  <c r="R775" i="1"/>
  <c r="Q775" i="1"/>
  <c r="R787" i="1"/>
  <c r="Q787" i="1"/>
  <c r="R799" i="1"/>
  <c r="Q799" i="1"/>
  <c r="R811" i="1"/>
  <c r="Q811" i="1"/>
  <c r="R823" i="1"/>
  <c r="Q823" i="1"/>
  <c r="R835" i="1"/>
  <c r="Q835" i="1"/>
  <c r="R847" i="1"/>
  <c r="Q847" i="1"/>
  <c r="R859" i="1"/>
  <c r="Q859" i="1"/>
  <c r="R871" i="1"/>
  <c r="Q871" i="1"/>
  <c r="R883" i="1"/>
  <c r="Q883" i="1"/>
  <c r="R895" i="1"/>
  <c r="Q895" i="1"/>
  <c r="R907" i="1"/>
  <c r="Q907" i="1"/>
  <c r="R919" i="1"/>
  <c r="Q919" i="1"/>
  <c r="R931" i="1"/>
  <c r="Q931" i="1"/>
  <c r="R943" i="1"/>
  <c r="Q943" i="1"/>
  <c r="R955" i="1"/>
  <c r="Q955" i="1"/>
  <c r="R967" i="1"/>
  <c r="Q967" i="1"/>
  <c r="R979" i="1"/>
  <c r="Q979" i="1"/>
  <c r="Q991" i="1"/>
  <c r="R991" i="1"/>
  <c r="R1003" i="1"/>
  <c r="Q1003" i="1"/>
  <c r="R1015" i="1"/>
  <c r="Q1015" i="1"/>
  <c r="R1027" i="1"/>
  <c r="Q1027" i="1"/>
  <c r="R1039" i="1"/>
  <c r="Q1039" i="1"/>
  <c r="R1051" i="1"/>
  <c r="Q1051" i="1"/>
  <c r="R1063" i="1"/>
  <c r="Q1063" i="1"/>
  <c r="R1075" i="1"/>
  <c r="Q1075" i="1"/>
  <c r="R1087" i="1"/>
  <c r="Q1087" i="1"/>
  <c r="R1099" i="1"/>
  <c r="Q1099" i="1"/>
  <c r="R1111" i="1"/>
  <c r="Q1111" i="1"/>
  <c r="R1123" i="1"/>
  <c r="Q1123" i="1"/>
  <c r="R1135" i="1"/>
  <c r="Q1135" i="1"/>
  <c r="R1147" i="1"/>
  <c r="Q1147" i="1"/>
  <c r="R1159" i="1"/>
  <c r="Q1159" i="1"/>
  <c r="R1171" i="1"/>
  <c r="Q1171" i="1"/>
  <c r="R1183" i="1"/>
  <c r="Q1183" i="1"/>
  <c r="R1195" i="1"/>
  <c r="Q1195" i="1"/>
  <c r="R1207" i="1"/>
  <c r="Q1207" i="1"/>
  <c r="R1219" i="1"/>
  <c r="Q1219" i="1"/>
  <c r="R1231" i="1"/>
  <c r="Q1231" i="1"/>
  <c r="R1243" i="1"/>
  <c r="Q1243" i="1"/>
  <c r="R1255" i="1"/>
  <c r="Q1255" i="1"/>
  <c r="R1267" i="1"/>
  <c r="Q1267" i="1"/>
  <c r="R1279" i="1"/>
  <c r="Q1279" i="1"/>
  <c r="R1291" i="1"/>
  <c r="Q1291" i="1"/>
  <c r="R1303" i="1"/>
  <c r="Q1303" i="1"/>
  <c r="R1315" i="1"/>
  <c r="Q1315" i="1"/>
  <c r="R1327" i="1"/>
  <c r="Q1327" i="1"/>
  <c r="R1339" i="1"/>
  <c r="Q1339" i="1"/>
  <c r="R1351" i="1"/>
  <c r="Q1351" i="1"/>
  <c r="R1363" i="1"/>
  <c r="Q1363" i="1"/>
  <c r="R1375" i="1"/>
  <c r="Q1375" i="1"/>
  <c r="R1387" i="1"/>
  <c r="Q1387" i="1"/>
  <c r="R1399" i="1"/>
  <c r="Q1399" i="1"/>
  <c r="R1411" i="1"/>
  <c r="Q1411" i="1"/>
  <c r="R1423" i="1"/>
  <c r="Q1423" i="1"/>
  <c r="R1435" i="1"/>
  <c r="Q1435" i="1"/>
  <c r="R1447" i="1"/>
  <c r="Q1447" i="1"/>
  <c r="R1459" i="1"/>
  <c r="Q1459" i="1"/>
  <c r="R1471" i="1"/>
  <c r="Q1471" i="1"/>
  <c r="R1483" i="1"/>
  <c r="Q1483" i="1"/>
  <c r="R1495" i="1"/>
  <c r="Q1495" i="1"/>
  <c r="R1507" i="1"/>
  <c r="Q1507" i="1"/>
  <c r="R1519" i="1"/>
  <c r="Q1519" i="1"/>
  <c r="R1531" i="1"/>
  <c r="Q1531" i="1"/>
  <c r="R1543" i="1"/>
  <c r="Q1543" i="1"/>
  <c r="R1555" i="1"/>
  <c r="Q1555" i="1"/>
  <c r="R1567" i="1"/>
  <c r="Q1567" i="1"/>
  <c r="R1579" i="1"/>
  <c r="Q1579" i="1"/>
  <c r="R1591" i="1"/>
  <c r="Q1591" i="1"/>
  <c r="R1603" i="1"/>
  <c r="Q1603" i="1"/>
  <c r="R1615" i="1"/>
  <c r="Q1615" i="1"/>
  <c r="R1627" i="1"/>
  <c r="Q1627" i="1"/>
  <c r="R1639" i="1"/>
  <c r="Q1639" i="1"/>
  <c r="R1651" i="1"/>
  <c r="Q1651" i="1"/>
  <c r="R1663" i="1"/>
  <c r="Q1663" i="1"/>
  <c r="R1675" i="1"/>
  <c r="Q1675" i="1"/>
  <c r="R1687" i="1"/>
  <c r="Q1687" i="1"/>
  <c r="R1699" i="1"/>
  <c r="Q1699" i="1"/>
  <c r="R1711" i="1"/>
  <c r="Q1711" i="1"/>
  <c r="R1723" i="1"/>
  <c r="Q1723" i="1"/>
  <c r="R1735" i="1"/>
  <c r="Q1735" i="1"/>
  <c r="R1747" i="1"/>
  <c r="Q1747" i="1"/>
  <c r="R1759" i="1"/>
  <c r="Q1759" i="1"/>
  <c r="R1771" i="1"/>
  <c r="Q1771" i="1"/>
  <c r="R1783" i="1"/>
  <c r="Q1783" i="1"/>
  <c r="R1795" i="1"/>
  <c r="Q1795" i="1"/>
  <c r="Q512" i="1"/>
  <c r="R66" i="1"/>
  <c r="Q66" i="1"/>
  <c r="R7" i="1"/>
  <c r="Q7" i="1"/>
  <c r="R19" i="1"/>
  <c r="Q19" i="1"/>
  <c r="R31" i="1"/>
  <c r="Q31" i="1"/>
  <c r="R43" i="1"/>
  <c r="Q43" i="1"/>
  <c r="R55" i="1"/>
  <c r="Q55" i="1"/>
  <c r="R67" i="1"/>
  <c r="Q67" i="1"/>
  <c r="R79" i="1"/>
  <c r="Q79" i="1"/>
  <c r="R91" i="1"/>
  <c r="Q91" i="1"/>
  <c r="R103" i="1"/>
  <c r="Q103" i="1"/>
  <c r="R115" i="1"/>
  <c r="Q115" i="1"/>
  <c r="R127" i="1"/>
  <c r="Q127" i="1"/>
  <c r="R139" i="1"/>
  <c r="Q139" i="1"/>
  <c r="R151" i="1"/>
  <c r="Q151" i="1"/>
  <c r="R163" i="1"/>
  <c r="Q163" i="1"/>
  <c r="R175" i="1"/>
  <c r="Q175" i="1"/>
  <c r="R187" i="1"/>
  <c r="Q187" i="1"/>
  <c r="R199" i="1"/>
  <c r="Q199" i="1"/>
  <c r="R211" i="1"/>
  <c r="Q211" i="1"/>
  <c r="R223" i="1"/>
  <c r="Q223" i="1"/>
  <c r="R235" i="1"/>
  <c r="Q235" i="1"/>
  <c r="R247" i="1"/>
  <c r="Q247" i="1"/>
  <c r="R260" i="1"/>
  <c r="Q260" i="1"/>
  <c r="R272" i="1"/>
  <c r="Q272" i="1"/>
  <c r="R284" i="1"/>
  <c r="Q284" i="1"/>
  <c r="R296" i="1"/>
  <c r="Q296" i="1"/>
  <c r="R308" i="1"/>
  <c r="Q308" i="1"/>
  <c r="R320" i="1"/>
  <c r="S320" i="1" s="1"/>
  <c r="Q320" i="1"/>
  <c r="R332" i="1"/>
  <c r="Q332" i="1"/>
  <c r="R344" i="1"/>
  <c r="Q344" i="1"/>
  <c r="R356" i="1"/>
  <c r="Q356" i="1"/>
  <c r="R368" i="1"/>
  <c r="Q368" i="1"/>
  <c r="R392" i="1"/>
  <c r="Q392" i="1"/>
  <c r="R404" i="1"/>
  <c r="S404" i="1" s="1"/>
  <c r="Q404" i="1"/>
  <c r="R416" i="1"/>
  <c r="Q416" i="1"/>
  <c r="R428" i="1"/>
  <c r="Q428" i="1"/>
  <c r="R440" i="1"/>
  <c r="Q440" i="1"/>
  <c r="R452" i="1"/>
  <c r="Q452" i="1"/>
  <c r="R464" i="1"/>
  <c r="Q464" i="1"/>
  <c r="R476" i="1"/>
  <c r="S476" i="1" s="1"/>
  <c r="Q476" i="1"/>
  <c r="R488" i="1"/>
  <c r="Q488" i="1"/>
  <c r="R500" i="1"/>
  <c r="Q500" i="1"/>
  <c r="R524" i="1"/>
  <c r="Q524" i="1"/>
  <c r="R536" i="1"/>
  <c r="Q536" i="1"/>
  <c r="R548" i="1"/>
  <c r="Q548" i="1"/>
  <c r="R560" i="1"/>
  <c r="Q560" i="1"/>
  <c r="R572" i="1"/>
  <c r="Q572" i="1"/>
  <c r="R596" i="1"/>
  <c r="Q596" i="1"/>
  <c r="R608" i="1"/>
  <c r="Q608" i="1"/>
  <c r="R620" i="1"/>
  <c r="Q620" i="1"/>
  <c r="R632" i="1"/>
  <c r="Q632" i="1"/>
  <c r="R644" i="1"/>
  <c r="S644" i="1" s="1"/>
  <c r="Q644" i="1"/>
  <c r="R656" i="1"/>
  <c r="Q656" i="1"/>
  <c r="R668" i="1"/>
  <c r="Q668" i="1"/>
  <c r="R680" i="1"/>
  <c r="Q680" i="1"/>
  <c r="R692" i="1"/>
  <c r="Q692" i="1"/>
  <c r="R704" i="1"/>
  <c r="Q704" i="1"/>
  <c r="R716" i="1"/>
  <c r="Q716" i="1"/>
  <c r="R728" i="1"/>
  <c r="Q728" i="1"/>
  <c r="R740" i="1"/>
  <c r="Q740" i="1"/>
  <c r="R752" i="1"/>
  <c r="Q752" i="1"/>
  <c r="R764" i="1"/>
  <c r="Q764" i="1"/>
  <c r="R776" i="1"/>
  <c r="S776" i="1" s="1"/>
  <c r="Q776" i="1"/>
  <c r="R788" i="1"/>
  <c r="S788" i="1" s="1"/>
  <c r="Q788" i="1"/>
  <c r="R800" i="1"/>
  <c r="Q800" i="1"/>
  <c r="R812" i="1"/>
  <c r="Q812" i="1"/>
  <c r="R824" i="1"/>
  <c r="Q824" i="1"/>
  <c r="R836" i="1"/>
  <c r="Q836" i="1"/>
  <c r="R848" i="1"/>
  <c r="Q848" i="1"/>
  <c r="R860" i="1"/>
  <c r="S860" i="1" s="1"/>
  <c r="Q860" i="1"/>
  <c r="R872" i="1"/>
  <c r="Q872" i="1"/>
  <c r="R884" i="1"/>
  <c r="Q884" i="1"/>
  <c r="R896" i="1"/>
  <c r="Q896" i="1"/>
  <c r="R908" i="1"/>
  <c r="Q908" i="1"/>
  <c r="R920" i="1"/>
  <c r="Q920" i="1"/>
  <c r="R932" i="1"/>
  <c r="Q932" i="1"/>
  <c r="R944" i="1"/>
  <c r="Q944" i="1"/>
  <c r="R956" i="1"/>
  <c r="Q956" i="1"/>
  <c r="R968" i="1"/>
  <c r="Q968" i="1"/>
  <c r="R980" i="1"/>
  <c r="Q980" i="1"/>
  <c r="R992" i="1"/>
  <c r="Q992" i="1"/>
  <c r="R1004" i="1"/>
  <c r="Q1004" i="1"/>
  <c r="R1016" i="1"/>
  <c r="Q1016" i="1"/>
  <c r="R1028" i="1"/>
  <c r="Q1028" i="1"/>
  <c r="R1040" i="1"/>
  <c r="Q1040" i="1"/>
  <c r="R1052" i="1"/>
  <c r="Q1052" i="1"/>
  <c r="R1064" i="1"/>
  <c r="Q1064" i="1"/>
  <c r="R1076" i="1"/>
  <c r="Q1076" i="1"/>
  <c r="R1088" i="1"/>
  <c r="Q1088" i="1"/>
  <c r="R1100" i="1"/>
  <c r="Q1100" i="1"/>
  <c r="R1112" i="1"/>
  <c r="Q1112" i="1"/>
  <c r="R1124" i="1"/>
  <c r="Q1124" i="1"/>
  <c r="R1136" i="1"/>
  <c r="Q1136" i="1"/>
  <c r="R1148" i="1"/>
  <c r="Q1148" i="1"/>
  <c r="R1160" i="1"/>
  <c r="Q1160" i="1"/>
  <c r="R1172" i="1"/>
  <c r="Q1172" i="1"/>
  <c r="R1184" i="1"/>
  <c r="Q1184" i="1"/>
  <c r="R1196" i="1"/>
  <c r="Q1196" i="1"/>
  <c r="R1208" i="1"/>
  <c r="Q1208" i="1"/>
  <c r="R1220" i="1"/>
  <c r="Q1220" i="1"/>
  <c r="R1232" i="1"/>
  <c r="Q1232" i="1"/>
  <c r="R1244" i="1"/>
  <c r="Q1244" i="1"/>
  <c r="R1256" i="1"/>
  <c r="Q1256" i="1"/>
  <c r="R1268" i="1"/>
  <c r="Q1268" i="1"/>
  <c r="R1280" i="1"/>
  <c r="Q1280" i="1"/>
  <c r="R1292" i="1"/>
  <c r="Q1292" i="1"/>
  <c r="R1304" i="1"/>
  <c r="Q1304" i="1"/>
  <c r="R1316" i="1"/>
  <c r="Q1316" i="1"/>
  <c r="R1328" i="1"/>
  <c r="Q1328" i="1"/>
  <c r="R1340" i="1"/>
  <c r="Q1340" i="1"/>
  <c r="R1352" i="1"/>
  <c r="Q1352" i="1"/>
  <c r="R1364" i="1"/>
  <c r="Q1364" i="1"/>
  <c r="R1376" i="1"/>
  <c r="Q1376" i="1"/>
  <c r="R1388" i="1"/>
  <c r="Q1388" i="1"/>
  <c r="R1400" i="1"/>
  <c r="Q1400" i="1"/>
  <c r="R1412" i="1"/>
  <c r="Q1412" i="1"/>
  <c r="R1424" i="1"/>
  <c r="Q1424" i="1"/>
  <c r="R1436" i="1"/>
  <c r="S1436" i="1" s="1"/>
  <c r="Q1436" i="1"/>
  <c r="R1448" i="1"/>
  <c r="Q1448" i="1"/>
  <c r="R1460" i="1"/>
  <c r="Q1460" i="1"/>
  <c r="R1472" i="1"/>
  <c r="Q1472" i="1"/>
  <c r="R4" i="1"/>
  <c r="Q4" i="1"/>
  <c r="R16" i="1"/>
  <c r="Q16" i="1"/>
  <c r="R28" i="1"/>
  <c r="S28" i="1" s="1"/>
  <c r="Q28" i="1"/>
  <c r="R52" i="1"/>
  <c r="Q52" i="1"/>
  <c r="R88" i="1"/>
  <c r="Q88" i="1"/>
  <c r="R124" i="1"/>
  <c r="Q124" i="1"/>
  <c r="R136" i="1"/>
  <c r="Q136" i="1"/>
  <c r="R148" i="1"/>
  <c r="Q148" i="1"/>
  <c r="R160" i="1"/>
  <c r="S160" i="1" s="1"/>
  <c r="Q160" i="1"/>
  <c r="R172" i="1"/>
  <c r="Q172" i="1"/>
  <c r="R196" i="1"/>
  <c r="Q196" i="1"/>
  <c r="R220" i="1"/>
  <c r="Q220" i="1"/>
  <c r="R232" i="1"/>
  <c r="Q232" i="1"/>
  <c r="R257" i="1"/>
  <c r="S257" i="1" s="1"/>
  <c r="Q257" i="1"/>
  <c r="R281" i="1"/>
  <c r="Q281" i="1"/>
  <c r="R293" i="1"/>
  <c r="Q293" i="1"/>
  <c r="R305" i="1"/>
  <c r="Q305" i="1"/>
  <c r="R317" i="1"/>
  <c r="Q317" i="1"/>
  <c r="R329" i="1"/>
  <c r="Q329" i="1"/>
  <c r="R353" i="1"/>
  <c r="Q353" i="1"/>
  <c r="R377" i="1"/>
  <c r="S377" i="1" s="1"/>
  <c r="Q377" i="1"/>
  <c r="R389" i="1"/>
  <c r="Q389" i="1"/>
  <c r="R413" i="1"/>
  <c r="Q413" i="1"/>
  <c r="R425" i="1"/>
  <c r="Q425" i="1"/>
  <c r="R437" i="1"/>
  <c r="Q437" i="1"/>
  <c r="R461" i="1"/>
  <c r="Q461" i="1"/>
  <c r="R485" i="1"/>
  <c r="S485" i="1" s="1"/>
  <c r="Q485" i="1"/>
  <c r="R497" i="1"/>
  <c r="Q497" i="1"/>
  <c r="R509" i="1"/>
  <c r="Q509" i="1"/>
  <c r="R533" i="1"/>
  <c r="Q533" i="1"/>
  <c r="R545" i="1"/>
  <c r="Q545" i="1"/>
  <c r="R569" i="1"/>
  <c r="Q569" i="1"/>
  <c r="R581" i="1"/>
  <c r="Q581" i="1"/>
  <c r="R593" i="1"/>
  <c r="Q593" i="1"/>
  <c r="R617" i="1"/>
  <c r="Q617" i="1"/>
  <c r="R629" i="1"/>
  <c r="Q629" i="1"/>
  <c r="R641" i="1"/>
  <c r="Q641" i="1"/>
  <c r="R653" i="1"/>
  <c r="S653" i="1" s="1"/>
  <c r="Q653" i="1"/>
  <c r="R665" i="1"/>
  <c r="Q665" i="1"/>
  <c r="R677" i="1"/>
  <c r="Q677" i="1"/>
  <c r="R701" i="1"/>
  <c r="Q701" i="1"/>
  <c r="R713" i="1"/>
  <c r="Q713" i="1"/>
  <c r="R725" i="1"/>
  <c r="Q725" i="1"/>
  <c r="R737" i="1"/>
  <c r="Q737" i="1"/>
  <c r="R749" i="1"/>
  <c r="S749" i="1" s="1"/>
  <c r="Q749" i="1"/>
  <c r="R761" i="1"/>
  <c r="Q761" i="1"/>
  <c r="R797" i="1"/>
  <c r="Q797" i="1"/>
  <c r="R809" i="1"/>
  <c r="Q809" i="1"/>
  <c r="R821" i="1"/>
  <c r="Q821" i="1"/>
  <c r="R833" i="1"/>
  <c r="Q833" i="1"/>
  <c r="R845" i="1"/>
  <c r="Q845" i="1"/>
  <c r="R857" i="1"/>
  <c r="Q857" i="1"/>
  <c r="R869" i="1"/>
  <c r="Q869" i="1"/>
  <c r="R881" i="1"/>
  <c r="Q881" i="1"/>
  <c r="R893" i="1"/>
  <c r="Q893" i="1"/>
  <c r="R905" i="1"/>
  <c r="Q905" i="1"/>
  <c r="R917" i="1"/>
  <c r="S917" i="1" s="1"/>
  <c r="Q917" i="1"/>
  <c r="R929" i="1"/>
  <c r="Q929" i="1"/>
  <c r="R941" i="1"/>
  <c r="Q941" i="1"/>
  <c r="R953" i="1"/>
  <c r="Q953" i="1"/>
  <c r="R965" i="1"/>
  <c r="Q965" i="1"/>
  <c r="R977" i="1"/>
  <c r="Q977" i="1"/>
  <c r="R1001" i="1"/>
  <c r="Q1001" i="1"/>
  <c r="R1013" i="1"/>
  <c r="Q1013" i="1"/>
  <c r="R1037" i="1"/>
  <c r="Q1037" i="1"/>
  <c r="R1049" i="1"/>
  <c r="Q1049" i="1"/>
  <c r="R1061" i="1"/>
  <c r="Q1061" i="1"/>
  <c r="R1073" i="1"/>
  <c r="Q1073" i="1"/>
  <c r="R1085" i="1"/>
  <c r="Q1085" i="1"/>
  <c r="R1097" i="1"/>
  <c r="Q1097" i="1"/>
  <c r="R1109" i="1"/>
  <c r="Q1109" i="1"/>
  <c r="R1121" i="1"/>
  <c r="Q1121" i="1"/>
  <c r="R1133" i="1"/>
  <c r="Q1133" i="1"/>
  <c r="R1145" i="1"/>
  <c r="Q1145" i="1"/>
  <c r="R1157" i="1"/>
  <c r="Q1157" i="1"/>
  <c r="Q365" i="1"/>
  <c r="Q921" i="1"/>
  <c r="R111" i="1"/>
  <c r="R5" i="1"/>
  <c r="Q5" i="1"/>
  <c r="R17" i="1"/>
  <c r="Q17" i="1"/>
  <c r="R41" i="1"/>
  <c r="Q41" i="1"/>
  <c r="R53" i="1"/>
  <c r="Q53" i="1"/>
  <c r="R65" i="1"/>
  <c r="Q65" i="1"/>
  <c r="R89" i="1"/>
  <c r="Q89" i="1"/>
  <c r="R101" i="1"/>
  <c r="Q101" i="1"/>
  <c r="R125" i="1"/>
  <c r="Q125" i="1"/>
  <c r="R137" i="1"/>
  <c r="Q137" i="1"/>
  <c r="R149" i="1"/>
  <c r="Q149" i="1"/>
  <c r="R161" i="1"/>
  <c r="Q161" i="1"/>
  <c r="R173" i="1"/>
  <c r="Q173" i="1"/>
  <c r="R185" i="1"/>
  <c r="Q185" i="1"/>
  <c r="R197" i="1"/>
  <c r="Q197" i="1"/>
  <c r="R221" i="1"/>
  <c r="Q221" i="1"/>
  <c r="R233" i="1"/>
  <c r="Q233" i="1"/>
  <c r="R258" i="1"/>
  <c r="Q258" i="1"/>
  <c r="R282" i="1"/>
  <c r="Q282" i="1"/>
  <c r="R294" i="1"/>
  <c r="Q294" i="1"/>
  <c r="R306" i="1"/>
  <c r="Q306" i="1"/>
  <c r="R318" i="1"/>
  <c r="Q318" i="1"/>
  <c r="R330" i="1"/>
  <c r="Q330" i="1"/>
  <c r="R342" i="1"/>
  <c r="Q342" i="1"/>
  <c r="R354" i="1"/>
  <c r="Q354" i="1"/>
  <c r="R378" i="1"/>
  <c r="Q378" i="1"/>
  <c r="R390" i="1"/>
  <c r="Q390" i="1"/>
  <c r="R414" i="1"/>
  <c r="Q414" i="1"/>
  <c r="R426" i="1"/>
  <c r="Q426" i="1"/>
  <c r="R438" i="1"/>
  <c r="Q438" i="1"/>
  <c r="R450" i="1"/>
  <c r="Q450" i="1"/>
  <c r="R462" i="1"/>
  <c r="Q462" i="1"/>
  <c r="R474" i="1"/>
  <c r="Q474" i="1"/>
  <c r="R486" i="1"/>
  <c r="Q486" i="1"/>
  <c r="R498" i="1"/>
  <c r="Q498" i="1"/>
  <c r="R510" i="1"/>
  <c r="Q510" i="1"/>
  <c r="R522" i="1"/>
  <c r="Q522" i="1"/>
  <c r="R534" i="1"/>
  <c r="Q534" i="1"/>
  <c r="R546" i="1"/>
  <c r="Q546" i="1"/>
  <c r="R558" i="1"/>
  <c r="Q558" i="1"/>
  <c r="R570" i="1"/>
  <c r="Q570" i="1"/>
  <c r="R582" i="1"/>
  <c r="Q582" i="1"/>
  <c r="R594" i="1"/>
  <c r="Q594" i="1"/>
  <c r="R606" i="1"/>
  <c r="Q606" i="1"/>
  <c r="R618" i="1"/>
  <c r="Q618" i="1"/>
  <c r="R630" i="1"/>
  <c r="Q630" i="1"/>
  <c r="R642" i="1"/>
  <c r="Q642" i="1"/>
  <c r="R654" i="1"/>
  <c r="Q654" i="1"/>
  <c r="R666" i="1"/>
  <c r="Q666" i="1"/>
  <c r="R678" i="1"/>
  <c r="Q678" i="1"/>
  <c r="R690" i="1"/>
  <c r="Q690" i="1"/>
  <c r="R702" i="1"/>
  <c r="Q702" i="1"/>
  <c r="R714" i="1"/>
  <c r="Q714" i="1"/>
  <c r="R726" i="1"/>
  <c r="Q726" i="1"/>
  <c r="R738" i="1"/>
  <c r="Q738" i="1"/>
  <c r="R762" i="1"/>
  <c r="Q762" i="1"/>
  <c r="R774" i="1"/>
  <c r="Q774" i="1"/>
  <c r="R798" i="1"/>
  <c r="Q798" i="1"/>
  <c r="R810" i="1"/>
  <c r="Q810" i="1"/>
  <c r="R822" i="1"/>
  <c r="Q822" i="1"/>
  <c r="R834" i="1"/>
  <c r="Q834" i="1"/>
  <c r="R846" i="1"/>
  <c r="Q846" i="1"/>
  <c r="R858" i="1"/>
  <c r="Q858" i="1"/>
  <c r="R870" i="1"/>
  <c r="Q870" i="1"/>
  <c r="R894" i="1"/>
  <c r="Q894" i="1"/>
  <c r="R906" i="1"/>
  <c r="Q906" i="1"/>
  <c r="R918" i="1"/>
  <c r="Q918" i="1"/>
  <c r="R930" i="1"/>
  <c r="Q930" i="1"/>
  <c r="R942" i="1"/>
  <c r="Q942" i="1"/>
  <c r="R966" i="1"/>
  <c r="Q966" i="1"/>
  <c r="R978" i="1"/>
  <c r="Q978" i="1"/>
  <c r="R1002" i="1"/>
  <c r="Q1002" i="1"/>
  <c r="R1014" i="1"/>
  <c r="Q1014" i="1"/>
  <c r="R1026" i="1"/>
  <c r="Q1026" i="1"/>
  <c r="R1038" i="1"/>
  <c r="Q1038" i="1"/>
  <c r="R1050" i="1"/>
  <c r="Q1050" i="1"/>
  <c r="R1062" i="1"/>
  <c r="Q1062" i="1"/>
  <c r="Q29" i="1"/>
  <c r="Q82" i="1"/>
  <c r="Q134" i="1"/>
  <c r="Q192" i="1"/>
  <c r="Q249" i="1"/>
  <c r="Q310" i="1"/>
  <c r="Q366" i="1"/>
  <c r="Q430" i="1"/>
  <c r="Q495" i="1"/>
  <c r="Q568" i="1"/>
  <c r="Q638" i="1"/>
  <c r="Q722" i="1"/>
  <c r="Q817" i="1"/>
  <c r="Q923" i="1"/>
  <c r="Q1129" i="1"/>
  <c r="R729" i="1"/>
  <c r="Q729" i="1"/>
  <c r="R789" i="1"/>
  <c r="Q789" i="1"/>
  <c r="R849" i="1"/>
  <c r="Q849" i="1"/>
  <c r="R897" i="1"/>
  <c r="Q897" i="1"/>
  <c r="R969" i="1"/>
  <c r="Q969" i="1"/>
  <c r="R1065" i="1"/>
  <c r="Q1065" i="1"/>
  <c r="R1221" i="1"/>
  <c r="Q1221" i="1"/>
  <c r="R1281" i="1"/>
  <c r="Q1281" i="1"/>
  <c r="R1365" i="1"/>
  <c r="Q1365" i="1"/>
  <c r="R1581" i="1"/>
  <c r="Q1581" i="1"/>
  <c r="R57" i="1"/>
  <c r="Q57" i="1"/>
  <c r="R141" i="1"/>
  <c r="Q141" i="1"/>
  <c r="R237" i="1"/>
  <c r="Q237" i="1"/>
  <c r="R466" i="1"/>
  <c r="Q466" i="1"/>
  <c r="R550" i="1"/>
  <c r="Q550" i="1"/>
  <c r="R610" i="1"/>
  <c r="Q610" i="1"/>
  <c r="R1102" i="1"/>
  <c r="Q1102" i="1"/>
  <c r="R1162" i="1"/>
  <c r="Q1162" i="1"/>
  <c r="R1210" i="1"/>
  <c r="Q1210" i="1"/>
  <c r="R1282" i="1"/>
  <c r="Q1282" i="1"/>
  <c r="R1342" i="1"/>
  <c r="Q1342" i="1"/>
  <c r="R1354" i="1"/>
  <c r="Q1354" i="1"/>
  <c r="R1390" i="1"/>
  <c r="Q1390" i="1"/>
  <c r="R1426" i="1"/>
  <c r="Q1426" i="1"/>
  <c r="R1486" i="1"/>
  <c r="Q1486" i="1"/>
  <c r="R1546" i="1"/>
  <c r="Q1546" i="1"/>
  <c r="R1558" i="1"/>
  <c r="Q1558" i="1"/>
  <c r="R1582" i="1"/>
  <c r="Q1582" i="1"/>
  <c r="R1618" i="1"/>
  <c r="Q1618" i="1"/>
  <c r="R1642" i="1"/>
  <c r="Q1642" i="1"/>
  <c r="R1666" i="1"/>
  <c r="Q1666" i="1"/>
  <c r="R1702" i="1"/>
  <c r="Q1702" i="1"/>
  <c r="R1726" i="1"/>
  <c r="Q1726" i="1"/>
  <c r="R1738" i="1"/>
  <c r="Q1738" i="1"/>
  <c r="R1762" i="1"/>
  <c r="Q1762" i="1"/>
  <c r="R1774" i="1"/>
  <c r="Q1774" i="1"/>
  <c r="Q100" i="1"/>
  <c r="Q153" i="1"/>
  <c r="Q449" i="1"/>
  <c r="Q521" i="1"/>
  <c r="R1025" i="1"/>
  <c r="R10" i="1"/>
  <c r="Q10" i="1"/>
  <c r="R22" i="1"/>
  <c r="Q22" i="1"/>
  <c r="R34" i="1"/>
  <c r="Q34" i="1"/>
  <c r="R46" i="1"/>
  <c r="Q46" i="1"/>
  <c r="R58" i="1"/>
  <c r="Q58" i="1"/>
  <c r="R70" i="1"/>
  <c r="Q70" i="1"/>
  <c r="R94" i="1"/>
  <c r="Q94" i="1"/>
  <c r="R106" i="1"/>
  <c r="Q106" i="1"/>
  <c r="R118" i="1"/>
  <c r="Q118" i="1"/>
  <c r="R142" i="1"/>
  <c r="Q142" i="1"/>
  <c r="R154" i="1"/>
  <c r="Q154" i="1"/>
  <c r="R178" i="1"/>
  <c r="Q178" i="1"/>
  <c r="R190" i="1"/>
  <c r="Q190" i="1"/>
  <c r="R202" i="1"/>
  <c r="Q202" i="1"/>
  <c r="R214" i="1"/>
  <c r="Q214" i="1"/>
  <c r="R226" i="1"/>
  <c r="Q226" i="1"/>
  <c r="R238" i="1"/>
  <c r="Q238" i="1"/>
  <c r="R250" i="1"/>
  <c r="Q250" i="1"/>
  <c r="R275" i="1"/>
  <c r="Q275" i="1"/>
  <c r="R299" i="1"/>
  <c r="Q299" i="1"/>
  <c r="R311" i="1"/>
  <c r="Q311" i="1"/>
  <c r="R335" i="1"/>
  <c r="Q335" i="1"/>
  <c r="R347" i="1"/>
  <c r="Q347" i="1"/>
  <c r="R359" i="1"/>
  <c r="Q359" i="1"/>
  <c r="R371" i="1"/>
  <c r="Q371" i="1"/>
  <c r="R383" i="1"/>
  <c r="Q383" i="1"/>
  <c r="R395" i="1"/>
  <c r="Q395" i="1"/>
  <c r="R407" i="1"/>
  <c r="Q407" i="1"/>
  <c r="R419" i="1"/>
  <c r="Q419" i="1"/>
  <c r="R431" i="1"/>
  <c r="Q431" i="1"/>
  <c r="R443" i="1"/>
  <c r="Q443" i="1"/>
  <c r="R455" i="1"/>
  <c r="Q455" i="1"/>
  <c r="R467" i="1"/>
  <c r="Q467" i="1"/>
  <c r="R479" i="1"/>
  <c r="Q479" i="1"/>
  <c r="R503" i="1"/>
  <c r="Q503" i="1"/>
  <c r="R515" i="1"/>
  <c r="Q515" i="1"/>
  <c r="R527" i="1"/>
  <c r="Q527" i="1"/>
  <c r="R539" i="1"/>
  <c r="Q539" i="1"/>
  <c r="R551" i="1"/>
  <c r="Q551" i="1"/>
  <c r="R563" i="1"/>
  <c r="Q563" i="1"/>
  <c r="R575" i="1"/>
  <c r="Q575" i="1"/>
  <c r="R587" i="1"/>
  <c r="Q587" i="1"/>
  <c r="R599" i="1"/>
  <c r="Q599" i="1"/>
  <c r="R611" i="1"/>
  <c r="Q611" i="1"/>
  <c r="R623" i="1"/>
  <c r="Q623" i="1"/>
  <c r="R635" i="1"/>
  <c r="Q635" i="1"/>
  <c r="R647" i="1"/>
  <c r="Q647" i="1"/>
  <c r="R659" i="1"/>
  <c r="Q659" i="1"/>
  <c r="R671" i="1"/>
  <c r="Q671" i="1"/>
  <c r="R683" i="1"/>
  <c r="Q683" i="1"/>
  <c r="R695" i="1"/>
  <c r="Q695" i="1"/>
  <c r="R707" i="1"/>
  <c r="Q707" i="1"/>
  <c r="R719" i="1"/>
  <c r="Q719" i="1"/>
  <c r="R731" i="1"/>
  <c r="Q731" i="1"/>
  <c r="R743" i="1"/>
  <c r="Q743" i="1"/>
  <c r="R755" i="1"/>
  <c r="Q755" i="1"/>
  <c r="R767" i="1"/>
  <c r="Q767" i="1"/>
  <c r="R779" i="1"/>
  <c r="Q779" i="1"/>
  <c r="R791" i="1"/>
  <c r="Q791" i="1"/>
  <c r="R803" i="1"/>
  <c r="Q803" i="1"/>
  <c r="R815" i="1"/>
  <c r="Q815" i="1"/>
  <c r="R827" i="1"/>
  <c r="Q827" i="1"/>
  <c r="R839" i="1"/>
  <c r="Q839" i="1"/>
  <c r="R851" i="1"/>
  <c r="Q851" i="1"/>
  <c r="R863" i="1"/>
  <c r="Q863" i="1"/>
  <c r="R875" i="1"/>
  <c r="Q875" i="1"/>
  <c r="R887" i="1"/>
  <c r="Q887" i="1"/>
  <c r="R899" i="1"/>
  <c r="Q899" i="1"/>
  <c r="R911" i="1"/>
  <c r="Q911" i="1"/>
  <c r="R935" i="1"/>
  <c r="Q935" i="1"/>
  <c r="R947" i="1"/>
  <c r="Q947" i="1"/>
  <c r="R959" i="1"/>
  <c r="Q959" i="1"/>
  <c r="R971" i="1"/>
  <c r="Q971" i="1"/>
  <c r="R983" i="1"/>
  <c r="Q983" i="1"/>
  <c r="R995" i="1"/>
  <c r="Q995" i="1"/>
  <c r="R1007" i="1"/>
  <c r="Q1007" i="1"/>
  <c r="R1019" i="1"/>
  <c r="Q1019" i="1"/>
  <c r="R1031" i="1"/>
  <c r="Q1031" i="1"/>
  <c r="R1043" i="1"/>
  <c r="Q1043" i="1"/>
  <c r="R1055" i="1"/>
  <c r="Q1055" i="1"/>
  <c r="R1067" i="1"/>
  <c r="Q1067" i="1"/>
  <c r="R1079" i="1"/>
  <c r="Q1079" i="1"/>
  <c r="R1103" i="1"/>
  <c r="Q1103" i="1"/>
  <c r="R1127" i="1"/>
  <c r="Q1127" i="1"/>
  <c r="R1139" i="1"/>
  <c r="Q1139" i="1"/>
  <c r="R1151" i="1"/>
  <c r="Q1151" i="1"/>
  <c r="R1163" i="1"/>
  <c r="Q1163" i="1"/>
  <c r="R1175" i="1"/>
  <c r="Q1175" i="1"/>
  <c r="R1187" i="1"/>
  <c r="Q1187" i="1"/>
  <c r="R1199" i="1"/>
  <c r="Q1199" i="1"/>
  <c r="R1211" i="1"/>
  <c r="Q1211" i="1"/>
  <c r="R1235" i="1"/>
  <c r="Q1235" i="1"/>
  <c r="R1247" i="1"/>
  <c r="Q1247" i="1"/>
  <c r="R1259" i="1"/>
  <c r="Q1259" i="1"/>
  <c r="R1271" i="1"/>
  <c r="Q1271" i="1"/>
  <c r="R1283" i="1"/>
  <c r="Q1283" i="1"/>
  <c r="R1295" i="1"/>
  <c r="Q1295" i="1"/>
  <c r="R1307" i="1"/>
  <c r="Q1307" i="1"/>
  <c r="R1331" i="1"/>
  <c r="Q1331" i="1"/>
  <c r="R1343" i="1"/>
  <c r="Q1343" i="1"/>
  <c r="R1355" i="1"/>
  <c r="Q1355" i="1"/>
  <c r="R1367" i="1"/>
  <c r="Q1367" i="1"/>
  <c r="R1379" i="1"/>
  <c r="Q1379" i="1"/>
  <c r="R1415" i="1"/>
  <c r="Q1415" i="1"/>
  <c r="R1427" i="1"/>
  <c r="Q1427" i="1"/>
  <c r="R1439" i="1"/>
  <c r="Q1439" i="1"/>
  <c r="R1451" i="1"/>
  <c r="Q1451" i="1"/>
  <c r="R1463" i="1"/>
  <c r="Q1463" i="1"/>
  <c r="R1475" i="1"/>
  <c r="Q1475" i="1"/>
  <c r="R1487" i="1"/>
  <c r="Q1487" i="1"/>
  <c r="R1523" i="1"/>
  <c r="Q1523" i="1"/>
  <c r="R1535" i="1"/>
  <c r="Q1535" i="1"/>
  <c r="R1547" i="1"/>
  <c r="Q1547" i="1"/>
  <c r="R1559" i="1"/>
  <c r="Q1559" i="1"/>
  <c r="R1583" i="1"/>
  <c r="Q1583" i="1"/>
  <c r="R1595" i="1"/>
  <c r="Q1595" i="1"/>
  <c r="R1607" i="1"/>
  <c r="Q1607" i="1"/>
  <c r="R1619" i="1"/>
  <c r="Q1619" i="1"/>
  <c r="R1631" i="1"/>
  <c r="Q1631" i="1"/>
  <c r="R1643" i="1"/>
  <c r="Q1643" i="1"/>
  <c r="R1655" i="1"/>
  <c r="Q1655" i="1"/>
  <c r="R1667" i="1"/>
  <c r="Q1667" i="1"/>
  <c r="R1679" i="1"/>
  <c r="Q1679" i="1"/>
  <c r="R1703" i="1"/>
  <c r="Q1703" i="1"/>
  <c r="R1715" i="1"/>
  <c r="Q1715" i="1"/>
  <c r="R1727" i="1"/>
  <c r="Q1727" i="1"/>
  <c r="R1739" i="1"/>
  <c r="Q1739" i="1"/>
  <c r="R1751" i="1"/>
  <c r="Q1751" i="1"/>
  <c r="R1763" i="1"/>
  <c r="Q1763" i="1"/>
  <c r="R1775" i="1"/>
  <c r="Q1775" i="1"/>
  <c r="R1787" i="1"/>
  <c r="Q1787" i="1"/>
  <c r="Q60" i="1"/>
  <c r="Q112" i="1"/>
  <c r="Q166" i="1"/>
  <c r="Q340" i="1"/>
  <c r="Q401" i="1"/>
  <c r="Q604" i="1"/>
  <c r="Q685" i="1"/>
  <c r="Q773" i="1"/>
  <c r="Q880" i="1"/>
  <c r="Q976" i="1"/>
  <c r="Q1571" i="1"/>
  <c r="R753" i="1"/>
  <c r="Q753" i="1"/>
  <c r="R801" i="1"/>
  <c r="Q801" i="1"/>
  <c r="R861" i="1"/>
  <c r="Q861" i="1"/>
  <c r="R1089" i="1"/>
  <c r="Q1089" i="1"/>
  <c r="R1137" i="1"/>
  <c r="Q1137" i="1"/>
  <c r="R1209" i="1"/>
  <c r="Q1209" i="1"/>
  <c r="R1269" i="1"/>
  <c r="Q1269" i="1"/>
  <c r="R1449" i="1"/>
  <c r="Q1449" i="1"/>
  <c r="R105" i="1"/>
  <c r="Q105" i="1"/>
  <c r="R189" i="1"/>
  <c r="Q189" i="1"/>
  <c r="R213" i="1"/>
  <c r="Q213" i="1"/>
  <c r="R286" i="1"/>
  <c r="Q286" i="1"/>
  <c r="R334" i="1"/>
  <c r="Q334" i="1"/>
  <c r="R418" i="1"/>
  <c r="Q418" i="1"/>
  <c r="R502" i="1"/>
  <c r="Q502" i="1"/>
  <c r="R718" i="1"/>
  <c r="Q718" i="1"/>
  <c r="R802" i="1"/>
  <c r="Q802" i="1"/>
  <c r="R874" i="1"/>
  <c r="Q874" i="1"/>
  <c r="R958" i="1"/>
  <c r="Q958" i="1"/>
  <c r="R1042" i="1"/>
  <c r="Q1042" i="1"/>
  <c r="R1126" i="1"/>
  <c r="Q1126" i="1"/>
  <c r="R1174" i="1"/>
  <c r="Q1174" i="1"/>
  <c r="R1246" i="1"/>
  <c r="Q1246" i="1"/>
  <c r="R1270" i="1"/>
  <c r="Q1270" i="1"/>
  <c r="R1306" i="1"/>
  <c r="Q1306" i="1"/>
  <c r="R1330" i="1"/>
  <c r="Q1330" i="1"/>
  <c r="R1414" i="1"/>
  <c r="Q1414" i="1"/>
  <c r="R1474" i="1"/>
  <c r="Q1474" i="1"/>
  <c r="R1630" i="1"/>
  <c r="Q1630" i="1"/>
  <c r="R23" i="1"/>
  <c r="Q23" i="1"/>
  <c r="R35" i="1"/>
  <c r="Q35" i="1"/>
  <c r="R59" i="1"/>
  <c r="Q59" i="1"/>
  <c r="R71" i="1"/>
  <c r="Q71" i="1"/>
  <c r="R83" i="1"/>
  <c r="Q83" i="1"/>
  <c r="R107" i="1"/>
  <c r="Q107" i="1"/>
  <c r="R119" i="1"/>
  <c r="Q119" i="1"/>
  <c r="R131" i="1"/>
  <c r="Q131" i="1"/>
  <c r="R143" i="1"/>
  <c r="Q143" i="1"/>
  <c r="R155" i="1"/>
  <c r="Q155" i="1"/>
  <c r="R179" i="1"/>
  <c r="Q179" i="1"/>
  <c r="R203" i="1"/>
  <c r="Q203" i="1"/>
  <c r="R215" i="1"/>
  <c r="Q215" i="1"/>
  <c r="R227" i="1"/>
  <c r="Q227" i="1"/>
  <c r="R239" i="1"/>
  <c r="Q239" i="1"/>
  <c r="R251" i="1"/>
  <c r="Q251" i="1"/>
  <c r="R264" i="1"/>
  <c r="Q264" i="1"/>
  <c r="R276" i="1"/>
  <c r="Q276" i="1"/>
  <c r="R300" i="1"/>
  <c r="Q300" i="1"/>
  <c r="R312" i="1"/>
  <c r="Q312" i="1"/>
  <c r="R336" i="1"/>
  <c r="Q336" i="1"/>
  <c r="R360" i="1"/>
  <c r="Q360" i="1"/>
  <c r="R372" i="1"/>
  <c r="Q372" i="1"/>
  <c r="R384" i="1"/>
  <c r="Q384" i="1"/>
  <c r="R396" i="1"/>
  <c r="Q396" i="1"/>
  <c r="R408" i="1"/>
  <c r="Q408" i="1"/>
  <c r="R420" i="1"/>
  <c r="Q420" i="1"/>
  <c r="R432" i="1"/>
  <c r="Q432" i="1"/>
  <c r="R444" i="1"/>
  <c r="S444" i="1" s="1"/>
  <c r="Q444" i="1"/>
  <c r="R456" i="1"/>
  <c r="Q456" i="1"/>
  <c r="R468" i="1"/>
  <c r="Q468" i="1"/>
  <c r="R480" i="1"/>
  <c r="Q480" i="1"/>
  <c r="R492" i="1"/>
  <c r="Q492" i="1"/>
  <c r="R504" i="1"/>
  <c r="Q504" i="1"/>
  <c r="R516" i="1"/>
  <c r="S516" i="1" s="1"/>
  <c r="Q516" i="1"/>
  <c r="R528" i="1"/>
  <c r="Q528" i="1"/>
  <c r="R552" i="1"/>
  <c r="Q552" i="1"/>
  <c r="R564" i="1"/>
  <c r="Q564" i="1"/>
  <c r="R576" i="1"/>
  <c r="Q576" i="1"/>
  <c r="R600" i="1"/>
  <c r="Q600" i="1"/>
  <c r="R612" i="1"/>
  <c r="S612" i="1" s="1"/>
  <c r="Q612" i="1"/>
  <c r="R624" i="1"/>
  <c r="Q624" i="1"/>
  <c r="R636" i="1"/>
  <c r="Q636" i="1"/>
  <c r="R648" i="1"/>
  <c r="Q648" i="1"/>
  <c r="R660" i="1"/>
  <c r="Q660" i="1"/>
  <c r="R672" i="1"/>
  <c r="S672" i="1" s="1"/>
  <c r="Q672" i="1"/>
  <c r="R684" i="1"/>
  <c r="Q684" i="1"/>
  <c r="R696" i="1"/>
  <c r="Q696" i="1"/>
  <c r="R708" i="1"/>
  <c r="Q708" i="1"/>
  <c r="R720" i="1"/>
  <c r="Q720" i="1"/>
  <c r="R732" i="1"/>
  <c r="Q732" i="1"/>
  <c r="R744" i="1"/>
  <c r="Q744" i="1"/>
  <c r="R756" i="1"/>
  <c r="Q756" i="1"/>
  <c r="R768" i="1"/>
  <c r="Q768" i="1"/>
  <c r="R780" i="1"/>
  <c r="Q780" i="1"/>
  <c r="R792" i="1"/>
  <c r="Q792" i="1"/>
  <c r="R804" i="1"/>
  <c r="Q804" i="1"/>
  <c r="R828" i="1"/>
  <c r="Q828" i="1"/>
  <c r="R840" i="1"/>
  <c r="S840" i="1" s="1"/>
  <c r="Q840" i="1"/>
  <c r="R852" i="1"/>
  <c r="Q852" i="1"/>
  <c r="R864" i="1"/>
  <c r="Q864" i="1"/>
  <c r="R876" i="1"/>
  <c r="Q876" i="1"/>
  <c r="R888" i="1"/>
  <c r="Q888" i="1"/>
  <c r="Q9" i="1"/>
  <c r="Q61" i="1"/>
  <c r="Q113" i="1"/>
  <c r="Q167" i="1"/>
  <c r="Q341" i="1"/>
  <c r="Q402" i="1"/>
  <c r="Q538" i="1"/>
  <c r="Q605" i="1"/>
  <c r="Q686" i="1"/>
  <c r="Q882" i="1"/>
  <c r="Q981" i="1"/>
  <c r="Q1186" i="1"/>
  <c r="Q1366" i="1"/>
  <c r="Q1654" i="1"/>
  <c r="R645" i="1"/>
  <c r="Q645" i="1"/>
  <c r="R681" i="1"/>
  <c r="Q681" i="1"/>
  <c r="R705" i="1"/>
  <c r="Q705" i="1"/>
  <c r="R837" i="1"/>
  <c r="Q837" i="1"/>
  <c r="R945" i="1"/>
  <c r="Q945" i="1"/>
  <c r="R1005" i="1"/>
  <c r="Q1005" i="1"/>
  <c r="R1041" i="1"/>
  <c r="Q1041" i="1"/>
  <c r="R1149" i="1"/>
  <c r="Q1149" i="1"/>
  <c r="R1533" i="1"/>
  <c r="Q1533" i="1"/>
  <c r="R1545" i="1"/>
  <c r="Q1545" i="1"/>
  <c r="R1557" i="1"/>
  <c r="Q1557" i="1"/>
  <c r="R1569" i="1"/>
  <c r="Q1569" i="1"/>
  <c r="R1641" i="1"/>
  <c r="Q1641" i="1"/>
  <c r="R1653" i="1"/>
  <c r="Q1653" i="1"/>
  <c r="R1665" i="1"/>
  <c r="Q1665" i="1"/>
  <c r="R1689" i="1"/>
  <c r="Q1689" i="1"/>
  <c r="R1701" i="1"/>
  <c r="Q1701" i="1"/>
  <c r="R1713" i="1"/>
  <c r="Q1713" i="1"/>
  <c r="R1737" i="1"/>
  <c r="Q1737" i="1"/>
  <c r="R1749" i="1"/>
  <c r="Q1749" i="1"/>
  <c r="R1761" i="1"/>
  <c r="Q1761" i="1"/>
  <c r="R1773" i="1"/>
  <c r="Q1773" i="1"/>
  <c r="R1785" i="1"/>
  <c r="Q1785" i="1"/>
  <c r="R45" i="1"/>
  <c r="Q45" i="1"/>
  <c r="R81" i="1"/>
  <c r="Q81" i="1"/>
  <c r="R165" i="1"/>
  <c r="Q165" i="1"/>
  <c r="R201" i="1"/>
  <c r="Q201" i="1"/>
  <c r="R274" i="1"/>
  <c r="Q274" i="1"/>
  <c r="R346" i="1"/>
  <c r="Q346" i="1"/>
  <c r="R370" i="1"/>
  <c r="Q370" i="1"/>
  <c r="R394" i="1"/>
  <c r="Q394" i="1"/>
  <c r="R442" i="1"/>
  <c r="Q442" i="1"/>
  <c r="R454" i="1"/>
  <c r="Q454" i="1"/>
  <c r="R478" i="1"/>
  <c r="Q478" i="1"/>
  <c r="R526" i="1"/>
  <c r="Q526" i="1"/>
  <c r="R694" i="1"/>
  <c r="Q694" i="1"/>
  <c r="R730" i="1"/>
  <c r="Q730" i="1"/>
  <c r="R742" i="1"/>
  <c r="Q742" i="1"/>
  <c r="R778" i="1"/>
  <c r="Q778" i="1"/>
  <c r="R790" i="1"/>
  <c r="Q790" i="1"/>
  <c r="R850" i="1"/>
  <c r="Q850" i="1"/>
  <c r="R862" i="1"/>
  <c r="Q862" i="1"/>
  <c r="R898" i="1"/>
  <c r="Q898" i="1"/>
  <c r="R910" i="1"/>
  <c r="Q910" i="1"/>
  <c r="R946" i="1"/>
  <c r="Q946" i="1"/>
  <c r="R982" i="1"/>
  <c r="Q982" i="1"/>
  <c r="R1006" i="1"/>
  <c r="Q1006" i="1"/>
  <c r="R1054" i="1"/>
  <c r="Q1054" i="1"/>
  <c r="R1078" i="1"/>
  <c r="Q1078" i="1"/>
  <c r="R1114" i="1"/>
  <c r="Q1114" i="1"/>
  <c r="R1222" i="1"/>
  <c r="Q1222" i="1"/>
  <c r="R1258" i="1"/>
  <c r="Q1258" i="1"/>
  <c r="R1438" i="1"/>
  <c r="Q1438" i="1"/>
  <c r="R1534" i="1"/>
  <c r="Q1534" i="1"/>
  <c r="R1570" i="1"/>
  <c r="Q1570" i="1"/>
  <c r="R1606" i="1"/>
  <c r="Q1606" i="1"/>
  <c r="R1678" i="1"/>
  <c r="Q1678" i="1"/>
  <c r="R36" i="1"/>
  <c r="Q36" i="1"/>
  <c r="R72" i="1"/>
  <c r="Q72" i="1"/>
  <c r="R84" i="1"/>
  <c r="Q84" i="1"/>
  <c r="R96" i="1"/>
  <c r="S96" i="1" s="1"/>
  <c r="Q96" i="1"/>
  <c r="R108" i="1"/>
  <c r="Q108" i="1"/>
  <c r="R120" i="1"/>
  <c r="Q120" i="1"/>
  <c r="R144" i="1"/>
  <c r="Q144" i="1"/>
  <c r="R156" i="1"/>
  <c r="Q156" i="1"/>
  <c r="R168" i="1"/>
  <c r="S168" i="1" s="1"/>
  <c r="Q168" i="1"/>
  <c r="R180" i="1"/>
  <c r="S180" i="1" s="1"/>
  <c r="Q180" i="1"/>
  <c r="R204" i="1"/>
  <c r="Q204" i="1"/>
  <c r="R216" i="1"/>
  <c r="Q216" i="1"/>
  <c r="R228" i="1"/>
  <c r="Q228" i="1"/>
  <c r="R240" i="1"/>
  <c r="Q240" i="1"/>
  <c r="R252" i="1"/>
  <c r="Q252" i="1"/>
  <c r="R265" i="1"/>
  <c r="Q265" i="1"/>
  <c r="R277" i="1"/>
  <c r="Q277" i="1"/>
  <c r="R289" i="1"/>
  <c r="Q289" i="1"/>
  <c r="R313" i="1"/>
  <c r="Q313" i="1"/>
  <c r="R325" i="1"/>
  <c r="Q325" i="1"/>
  <c r="R337" i="1"/>
  <c r="Q337" i="1"/>
  <c r="R361" i="1"/>
  <c r="Q361" i="1"/>
  <c r="R373" i="1"/>
  <c r="Q373" i="1"/>
  <c r="R385" i="1"/>
  <c r="Q385" i="1"/>
  <c r="R397" i="1"/>
  <c r="Q397" i="1"/>
  <c r="R409" i="1"/>
  <c r="Q409" i="1"/>
  <c r="R433" i="1"/>
  <c r="Q433" i="1"/>
  <c r="R457" i="1"/>
  <c r="Q457" i="1"/>
  <c r="R469" i="1"/>
  <c r="Q469" i="1"/>
  <c r="R481" i="1"/>
  <c r="Q481" i="1"/>
  <c r="R493" i="1"/>
  <c r="Q493" i="1"/>
  <c r="R505" i="1"/>
  <c r="Q505" i="1"/>
  <c r="R517" i="1"/>
  <c r="Q517" i="1"/>
  <c r="R529" i="1"/>
  <c r="Q529" i="1"/>
  <c r="R541" i="1"/>
  <c r="Q541" i="1"/>
  <c r="R553" i="1"/>
  <c r="Q553" i="1"/>
  <c r="R565" i="1"/>
  <c r="Q565" i="1"/>
  <c r="R577" i="1"/>
  <c r="Q577" i="1"/>
  <c r="R601" i="1"/>
  <c r="Q601" i="1"/>
  <c r="R613" i="1"/>
  <c r="Q613" i="1"/>
  <c r="R625" i="1"/>
  <c r="Q625" i="1"/>
  <c r="R649" i="1"/>
  <c r="Q649" i="1"/>
  <c r="R661" i="1"/>
  <c r="Q661" i="1"/>
  <c r="R673" i="1"/>
  <c r="Q673" i="1"/>
  <c r="R697" i="1"/>
  <c r="Q697" i="1"/>
  <c r="R733" i="1"/>
  <c r="Q733" i="1"/>
  <c r="R745" i="1"/>
  <c r="Q745" i="1"/>
  <c r="R757" i="1"/>
  <c r="Q757" i="1"/>
  <c r="R769" i="1"/>
  <c r="Q769" i="1"/>
  <c r="R781" i="1"/>
  <c r="Q781" i="1"/>
  <c r="R793" i="1"/>
  <c r="Q793" i="1"/>
  <c r="R805" i="1"/>
  <c r="Q805" i="1"/>
  <c r="R829" i="1"/>
  <c r="Q829" i="1"/>
  <c r="R853" i="1"/>
  <c r="Q853" i="1"/>
  <c r="R865" i="1"/>
  <c r="Q865" i="1"/>
  <c r="R877" i="1"/>
  <c r="Q877" i="1"/>
  <c r="R889" i="1"/>
  <c r="Q889" i="1"/>
  <c r="R901" i="1"/>
  <c r="Q901" i="1"/>
  <c r="R913" i="1"/>
  <c r="Q913" i="1"/>
  <c r="R925" i="1"/>
  <c r="Q925" i="1"/>
  <c r="R937" i="1"/>
  <c r="Q937" i="1"/>
  <c r="R961" i="1"/>
  <c r="Q961" i="1"/>
  <c r="R973" i="1"/>
  <c r="Q973" i="1"/>
  <c r="R985" i="1"/>
  <c r="Q985" i="1"/>
  <c r="R997" i="1"/>
  <c r="Q997" i="1"/>
  <c r="R1009" i="1"/>
  <c r="Q1009" i="1"/>
  <c r="R1033" i="1"/>
  <c r="Q1033" i="1"/>
  <c r="R1045" i="1"/>
  <c r="Q1045" i="1"/>
  <c r="R1057" i="1"/>
  <c r="Q1057" i="1"/>
  <c r="R1069" i="1"/>
  <c r="Q1069" i="1"/>
  <c r="R1081" i="1"/>
  <c r="Q1081" i="1"/>
  <c r="R1093" i="1"/>
  <c r="Q1093" i="1"/>
  <c r="R1105" i="1"/>
  <c r="Q1105" i="1"/>
  <c r="R1141" i="1"/>
  <c r="Q1141" i="1"/>
  <c r="R1153" i="1"/>
  <c r="Q1153" i="1"/>
  <c r="R1165" i="1"/>
  <c r="Q1165" i="1"/>
  <c r="R1177" i="1"/>
  <c r="Q1177" i="1"/>
  <c r="R1189" i="1"/>
  <c r="Q1189" i="1"/>
  <c r="R1201" i="1"/>
  <c r="Q1201" i="1"/>
  <c r="R1213" i="1"/>
  <c r="Q1213" i="1"/>
  <c r="R1237" i="1"/>
  <c r="Q1237" i="1"/>
  <c r="R1249" i="1"/>
  <c r="Q1249" i="1"/>
  <c r="R1261" i="1"/>
  <c r="Q1261" i="1"/>
  <c r="R1273" i="1"/>
  <c r="Q1273" i="1"/>
  <c r="R1285" i="1"/>
  <c r="Q1285" i="1"/>
  <c r="R1309" i="1"/>
  <c r="Q1309" i="1"/>
  <c r="R1321" i="1"/>
  <c r="Q1321" i="1"/>
  <c r="R1333" i="1"/>
  <c r="Q1333" i="1"/>
  <c r="R1345" i="1"/>
  <c r="Q1345" i="1"/>
  <c r="R1357" i="1"/>
  <c r="Q1357" i="1"/>
  <c r="R1369" i="1"/>
  <c r="Q1369" i="1"/>
  <c r="R1381" i="1"/>
  <c r="Q1381" i="1"/>
  <c r="R1393" i="1"/>
  <c r="Q1393" i="1"/>
  <c r="R1405" i="1"/>
  <c r="Q1405" i="1"/>
  <c r="R1417" i="1"/>
  <c r="Q1417" i="1"/>
  <c r="R1441" i="1"/>
  <c r="Q1441" i="1"/>
  <c r="R1453" i="1"/>
  <c r="Q1453" i="1"/>
  <c r="R1465" i="1"/>
  <c r="Q1465" i="1"/>
  <c r="R1477" i="1"/>
  <c r="Q1477" i="1"/>
  <c r="R1489" i="1"/>
  <c r="Q1489" i="1"/>
  <c r="R1525" i="1"/>
  <c r="Q1525" i="1"/>
  <c r="R1537" i="1"/>
  <c r="Q1537" i="1"/>
  <c r="R1549" i="1"/>
  <c r="Q1549" i="1"/>
  <c r="R1561" i="1"/>
  <c r="Q1561" i="1"/>
  <c r="R1573" i="1"/>
  <c r="Q1573" i="1"/>
  <c r="R1585" i="1"/>
  <c r="Q1585" i="1"/>
  <c r="R1597" i="1"/>
  <c r="Q1597" i="1"/>
  <c r="R1609" i="1"/>
  <c r="Q1609" i="1"/>
  <c r="R1621" i="1"/>
  <c r="Q1621" i="1"/>
  <c r="R1633" i="1"/>
  <c r="Q1633" i="1"/>
  <c r="R1657" i="1"/>
  <c r="Q1657" i="1"/>
  <c r="R1669" i="1"/>
  <c r="Q1669" i="1"/>
  <c r="R1681" i="1"/>
  <c r="Q1681" i="1"/>
  <c r="R1693" i="1"/>
  <c r="Q1693" i="1"/>
  <c r="R1705" i="1"/>
  <c r="Q1705" i="1"/>
  <c r="R1717" i="1"/>
  <c r="Q1717" i="1"/>
  <c r="Q11" i="1"/>
  <c r="Q63" i="1"/>
  <c r="Q169" i="1"/>
  <c r="Q230" i="1"/>
  <c r="Q287" i="1"/>
  <c r="Q348" i="1"/>
  <c r="Q472" i="1"/>
  <c r="Q540" i="1"/>
  <c r="Q614" i="1"/>
  <c r="Q689" i="1"/>
  <c r="Q785" i="1"/>
  <c r="Q885" i="1"/>
  <c r="Q1090" i="1"/>
  <c r="Q1197" i="1"/>
  <c r="Q1389" i="1"/>
  <c r="Q1677" i="1"/>
  <c r="R717" i="1"/>
  <c r="Q717" i="1"/>
  <c r="R957" i="1"/>
  <c r="Q957" i="1"/>
  <c r="R1029" i="1"/>
  <c r="Q1029" i="1"/>
  <c r="R1101" i="1"/>
  <c r="Q1101" i="1"/>
  <c r="R1161" i="1"/>
  <c r="Q1161" i="1"/>
  <c r="R1233" i="1"/>
  <c r="Q1233" i="1"/>
  <c r="R1293" i="1"/>
  <c r="Q1293" i="1"/>
  <c r="R1329" i="1"/>
  <c r="Q1329" i="1"/>
  <c r="R1437" i="1"/>
  <c r="Q1437" i="1"/>
  <c r="R1485" i="1"/>
  <c r="Q1485" i="1"/>
  <c r="R1593" i="1"/>
  <c r="Q1593" i="1"/>
  <c r="R21" i="1"/>
  <c r="Q21" i="1"/>
  <c r="R322" i="1"/>
  <c r="Q322" i="1"/>
  <c r="R382" i="1"/>
  <c r="Q382" i="1"/>
  <c r="R598" i="1"/>
  <c r="Q598" i="1"/>
  <c r="R682" i="1"/>
  <c r="Q682" i="1"/>
  <c r="R766" i="1"/>
  <c r="Q766" i="1"/>
  <c r="R826" i="1"/>
  <c r="Q826" i="1"/>
  <c r="R922" i="1"/>
  <c r="Q922" i="1"/>
  <c r="R994" i="1"/>
  <c r="Q994" i="1"/>
  <c r="R1066" i="1"/>
  <c r="Q1066" i="1"/>
  <c r="R1150" i="1"/>
  <c r="Q1150" i="1"/>
  <c r="R1234" i="1"/>
  <c r="Q1234" i="1"/>
  <c r="R1318" i="1"/>
  <c r="Q1318" i="1"/>
  <c r="R1378" i="1"/>
  <c r="Q1378" i="1"/>
  <c r="R1450" i="1"/>
  <c r="Q1450" i="1"/>
  <c r="R1462" i="1"/>
  <c r="Q1462" i="1"/>
  <c r="R1510" i="1"/>
  <c r="Q1510" i="1"/>
  <c r="R1522" i="1"/>
  <c r="Q1522" i="1"/>
  <c r="R1594" i="1"/>
  <c r="Q1594" i="1"/>
  <c r="R1690" i="1"/>
  <c r="Q1690" i="1"/>
  <c r="R1714" i="1"/>
  <c r="Q1714" i="1"/>
  <c r="R1750" i="1"/>
  <c r="Q1750" i="1"/>
  <c r="R1786" i="1"/>
  <c r="Q1786" i="1"/>
  <c r="R256" i="1"/>
  <c r="Q256" i="1"/>
  <c r="R13" i="1"/>
  <c r="Q13" i="1"/>
  <c r="R37" i="1"/>
  <c r="Q37" i="1"/>
  <c r="R49" i="1"/>
  <c r="Q49" i="1"/>
  <c r="R73" i="1"/>
  <c r="Q73" i="1"/>
  <c r="R85" i="1"/>
  <c r="Q85" i="1"/>
  <c r="R97" i="1"/>
  <c r="Q97" i="1"/>
  <c r="R109" i="1"/>
  <c r="Q109" i="1"/>
  <c r="R121" i="1"/>
  <c r="Q121" i="1"/>
  <c r="R133" i="1"/>
  <c r="Q133" i="1"/>
  <c r="R157" i="1"/>
  <c r="Q157" i="1"/>
  <c r="R181" i="1"/>
  <c r="Q181" i="1"/>
  <c r="R193" i="1"/>
  <c r="Q193" i="1"/>
  <c r="R217" i="1"/>
  <c r="Q217" i="1"/>
  <c r="R229" i="1"/>
  <c r="Q229" i="1"/>
  <c r="R241" i="1"/>
  <c r="Q241" i="1"/>
  <c r="R253" i="1"/>
  <c r="Q253" i="1"/>
  <c r="R266" i="1"/>
  <c r="Q266" i="1"/>
  <c r="R278" i="1"/>
  <c r="Q278" i="1"/>
  <c r="R290" i="1"/>
  <c r="Q290" i="1"/>
  <c r="T302" i="1"/>
  <c r="R314" i="1"/>
  <c r="Q314" i="1"/>
  <c r="T326" i="1"/>
  <c r="R338" i="1"/>
  <c r="Q338" i="1"/>
  <c r="R350" i="1"/>
  <c r="Q350" i="1"/>
  <c r="T362" i="1"/>
  <c r="R374" i="1"/>
  <c r="Q374" i="1"/>
  <c r="R386" i="1"/>
  <c r="Q386" i="1"/>
  <c r="R398" i="1"/>
  <c r="Q398" i="1"/>
  <c r="R410" i="1"/>
  <c r="Q410" i="1"/>
  <c r="T422" i="1"/>
  <c r="R434" i="1"/>
  <c r="Q434" i="1"/>
  <c r="T446" i="1"/>
  <c r="R458" i="1"/>
  <c r="Q458" i="1"/>
  <c r="R470" i="1"/>
  <c r="Q470" i="1"/>
  <c r="R482" i="1"/>
  <c r="Q482" i="1"/>
  <c r="T494" i="1"/>
  <c r="R506" i="1"/>
  <c r="Q506" i="1"/>
  <c r="R518" i="1"/>
  <c r="Q518" i="1"/>
  <c r="R530" i="1"/>
  <c r="Q530" i="1"/>
  <c r="T542" i="1"/>
  <c r="R554" i="1"/>
  <c r="Q554" i="1"/>
  <c r="R578" i="1"/>
  <c r="Q578" i="1"/>
  <c r="R590" i="1"/>
  <c r="Q590" i="1"/>
  <c r="R602" i="1"/>
  <c r="Q602" i="1"/>
  <c r="T614" i="1"/>
  <c r="R626" i="1"/>
  <c r="Q626" i="1"/>
  <c r="T638" i="1"/>
  <c r="R650" i="1"/>
  <c r="Q650" i="1"/>
  <c r="R662" i="1"/>
  <c r="Q662" i="1"/>
  <c r="R674" i="1"/>
  <c r="Q674" i="1"/>
  <c r="T686" i="1"/>
  <c r="R698" i="1"/>
  <c r="Q698" i="1"/>
  <c r="R710" i="1"/>
  <c r="Q710" i="1"/>
  <c r="R734" i="1"/>
  <c r="Q734" i="1"/>
  <c r="T746" i="1"/>
  <c r="R758" i="1"/>
  <c r="Q758" i="1"/>
  <c r="R770" i="1"/>
  <c r="Q770" i="1"/>
  <c r="R782" i="1"/>
  <c r="Q782" i="1"/>
  <c r="R794" i="1"/>
  <c r="Q794" i="1"/>
  <c r="R806" i="1"/>
  <c r="Q806" i="1"/>
  <c r="R818" i="1"/>
  <c r="Q818" i="1"/>
  <c r="R830" i="1"/>
  <c r="Q830" i="1"/>
  <c r="R842" i="1"/>
  <c r="Q842" i="1"/>
  <c r="T854" i="1"/>
  <c r="R866" i="1"/>
  <c r="Q866" i="1"/>
  <c r="R878" i="1"/>
  <c r="Q878" i="1"/>
  <c r="R890" i="1"/>
  <c r="Q890" i="1"/>
  <c r="R902" i="1"/>
  <c r="Q902" i="1"/>
  <c r="R914" i="1"/>
  <c r="Q914" i="1"/>
  <c r="R926" i="1"/>
  <c r="Q926" i="1"/>
  <c r="R938" i="1"/>
  <c r="Q938" i="1"/>
  <c r="R950" i="1"/>
  <c r="Q950" i="1"/>
  <c r="R962" i="1"/>
  <c r="Q962" i="1"/>
  <c r="R974" i="1"/>
  <c r="Q974" i="1"/>
  <c r="R986" i="1"/>
  <c r="Q986" i="1"/>
  <c r="R998" i="1"/>
  <c r="Q998" i="1"/>
  <c r="T1502" i="1"/>
  <c r="Q12" i="1"/>
  <c r="Q64" i="1"/>
  <c r="Q117" i="1"/>
  <c r="Q170" i="1"/>
  <c r="Q231" i="1"/>
  <c r="Q288" i="1"/>
  <c r="Q349" i="1"/>
  <c r="Q406" i="1"/>
  <c r="Q473" i="1"/>
  <c r="Q542" i="1"/>
  <c r="Q615" i="1"/>
  <c r="Q786" i="1"/>
  <c r="Q886" i="1"/>
  <c r="Q990" i="1"/>
  <c r="Q1091" i="1"/>
  <c r="Q1198" i="1"/>
  <c r="Q1297" i="1"/>
  <c r="Q1391" i="1"/>
  <c r="Q1498" i="1"/>
  <c r="R669" i="1"/>
  <c r="Q669" i="1"/>
  <c r="R741" i="1"/>
  <c r="Q741" i="1"/>
  <c r="R765" i="1"/>
  <c r="Q765" i="1"/>
  <c r="R825" i="1"/>
  <c r="Q825" i="1"/>
  <c r="R873" i="1"/>
  <c r="Q873" i="1"/>
  <c r="R933" i="1"/>
  <c r="Q933" i="1"/>
  <c r="R993" i="1"/>
  <c r="Q993" i="1"/>
  <c r="R1077" i="1"/>
  <c r="Q1077" i="1"/>
  <c r="R1125" i="1"/>
  <c r="Q1125" i="1"/>
  <c r="R1185" i="1"/>
  <c r="Q1185" i="1"/>
  <c r="R1257" i="1"/>
  <c r="Q1257" i="1"/>
  <c r="R1305" i="1"/>
  <c r="Q1305" i="1"/>
  <c r="R1341" i="1"/>
  <c r="Q1341" i="1"/>
  <c r="R1353" i="1"/>
  <c r="Q1353" i="1"/>
  <c r="R1413" i="1"/>
  <c r="Q1413" i="1"/>
  <c r="R1425" i="1"/>
  <c r="Q1425" i="1"/>
  <c r="R1473" i="1"/>
  <c r="Q1473" i="1"/>
  <c r="R1497" i="1"/>
  <c r="Q1497" i="1"/>
  <c r="R1521" i="1"/>
  <c r="Q1521" i="1"/>
  <c r="R1629" i="1"/>
  <c r="Q1629" i="1"/>
  <c r="R69" i="1"/>
  <c r="Q69" i="1"/>
  <c r="R177" i="1"/>
  <c r="Q177" i="1"/>
  <c r="R514" i="1"/>
  <c r="Q514" i="1"/>
  <c r="R562" i="1"/>
  <c r="Q562" i="1"/>
  <c r="R622" i="1"/>
  <c r="Q622" i="1"/>
  <c r="R670" i="1"/>
  <c r="Q670" i="1"/>
  <c r="R754" i="1"/>
  <c r="Q754" i="1"/>
  <c r="R838" i="1"/>
  <c r="Q838" i="1"/>
  <c r="R934" i="1"/>
  <c r="Q934" i="1"/>
  <c r="R970" i="1"/>
  <c r="Q970" i="1"/>
  <c r="R1030" i="1"/>
  <c r="Q1030" i="1"/>
  <c r="R1138" i="1"/>
  <c r="Q1138" i="1"/>
  <c r="R14" i="1"/>
  <c r="Q14" i="1"/>
  <c r="R26" i="1"/>
  <c r="Q26" i="1"/>
  <c r="R38" i="1"/>
  <c r="Q38" i="1"/>
  <c r="R50" i="1"/>
  <c r="Q50" i="1"/>
  <c r="R62" i="1"/>
  <c r="Q62" i="1"/>
  <c r="R74" i="1"/>
  <c r="Q74" i="1"/>
  <c r="R86" i="1"/>
  <c r="Q86" i="1"/>
  <c r="R98" i="1"/>
  <c r="S98" i="1" s="1"/>
  <c r="Q98" i="1"/>
  <c r="R110" i="1"/>
  <c r="Q110" i="1"/>
  <c r="R122" i="1"/>
  <c r="Q122" i="1"/>
  <c r="T134" i="1"/>
  <c r="R146" i="1"/>
  <c r="Q146" i="1"/>
  <c r="R158" i="1"/>
  <c r="Q158" i="1"/>
  <c r="T170" i="1"/>
  <c r="R182" i="1"/>
  <c r="Q182" i="1"/>
  <c r="R194" i="1"/>
  <c r="Q194" i="1"/>
  <c r="T206" i="1"/>
  <c r="R218" i="1"/>
  <c r="Q218" i="1"/>
  <c r="T230" i="1"/>
  <c r="R242" i="1"/>
  <c r="Q242" i="1"/>
  <c r="R254" i="1"/>
  <c r="Q254" i="1"/>
  <c r="R267" i="1"/>
  <c r="Q267" i="1"/>
  <c r="R279" i="1"/>
  <c r="Q279" i="1"/>
  <c r="R291" i="1"/>
  <c r="Q291" i="1"/>
  <c r="R303" i="1"/>
  <c r="Q303" i="1"/>
  <c r="R315" i="1"/>
  <c r="Q315" i="1"/>
  <c r="R339" i="1"/>
  <c r="Q339" i="1"/>
  <c r="R351" i="1"/>
  <c r="Q351" i="1"/>
  <c r="R375" i="1"/>
  <c r="Q375" i="1"/>
  <c r="R399" i="1"/>
  <c r="Q399" i="1"/>
  <c r="R411" i="1"/>
  <c r="Q411" i="1"/>
  <c r="R423" i="1"/>
  <c r="Q423" i="1"/>
  <c r="R435" i="1"/>
  <c r="Q435" i="1"/>
  <c r="R447" i="1"/>
  <c r="Q447" i="1"/>
  <c r="R459" i="1"/>
  <c r="Q459" i="1"/>
  <c r="R471" i="1"/>
  <c r="Q471" i="1"/>
  <c r="R483" i="1"/>
  <c r="Q483" i="1"/>
  <c r="R507" i="1"/>
  <c r="Q507" i="1"/>
  <c r="R519" i="1"/>
  <c r="Q519" i="1"/>
  <c r="R531" i="1"/>
  <c r="Q531" i="1"/>
  <c r="R543" i="1"/>
  <c r="Q543" i="1"/>
  <c r="R555" i="1"/>
  <c r="Q555" i="1"/>
  <c r="R567" i="1"/>
  <c r="Q567" i="1"/>
  <c r="R579" i="1"/>
  <c r="Q579" i="1"/>
  <c r="R591" i="1"/>
  <c r="Q591" i="1"/>
  <c r="R603" i="1"/>
  <c r="Q603" i="1"/>
  <c r="R627" i="1"/>
  <c r="Q627" i="1"/>
  <c r="R639" i="1"/>
  <c r="Q639" i="1"/>
  <c r="R651" i="1"/>
  <c r="Q651" i="1"/>
  <c r="R663" i="1"/>
  <c r="Q663" i="1"/>
  <c r="R675" i="1"/>
  <c r="Q675" i="1"/>
  <c r="R687" i="1"/>
  <c r="Q687" i="1"/>
  <c r="R699" i="1"/>
  <c r="Q699" i="1"/>
  <c r="R711" i="1"/>
  <c r="Q711" i="1"/>
  <c r="R723" i="1"/>
  <c r="Q723" i="1"/>
  <c r="R735" i="1"/>
  <c r="Q735" i="1"/>
  <c r="R747" i="1"/>
  <c r="Q747" i="1"/>
  <c r="R759" i="1"/>
  <c r="Q759" i="1"/>
  <c r="R771" i="1"/>
  <c r="Q771" i="1"/>
  <c r="R783" i="1"/>
  <c r="Q783" i="1"/>
  <c r="Q24" i="1"/>
  <c r="Q76" i="1"/>
  <c r="Q129" i="1"/>
  <c r="Q183" i="1"/>
  <c r="Q244" i="1"/>
  <c r="Q301" i="1"/>
  <c r="Q362" i="1"/>
  <c r="Q421" i="1"/>
  <c r="Q490" i="1"/>
  <c r="Q557" i="1"/>
  <c r="Q709" i="1"/>
  <c r="Q813" i="1"/>
  <c r="Q909" i="1"/>
  <c r="Q1017" i="1"/>
  <c r="Q1115" i="1"/>
  <c r="Q1223" i="1"/>
  <c r="Q1402" i="1"/>
  <c r="Q1499" i="1"/>
  <c r="R693" i="1"/>
  <c r="Q693" i="1"/>
  <c r="R777" i="1"/>
  <c r="Q777" i="1"/>
  <c r="R1053" i="1"/>
  <c r="Q1053" i="1"/>
  <c r="R1113" i="1"/>
  <c r="Q1113" i="1"/>
  <c r="R1173" i="1"/>
  <c r="Q1173" i="1"/>
  <c r="R1245" i="1"/>
  <c r="Q1245" i="1"/>
  <c r="R1317" i="1"/>
  <c r="Q1317" i="1"/>
  <c r="R1377" i="1"/>
  <c r="Q1377" i="1"/>
  <c r="R1401" i="1"/>
  <c r="Q1401" i="1"/>
  <c r="R1461" i="1"/>
  <c r="Q1461" i="1"/>
  <c r="R1509" i="1"/>
  <c r="Q1509" i="1"/>
  <c r="R1605" i="1"/>
  <c r="Q1605" i="1"/>
  <c r="R33" i="1"/>
  <c r="Q33" i="1"/>
  <c r="R225" i="1"/>
  <c r="Q225" i="1"/>
  <c r="R298" i="1"/>
  <c r="Q298" i="1"/>
  <c r="R358" i="1"/>
  <c r="Q358" i="1"/>
  <c r="R574" i="1"/>
  <c r="Q574" i="1"/>
  <c r="R646" i="1"/>
  <c r="Q646" i="1"/>
  <c r="R706" i="1"/>
  <c r="Q706" i="1"/>
  <c r="R1294" i="1"/>
  <c r="Q1294" i="1"/>
  <c r="R3" i="1"/>
  <c r="R15" i="1"/>
  <c r="Q15" i="1"/>
  <c r="R39" i="1"/>
  <c r="Q39" i="1"/>
  <c r="R51" i="1"/>
  <c r="Q51" i="1"/>
  <c r="R75" i="1"/>
  <c r="Q75" i="1"/>
  <c r="R87" i="1"/>
  <c r="Q87" i="1"/>
  <c r="R123" i="1"/>
  <c r="Q123" i="1"/>
  <c r="R135" i="1"/>
  <c r="Q135" i="1"/>
  <c r="R159" i="1"/>
  <c r="Q159" i="1"/>
  <c r="R171" i="1"/>
  <c r="Q171" i="1"/>
  <c r="R195" i="1"/>
  <c r="Q195" i="1"/>
  <c r="R207" i="1"/>
  <c r="Q207" i="1"/>
  <c r="R219" i="1"/>
  <c r="Q219" i="1"/>
  <c r="R243" i="1"/>
  <c r="Q243" i="1"/>
  <c r="R255" i="1"/>
  <c r="Q255" i="1"/>
  <c r="R268" i="1"/>
  <c r="Q268" i="1"/>
  <c r="R280" i="1"/>
  <c r="Q280" i="1"/>
  <c r="R292" i="1"/>
  <c r="Q292" i="1"/>
  <c r="R304" i="1"/>
  <c r="Q304" i="1"/>
  <c r="R316" i="1"/>
  <c r="Q316" i="1"/>
  <c r="R328" i="1"/>
  <c r="Q328" i="1"/>
  <c r="R352" i="1"/>
  <c r="Q352" i="1"/>
  <c r="R364" i="1"/>
  <c r="Q364" i="1"/>
  <c r="R376" i="1"/>
  <c r="Q376" i="1"/>
  <c r="R400" i="1"/>
  <c r="Q400" i="1"/>
  <c r="R412" i="1"/>
  <c r="Q412" i="1"/>
  <c r="R424" i="1"/>
  <c r="Q424" i="1"/>
  <c r="R436" i="1"/>
  <c r="Q436" i="1"/>
  <c r="R460" i="1"/>
  <c r="Q460" i="1"/>
  <c r="R484" i="1"/>
  <c r="Q484" i="1"/>
  <c r="R496" i="1"/>
  <c r="Q496" i="1"/>
  <c r="R508" i="1"/>
  <c r="Q508" i="1"/>
  <c r="R532" i="1"/>
  <c r="Q532" i="1"/>
  <c r="R544" i="1"/>
  <c r="Q544" i="1"/>
  <c r="R556" i="1"/>
  <c r="Q556" i="1"/>
  <c r="R580" i="1"/>
  <c r="Q580" i="1"/>
  <c r="R592" i="1"/>
  <c r="Q592" i="1"/>
  <c r="R616" i="1"/>
  <c r="Q616" i="1"/>
  <c r="R628" i="1"/>
  <c r="Q628" i="1"/>
  <c r="R640" i="1"/>
  <c r="Q640" i="1"/>
  <c r="R664" i="1"/>
  <c r="Q664" i="1"/>
  <c r="R676" i="1"/>
  <c r="Q676" i="1"/>
  <c r="R688" i="1"/>
  <c r="Q688" i="1"/>
  <c r="R700" i="1"/>
  <c r="Q700" i="1"/>
  <c r="R724" i="1"/>
  <c r="Q724" i="1"/>
  <c r="R736" i="1"/>
  <c r="Q736" i="1"/>
  <c r="R760" i="1"/>
  <c r="Q760" i="1"/>
  <c r="R772" i="1"/>
  <c r="Q772" i="1"/>
  <c r="R784" i="1"/>
  <c r="Q784" i="1"/>
  <c r="R796" i="1"/>
  <c r="Q796" i="1"/>
  <c r="R808" i="1"/>
  <c r="Q808" i="1"/>
  <c r="R820" i="1"/>
  <c r="Q820" i="1"/>
  <c r="R832" i="1"/>
  <c r="Q832" i="1"/>
  <c r="R844" i="1"/>
  <c r="Q844" i="1"/>
  <c r="R856" i="1"/>
  <c r="Q856" i="1"/>
  <c r="R868" i="1"/>
  <c r="Q868" i="1"/>
  <c r="R892" i="1"/>
  <c r="Q892" i="1"/>
  <c r="R904" i="1"/>
  <c r="Q904" i="1"/>
  <c r="R916" i="1"/>
  <c r="Q916" i="1"/>
  <c r="R928" i="1"/>
  <c r="Q928" i="1"/>
  <c r="R940" i="1"/>
  <c r="Q940" i="1"/>
  <c r="R952" i="1"/>
  <c r="Q952" i="1"/>
  <c r="R964" i="1"/>
  <c r="Q964" i="1"/>
  <c r="R1000" i="1"/>
  <c r="Q1000" i="1"/>
  <c r="R1012" i="1"/>
  <c r="Q1012" i="1"/>
  <c r="R1024" i="1"/>
  <c r="Q1024" i="1"/>
  <c r="R1036" i="1"/>
  <c r="Q1036" i="1"/>
  <c r="R1072" i="1"/>
  <c r="Q1072" i="1"/>
  <c r="R1084" i="1"/>
  <c r="Q1084" i="1"/>
  <c r="R1096" i="1"/>
  <c r="Q1096" i="1"/>
  <c r="R1108" i="1"/>
  <c r="Q1108" i="1"/>
  <c r="R1120" i="1"/>
  <c r="Q1120" i="1"/>
  <c r="R1132" i="1"/>
  <c r="Q1132" i="1"/>
  <c r="R1144" i="1"/>
  <c r="Q1144" i="1"/>
  <c r="R1168" i="1"/>
  <c r="Q1168" i="1"/>
  <c r="R1180" i="1"/>
  <c r="Q1180" i="1"/>
  <c r="R1192" i="1"/>
  <c r="Q1192" i="1"/>
  <c r="R1204" i="1"/>
  <c r="Q1204" i="1"/>
  <c r="R1216" i="1"/>
  <c r="Q1216" i="1"/>
  <c r="R1228" i="1"/>
  <c r="Q1228" i="1"/>
  <c r="R1240" i="1"/>
  <c r="Q1240" i="1"/>
  <c r="R1252" i="1"/>
  <c r="Q1252" i="1"/>
  <c r="R1264" i="1"/>
  <c r="S1264" i="1" s="1"/>
  <c r="Q1264" i="1"/>
  <c r="R1276" i="1"/>
  <c r="Q1276" i="1"/>
  <c r="R1288" i="1"/>
  <c r="Q1288" i="1"/>
  <c r="R1300" i="1"/>
  <c r="Q1300" i="1"/>
  <c r="R1312" i="1"/>
  <c r="Q1312" i="1"/>
  <c r="R1324" i="1"/>
  <c r="Q1324" i="1"/>
  <c r="R1336" i="1"/>
  <c r="Q1336" i="1"/>
  <c r="R1348" i="1"/>
  <c r="Q1348" i="1"/>
  <c r="Q25" i="1"/>
  <c r="Q77" i="1"/>
  <c r="Q130" i="1"/>
  <c r="Q184" i="1"/>
  <c r="Q245" i="1"/>
  <c r="Q302" i="1"/>
  <c r="Q363" i="1"/>
  <c r="Q422" i="1"/>
  <c r="Q491" i="1"/>
  <c r="Q634" i="1"/>
  <c r="Q712" i="1"/>
  <c r="Q814" i="1"/>
  <c r="Q1018" i="1"/>
  <c r="Q1117" i="1"/>
  <c r="Q1225" i="1"/>
  <c r="Q1319" i="1"/>
  <c r="Q1403" i="1"/>
  <c r="Q1691" i="1"/>
  <c r="Q951" i="1"/>
  <c r="Q1020" i="1"/>
  <c r="Q1190" i="1"/>
  <c r="Q1396" i="1"/>
  <c r="R924" i="1"/>
  <c r="Q924" i="1"/>
  <c r="R936" i="1"/>
  <c r="Q936" i="1"/>
  <c r="R984" i="1"/>
  <c r="Q984" i="1"/>
  <c r="R996" i="1"/>
  <c r="Q996" i="1"/>
  <c r="R1008" i="1"/>
  <c r="Q1008" i="1"/>
  <c r="R1032" i="1"/>
  <c r="Q1032" i="1"/>
  <c r="R1044" i="1"/>
  <c r="Q1044" i="1"/>
  <c r="R1056" i="1"/>
  <c r="Q1056" i="1"/>
  <c r="R1068" i="1"/>
  <c r="Q1068" i="1"/>
  <c r="R1080" i="1"/>
  <c r="Q1080" i="1"/>
  <c r="R1104" i="1"/>
  <c r="Q1104" i="1"/>
  <c r="R1116" i="1"/>
  <c r="Q1116" i="1"/>
  <c r="R1164" i="1"/>
  <c r="Q1164" i="1"/>
  <c r="R1176" i="1"/>
  <c r="Q1176" i="1"/>
  <c r="R1188" i="1"/>
  <c r="Q1188" i="1"/>
  <c r="R1224" i="1"/>
  <c r="Q1224" i="1"/>
  <c r="R1236" i="1"/>
  <c r="Q1236" i="1"/>
  <c r="R1260" i="1"/>
  <c r="Q1260" i="1"/>
  <c r="R1284" i="1"/>
  <c r="Q1284" i="1"/>
  <c r="R1296" i="1"/>
  <c r="Q1296" i="1"/>
  <c r="R1308" i="1"/>
  <c r="Q1308" i="1"/>
  <c r="R1320" i="1"/>
  <c r="Q1320" i="1"/>
  <c r="R1356" i="1"/>
  <c r="Q1356" i="1"/>
  <c r="R1392" i="1"/>
  <c r="Q1392" i="1"/>
  <c r="R1404" i="1"/>
  <c r="Q1404" i="1"/>
  <c r="R1416" i="1"/>
  <c r="Q1416" i="1"/>
  <c r="R1428" i="1"/>
  <c r="Q1428" i="1"/>
  <c r="R1440" i="1"/>
  <c r="Q1440" i="1"/>
  <c r="R1464" i="1"/>
  <c r="Q1464" i="1"/>
  <c r="R1488" i="1"/>
  <c r="Q1488" i="1"/>
  <c r="R1512" i="1"/>
  <c r="Q1512" i="1"/>
  <c r="R1524" i="1"/>
  <c r="Q1524" i="1"/>
  <c r="R1536" i="1"/>
  <c r="Q1536" i="1"/>
  <c r="R1548" i="1"/>
  <c r="Q1548" i="1"/>
  <c r="R1560" i="1"/>
  <c r="Q1560" i="1"/>
  <c r="R1596" i="1"/>
  <c r="Q1596" i="1"/>
  <c r="R1608" i="1"/>
  <c r="Q1608" i="1"/>
  <c r="R1620" i="1"/>
  <c r="Q1620" i="1"/>
  <c r="R1644" i="1"/>
  <c r="Q1644" i="1"/>
  <c r="R1656" i="1"/>
  <c r="Q1656" i="1"/>
  <c r="R1668" i="1"/>
  <c r="Q1668" i="1"/>
  <c r="R1680" i="1"/>
  <c r="Q1680" i="1"/>
  <c r="R1716" i="1"/>
  <c r="Q1716" i="1"/>
  <c r="R1740" i="1"/>
  <c r="Q1740" i="1"/>
  <c r="R1752" i="1"/>
  <c r="Q1752" i="1"/>
  <c r="R1764" i="1"/>
  <c r="Q1764" i="1"/>
  <c r="R1776" i="1"/>
  <c r="Q1776" i="1"/>
  <c r="Q1092" i="1"/>
  <c r="Q1131" i="1"/>
  <c r="Q1200" i="1"/>
  <c r="Q1230" i="1"/>
  <c r="Q1299" i="1"/>
  <c r="Q1337" i="1"/>
  <c r="Q1368" i="1"/>
  <c r="Q1434" i="1"/>
  <c r="Q1504" i="1"/>
  <c r="Q1576" i="1"/>
  <c r="R1741" i="1"/>
  <c r="Q1741" i="1"/>
  <c r="R1753" i="1"/>
  <c r="Q1753" i="1"/>
  <c r="R1765" i="1"/>
  <c r="Q1765" i="1"/>
  <c r="R1789" i="1"/>
  <c r="Q1789" i="1"/>
  <c r="Q891" i="1"/>
  <c r="Q960" i="1"/>
  <c r="Q1098" i="1"/>
  <c r="Q1166" i="1"/>
  <c r="Q1203" i="1"/>
  <c r="Q1272" i="1"/>
  <c r="Q1302" i="1"/>
  <c r="Q1371" i="1"/>
  <c r="Q1408" i="1"/>
  <c r="Q1476" i="1"/>
  <c r="Q1584" i="1"/>
  <c r="Q1625" i="1"/>
  <c r="Q1658" i="1"/>
  <c r="Q1733" i="1"/>
  <c r="R1010" i="1"/>
  <c r="Q1010" i="1"/>
  <c r="R1022" i="1"/>
  <c r="Q1022" i="1"/>
  <c r="R1034" i="1"/>
  <c r="Q1034" i="1"/>
  <c r="R1058" i="1"/>
  <c r="Q1058" i="1"/>
  <c r="R1082" i="1"/>
  <c r="Q1082" i="1"/>
  <c r="R1094" i="1"/>
  <c r="Q1094" i="1"/>
  <c r="R1118" i="1"/>
  <c r="Q1118" i="1"/>
  <c r="R1130" i="1"/>
  <c r="Q1130" i="1"/>
  <c r="R1142" i="1"/>
  <c r="Q1142" i="1"/>
  <c r="R1154" i="1"/>
  <c r="Q1154" i="1"/>
  <c r="R1202" i="1"/>
  <c r="Q1202" i="1"/>
  <c r="R1214" i="1"/>
  <c r="Q1214" i="1"/>
  <c r="R1238" i="1"/>
  <c r="Q1238" i="1"/>
  <c r="R1250" i="1"/>
  <c r="Q1250" i="1"/>
  <c r="R1262" i="1"/>
  <c r="Q1262" i="1"/>
  <c r="R1286" i="1"/>
  <c r="Q1286" i="1"/>
  <c r="R1310" i="1"/>
  <c r="Q1310" i="1"/>
  <c r="R1322" i="1"/>
  <c r="Q1322" i="1"/>
  <c r="R1346" i="1"/>
  <c r="Q1346" i="1"/>
  <c r="R1358" i="1"/>
  <c r="Q1358" i="1"/>
  <c r="R1370" i="1"/>
  <c r="Q1370" i="1"/>
  <c r="R1394" i="1"/>
  <c r="Q1394" i="1"/>
  <c r="R1406" i="1"/>
  <c r="Q1406" i="1"/>
  <c r="R1418" i="1"/>
  <c r="Q1418" i="1"/>
  <c r="R1442" i="1"/>
  <c r="Q1442" i="1"/>
  <c r="R1466" i="1"/>
  <c r="Q1466" i="1"/>
  <c r="R1478" i="1"/>
  <c r="Q1478" i="1"/>
  <c r="R1490" i="1"/>
  <c r="Q1490" i="1"/>
  <c r="R1514" i="1"/>
  <c r="Q1514" i="1"/>
  <c r="R1538" i="1"/>
  <c r="Q1538" i="1"/>
  <c r="R1550" i="1"/>
  <c r="Q1550" i="1"/>
  <c r="R1562" i="1"/>
  <c r="Q1562" i="1"/>
  <c r="R1586" i="1"/>
  <c r="Q1586" i="1"/>
  <c r="R1610" i="1"/>
  <c r="Q1610" i="1"/>
  <c r="R1622" i="1"/>
  <c r="Q1622" i="1"/>
  <c r="R1634" i="1"/>
  <c r="Q1634" i="1"/>
  <c r="R1694" i="1"/>
  <c r="Q1694" i="1"/>
  <c r="R1706" i="1"/>
  <c r="Q1706" i="1"/>
  <c r="R1742" i="1"/>
  <c r="Q1742" i="1"/>
  <c r="R1754" i="1"/>
  <c r="Q1754" i="1"/>
  <c r="R1766" i="1"/>
  <c r="Q1766" i="1"/>
  <c r="R1778" i="1"/>
  <c r="Q1778" i="1"/>
  <c r="Q831" i="1"/>
  <c r="Q900" i="1"/>
  <c r="Q1205" i="1"/>
  <c r="Q1274" i="1"/>
  <c r="Q1380" i="1"/>
  <c r="Q1480" i="1"/>
  <c r="Q1517" i="1"/>
  <c r="Q1590" i="1"/>
  <c r="Q1744" i="1"/>
  <c r="Q1777" i="1"/>
  <c r="R795" i="1"/>
  <c r="Q795" i="1"/>
  <c r="R807" i="1"/>
  <c r="Q807" i="1"/>
  <c r="R819" i="1"/>
  <c r="Q819" i="1"/>
  <c r="R867" i="1"/>
  <c r="Q867" i="1"/>
  <c r="R879" i="1"/>
  <c r="Q879" i="1"/>
  <c r="R915" i="1"/>
  <c r="Q915" i="1"/>
  <c r="R927" i="1"/>
  <c r="Q927" i="1"/>
  <c r="R939" i="1"/>
  <c r="Q939" i="1"/>
  <c r="R963" i="1"/>
  <c r="Q963" i="1"/>
  <c r="R975" i="1"/>
  <c r="Q975" i="1"/>
  <c r="R987" i="1"/>
  <c r="Q987" i="1"/>
  <c r="R999" i="1"/>
  <c r="Q999" i="1"/>
  <c r="R1011" i="1"/>
  <c r="Q1011" i="1"/>
  <c r="R1035" i="1"/>
  <c r="Q1035" i="1"/>
  <c r="R1047" i="1"/>
  <c r="Q1047" i="1"/>
  <c r="R1071" i="1"/>
  <c r="Q1071" i="1"/>
  <c r="R1095" i="1"/>
  <c r="Q1095" i="1"/>
  <c r="R1107" i="1"/>
  <c r="Q1107" i="1"/>
  <c r="R1119" i="1"/>
  <c r="Q1119" i="1"/>
  <c r="R1167" i="1"/>
  <c r="Q1167" i="1"/>
  <c r="R1179" i="1"/>
  <c r="Q1179" i="1"/>
  <c r="R1191" i="1"/>
  <c r="Q1191" i="1"/>
  <c r="R1215" i="1"/>
  <c r="Q1215" i="1"/>
  <c r="R1239" i="1"/>
  <c r="Q1239" i="1"/>
  <c r="R1287" i="1"/>
  <c r="Q1287" i="1"/>
  <c r="R1311" i="1"/>
  <c r="Q1311" i="1"/>
  <c r="R1335" i="1"/>
  <c r="Q1335" i="1"/>
  <c r="R1347" i="1"/>
  <c r="Q1347" i="1"/>
  <c r="R1359" i="1"/>
  <c r="Q1359" i="1"/>
  <c r="R1395" i="1"/>
  <c r="Q1395" i="1"/>
  <c r="R1407" i="1"/>
  <c r="Q1407" i="1"/>
  <c r="R1419" i="1"/>
  <c r="Q1419" i="1"/>
  <c r="R1443" i="1"/>
  <c r="Q1443" i="1"/>
  <c r="R1467" i="1"/>
  <c r="Q1467" i="1"/>
  <c r="R1479" i="1"/>
  <c r="Q1479" i="1"/>
  <c r="R1491" i="1"/>
  <c r="Q1491" i="1"/>
  <c r="R1503" i="1"/>
  <c r="Q1503" i="1"/>
  <c r="R1515" i="1"/>
  <c r="Q1515" i="1"/>
  <c r="R1527" i="1"/>
  <c r="Q1527" i="1"/>
  <c r="R1539" i="1"/>
  <c r="Q1539" i="1"/>
  <c r="R1551" i="1"/>
  <c r="Q1551" i="1"/>
  <c r="R1563" i="1"/>
  <c r="Q1563" i="1"/>
  <c r="R1587" i="1"/>
  <c r="Q1587" i="1"/>
  <c r="R1623" i="1"/>
  <c r="Q1623" i="1"/>
  <c r="R1635" i="1"/>
  <c r="Q1635" i="1"/>
  <c r="R1647" i="1"/>
  <c r="Q1647" i="1"/>
  <c r="R1659" i="1"/>
  <c r="Q1659" i="1"/>
  <c r="R1683" i="1"/>
  <c r="Q1683" i="1"/>
  <c r="R1695" i="1"/>
  <c r="Q1695" i="1"/>
  <c r="R1707" i="1"/>
  <c r="Q1707" i="1"/>
  <c r="R1719" i="1"/>
  <c r="Q1719" i="1"/>
  <c r="R1731" i="1"/>
  <c r="Q1731" i="1"/>
  <c r="R1743" i="1"/>
  <c r="Q1743" i="1"/>
  <c r="R1767" i="1"/>
  <c r="Q1767" i="1"/>
  <c r="R1779" i="1"/>
  <c r="Q1779" i="1"/>
  <c r="R1791" i="1"/>
  <c r="Q1791" i="1"/>
  <c r="Q1070" i="1"/>
  <c r="Q1106" i="1"/>
  <c r="Q1140" i="1"/>
  <c r="Q1206" i="1"/>
  <c r="Q1275" i="1"/>
  <c r="Q1313" i="1"/>
  <c r="Q1344" i="1"/>
  <c r="Q1382" i="1"/>
  <c r="Q1482" i="1"/>
  <c r="Q1518" i="1"/>
  <c r="Q1553" i="1"/>
  <c r="Q1670" i="1"/>
  <c r="Q1704" i="1"/>
  <c r="Q1745" i="1"/>
  <c r="Q1782" i="1"/>
  <c r="R1372" i="1"/>
  <c r="Q1372" i="1"/>
  <c r="R1420" i="1"/>
  <c r="Q1420" i="1"/>
  <c r="R1444" i="1"/>
  <c r="Q1444" i="1"/>
  <c r="R1456" i="1"/>
  <c r="Q1456" i="1"/>
  <c r="R1468" i="1"/>
  <c r="Q1468" i="1"/>
  <c r="R1492" i="1"/>
  <c r="Q1492" i="1"/>
  <c r="R1516" i="1"/>
  <c r="Q1516" i="1"/>
  <c r="R1552" i="1"/>
  <c r="Q1552" i="1"/>
  <c r="R1564" i="1"/>
  <c r="Q1564" i="1"/>
  <c r="R1588" i="1"/>
  <c r="Q1588" i="1"/>
  <c r="R1600" i="1"/>
  <c r="Q1600" i="1"/>
  <c r="R1612" i="1"/>
  <c r="Q1612" i="1"/>
  <c r="R1624" i="1"/>
  <c r="Q1624" i="1"/>
  <c r="R1636" i="1"/>
  <c r="Q1636" i="1"/>
  <c r="R1660" i="1"/>
  <c r="Q1660" i="1"/>
  <c r="R1684" i="1"/>
  <c r="Q1684" i="1"/>
  <c r="R1696" i="1"/>
  <c r="Q1696" i="1"/>
  <c r="R1708" i="1"/>
  <c r="Q1708" i="1"/>
  <c r="R1732" i="1"/>
  <c r="Q1732" i="1"/>
  <c r="R1756" i="1"/>
  <c r="Q1756" i="1"/>
  <c r="R1768" i="1"/>
  <c r="Q1768" i="1"/>
  <c r="R1780" i="1"/>
  <c r="Q1780" i="1"/>
  <c r="R1792" i="1"/>
  <c r="Q1792" i="1"/>
  <c r="T773" i="1"/>
  <c r="Q903" i="1"/>
  <c r="Q972" i="1"/>
  <c r="Q1314" i="1"/>
  <c r="Q1383" i="1"/>
  <c r="Q1452" i="1"/>
  <c r="Q1554" i="1"/>
  <c r="Q1671" i="1"/>
  <c r="Q1746" i="1"/>
  <c r="R1169" i="1"/>
  <c r="Q1169" i="1"/>
  <c r="R1181" i="1"/>
  <c r="Q1181" i="1"/>
  <c r="R1193" i="1"/>
  <c r="Q1193" i="1"/>
  <c r="R1217" i="1"/>
  <c r="Q1217" i="1"/>
  <c r="R1241" i="1"/>
  <c r="Q1241" i="1"/>
  <c r="R1253" i="1"/>
  <c r="Q1253" i="1"/>
  <c r="R1277" i="1"/>
  <c r="Q1277" i="1"/>
  <c r="R1289" i="1"/>
  <c r="Q1289" i="1"/>
  <c r="R1301" i="1"/>
  <c r="Q1301" i="1"/>
  <c r="R1325" i="1"/>
  <c r="Q1325" i="1"/>
  <c r="R1349" i="1"/>
  <c r="Q1349" i="1"/>
  <c r="R1373" i="1"/>
  <c r="Q1373" i="1"/>
  <c r="R1385" i="1"/>
  <c r="Q1385" i="1"/>
  <c r="R1397" i="1"/>
  <c r="Q1397" i="1"/>
  <c r="R1409" i="1"/>
  <c r="Q1409" i="1"/>
  <c r="R1421" i="1"/>
  <c r="Q1421" i="1"/>
  <c r="R1445" i="1"/>
  <c r="Q1445" i="1"/>
  <c r="R1469" i="1"/>
  <c r="Q1469" i="1"/>
  <c r="R1481" i="1"/>
  <c r="Q1481" i="1"/>
  <c r="R1493" i="1"/>
  <c r="Q1493" i="1"/>
  <c r="R1505" i="1"/>
  <c r="Q1505" i="1"/>
  <c r="R1529" i="1"/>
  <c r="Q1529" i="1"/>
  <c r="R1565" i="1"/>
  <c r="Q1565" i="1"/>
  <c r="R1577" i="1"/>
  <c r="Q1577" i="1"/>
  <c r="R1589" i="1"/>
  <c r="Q1589" i="1"/>
  <c r="R1613" i="1"/>
  <c r="Q1613" i="1"/>
  <c r="R1637" i="1"/>
  <c r="Q1637" i="1"/>
  <c r="R1661" i="1"/>
  <c r="Q1661" i="1"/>
  <c r="R1673" i="1"/>
  <c r="Q1673" i="1"/>
  <c r="R1709" i="1"/>
  <c r="Q1709" i="1"/>
  <c r="R1721" i="1"/>
  <c r="Q1721" i="1"/>
  <c r="R1781" i="1"/>
  <c r="Q1781" i="1"/>
  <c r="R1793" i="1"/>
  <c r="Q1793" i="1"/>
  <c r="T388" i="1"/>
  <c r="T340" i="1"/>
  <c r="Q1074" i="1"/>
  <c r="Q1143" i="1"/>
  <c r="Q1178" i="1"/>
  <c r="Q1212" i="1"/>
  <c r="Q1384" i="1"/>
  <c r="Q1454" i="1"/>
  <c r="Q1598" i="1"/>
  <c r="Q1632" i="1"/>
  <c r="Q1672" i="1"/>
  <c r="Q1710" i="1"/>
  <c r="R1110" i="1"/>
  <c r="Q1110" i="1"/>
  <c r="R1122" i="1"/>
  <c r="Q1122" i="1"/>
  <c r="R1134" i="1"/>
  <c r="Q1134" i="1"/>
  <c r="R1146" i="1"/>
  <c r="Q1146" i="1"/>
  <c r="R1170" i="1"/>
  <c r="Q1170" i="1"/>
  <c r="R1182" i="1"/>
  <c r="Q1182" i="1"/>
  <c r="R1194" i="1"/>
  <c r="Q1194" i="1"/>
  <c r="R1218" i="1"/>
  <c r="Q1218" i="1"/>
  <c r="R1242" i="1"/>
  <c r="Q1242" i="1"/>
  <c r="R1254" i="1"/>
  <c r="Q1254" i="1"/>
  <c r="R1266" i="1"/>
  <c r="Q1266" i="1"/>
  <c r="R1278" i="1"/>
  <c r="Q1278" i="1"/>
  <c r="R1326" i="1"/>
  <c r="Q1326" i="1"/>
  <c r="R1338" i="1"/>
  <c r="Q1338" i="1"/>
  <c r="R1350" i="1"/>
  <c r="Q1350" i="1"/>
  <c r="R1374" i="1"/>
  <c r="Q1374" i="1"/>
  <c r="R1398" i="1"/>
  <c r="Q1398" i="1"/>
  <c r="R1410" i="1"/>
  <c r="Q1410" i="1"/>
  <c r="R1422" i="1"/>
  <c r="Q1422" i="1"/>
  <c r="R1446" i="1"/>
  <c r="Q1446" i="1"/>
  <c r="R1458" i="1"/>
  <c r="Q1458" i="1"/>
  <c r="R1506" i="1"/>
  <c r="Q1506" i="1"/>
  <c r="R1530" i="1"/>
  <c r="Q1530" i="1"/>
  <c r="R1542" i="1"/>
  <c r="Q1542" i="1"/>
  <c r="R1566" i="1"/>
  <c r="Q1566" i="1"/>
  <c r="R1578" i="1"/>
  <c r="Q1578" i="1"/>
  <c r="R1602" i="1"/>
  <c r="Q1602" i="1"/>
  <c r="R1614" i="1"/>
  <c r="Q1614" i="1"/>
  <c r="R1626" i="1"/>
  <c r="Q1626" i="1"/>
  <c r="R1638" i="1"/>
  <c r="Q1638" i="1"/>
  <c r="R1650" i="1"/>
  <c r="Q1650" i="1"/>
  <c r="R1662" i="1"/>
  <c r="Q1662" i="1"/>
  <c r="R1686" i="1"/>
  <c r="Q1686" i="1"/>
  <c r="R1698" i="1"/>
  <c r="Q1698" i="1"/>
  <c r="R1722" i="1"/>
  <c r="Q1722" i="1"/>
  <c r="R1734" i="1"/>
  <c r="Q1734" i="1"/>
  <c r="R1758" i="1"/>
  <c r="Q1758" i="1"/>
  <c r="R1794" i="1"/>
  <c r="Q1794" i="1"/>
  <c r="Q1083" i="1"/>
  <c r="Q1152" i="1"/>
  <c r="Q1248" i="1"/>
  <c r="Q1386" i="1"/>
  <c r="Q1455" i="1"/>
  <c r="Q1494" i="1"/>
  <c r="Q1599" i="1"/>
  <c r="Q1674" i="1"/>
  <c r="Q1718" i="1"/>
  <c r="R1484" i="1"/>
  <c r="Q1484" i="1"/>
  <c r="R1496" i="1"/>
  <c r="Q1496" i="1"/>
  <c r="R1508" i="1"/>
  <c r="Q1508" i="1"/>
  <c r="R1520" i="1"/>
  <c r="Q1520" i="1"/>
  <c r="R1532" i="1"/>
  <c r="Q1532" i="1"/>
  <c r="R1544" i="1"/>
  <c r="Q1544" i="1"/>
  <c r="R1556" i="1"/>
  <c r="Q1556" i="1"/>
  <c r="R1568" i="1"/>
  <c r="Q1568" i="1"/>
  <c r="R1580" i="1"/>
  <c r="Q1580" i="1"/>
  <c r="R1592" i="1"/>
  <c r="Q1592" i="1"/>
  <c r="R1604" i="1"/>
  <c r="Q1604" i="1"/>
  <c r="R1616" i="1"/>
  <c r="Q1616" i="1"/>
  <c r="R1628" i="1"/>
  <c r="Q1628" i="1"/>
  <c r="R1640" i="1"/>
  <c r="Q1640" i="1"/>
  <c r="R1652" i="1"/>
  <c r="Q1652" i="1"/>
  <c r="R1664" i="1"/>
  <c r="Q1664" i="1"/>
  <c r="R1676" i="1"/>
  <c r="Q1676" i="1"/>
  <c r="R1688" i="1"/>
  <c r="Q1688" i="1"/>
  <c r="R1700" i="1"/>
  <c r="Q1700" i="1"/>
  <c r="R1712" i="1"/>
  <c r="Q1712" i="1"/>
  <c r="R1724" i="1"/>
  <c r="Q1724" i="1"/>
  <c r="R1736" i="1"/>
  <c r="Q1736" i="1"/>
  <c r="R1748" i="1"/>
  <c r="Q1748" i="1"/>
  <c r="R1760" i="1"/>
  <c r="Q1760" i="1"/>
  <c r="R1772" i="1"/>
  <c r="Q1772" i="1"/>
  <c r="R1784" i="1"/>
  <c r="Q1784" i="1"/>
  <c r="R1796" i="1"/>
  <c r="Q1796" i="1"/>
  <c r="Q1788" i="1"/>
  <c r="T750" i="1"/>
  <c r="T786" i="1"/>
  <c r="T882" i="1"/>
  <c r="T1230" i="1"/>
  <c r="T1302" i="1"/>
  <c r="T1494" i="1"/>
  <c r="T1518" i="1"/>
  <c r="T42" i="1"/>
  <c r="T511" i="1"/>
  <c r="T540" i="1"/>
  <c r="T912" i="1"/>
  <c r="T948" i="1"/>
  <c r="T1248" i="1"/>
  <c r="T1272" i="1"/>
  <c r="T1632" i="1"/>
  <c r="T1692" i="1"/>
  <c r="T1728" i="1"/>
  <c r="T1788" i="1"/>
  <c r="T1755" i="1"/>
  <c r="T1368" i="1"/>
  <c r="T1572" i="1"/>
  <c r="T1704" i="1"/>
  <c r="T40" i="1"/>
  <c r="T12" i="1"/>
  <c r="T24" i="1"/>
  <c r="T48" i="1"/>
  <c r="T60" i="1"/>
  <c r="T132" i="1"/>
  <c r="T1226" i="1"/>
  <c r="T1274" i="1"/>
  <c r="T1298" i="1"/>
  <c r="T1430" i="1"/>
  <c r="T1646" i="1"/>
  <c r="T1658" i="1"/>
  <c r="T1670" i="1"/>
  <c r="T1682" i="1"/>
  <c r="T1718" i="1"/>
  <c r="T1730" i="1"/>
  <c r="T1790" i="1"/>
  <c r="T64" i="1"/>
  <c r="T76" i="1"/>
  <c r="T100" i="1"/>
  <c r="T112" i="1"/>
  <c r="T184" i="1"/>
  <c r="T208" i="1"/>
  <c r="T244" i="1"/>
  <c r="T269" i="1"/>
  <c r="T341" i="1"/>
  <c r="T365" i="1"/>
  <c r="T401" i="1"/>
  <c r="T449" i="1"/>
  <c r="T473" i="1"/>
  <c r="T521" i="1"/>
  <c r="T557" i="1"/>
  <c r="T605" i="1"/>
  <c r="T689" i="1"/>
  <c r="T785" i="1"/>
  <c r="T1229" i="1"/>
  <c r="T380" i="1"/>
  <c r="T512" i="1"/>
  <c r="T584" i="1"/>
  <c r="T1251" i="1"/>
  <c r="T1263" i="1"/>
  <c r="T1275" i="1"/>
  <c r="T1299" i="1"/>
  <c r="T1431" i="1"/>
  <c r="T1611" i="1"/>
  <c r="T231" i="1"/>
  <c r="T448" i="1"/>
  <c r="T472" i="1"/>
  <c r="T520" i="1"/>
  <c r="T568" i="1"/>
  <c r="T976" i="1"/>
  <c r="T1205" i="1"/>
  <c r="T1265" i="1"/>
  <c r="T1674" i="1"/>
  <c r="T1710" i="1"/>
  <c r="T1746" i="1"/>
  <c r="T1770" i="1"/>
  <c r="T1782" i="1"/>
  <c r="T1671" i="1"/>
  <c r="T604" i="1"/>
  <c r="T712" i="1"/>
  <c r="T880" i="1"/>
  <c r="T1360" i="1"/>
  <c r="T1504" i="1"/>
  <c r="T1648" i="1"/>
  <c r="T1672" i="1"/>
  <c r="T1720" i="1"/>
  <c r="T1744" i="1"/>
  <c r="T1517" i="1"/>
  <c r="T1553" i="1"/>
  <c r="T1649" i="1"/>
  <c r="T1745" i="1"/>
  <c r="T1757" i="1"/>
  <c r="T1769" i="1"/>
  <c r="R8" i="1"/>
  <c r="T3" i="4"/>
  <c r="U27" i="4" l="1"/>
  <c r="S10" i="4"/>
  <c r="S27" i="4"/>
  <c r="T1830" i="1"/>
  <c r="T27" i="4"/>
  <c r="N21" i="3" s="1"/>
  <c r="N22" i="3" s="1"/>
  <c r="T1803" i="1"/>
  <c r="T1802" i="1"/>
  <c r="T1822" i="1"/>
  <c r="T1827" i="1"/>
  <c r="T1826" i="1"/>
  <c r="T1804" i="1"/>
  <c r="T1844" i="1"/>
  <c r="T1837" i="1"/>
  <c r="T1798" i="1"/>
  <c r="T1811" i="1"/>
  <c r="T1806" i="1"/>
  <c r="T1825" i="1"/>
  <c r="T1810" i="1"/>
  <c r="T1818" i="1"/>
  <c r="T1843" i="1"/>
  <c r="T1841" i="1"/>
  <c r="T1834" i="1"/>
  <c r="T1814" i="1"/>
  <c r="T1815" i="1"/>
  <c r="T1850" i="1"/>
  <c r="T1846" i="1"/>
  <c r="T1828" i="1"/>
  <c r="T1840" i="1"/>
  <c r="T1836" i="1"/>
  <c r="T1848" i="1"/>
  <c r="U10" i="4"/>
  <c r="T10" i="4"/>
  <c r="V10" i="4"/>
  <c r="W10" i="4"/>
  <c r="T1849" i="1"/>
  <c r="T1819" i="1"/>
  <c r="T1833" i="1"/>
  <c r="T1809" i="1"/>
  <c r="T1845" i="1"/>
  <c r="T1835" i="1"/>
  <c r="T1838" i="1"/>
  <c r="T1799" i="1"/>
  <c r="T1800" i="1"/>
  <c r="T1801" i="1"/>
  <c r="S26" i="4"/>
  <c r="T1808" i="1"/>
  <c r="T1812" i="1"/>
  <c r="T1816" i="1"/>
  <c r="T1829" i="1"/>
  <c r="T1831" i="1"/>
  <c r="T1839" i="1"/>
  <c r="T1824" i="1"/>
  <c r="T1847" i="1"/>
  <c r="T1832" i="1"/>
  <c r="T1817" i="1"/>
  <c r="T1842" i="1"/>
  <c r="T1821" i="1"/>
  <c r="T1823" i="1"/>
  <c r="T1797" i="1"/>
  <c r="T1805" i="1"/>
  <c r="T1807" i="1"/>
  <c r="T1813" i="1"/>
  <c r="Q14" i="4"/>
  <c r="V27" i="4"/>
  <c r="U26" i="4"/>
  <c r="Q21" i="4"/>
  <c r="V26" i="4"/>
  <c r="W26" i="4"/>
  <c r="Q20" i="4"/>
  <c r="Q15" i="4"/>
  <c r="Q22" i="4"/>
  <c r="W27" i="4"/>
  <c r="Q17" i="4"/>
  <c r="Q19" i="4"/>
  <c r="Q23" i="4"/>
  <c r="Q16" i="4"/>
  <c r="Q18" i="4"/>
  <c r="T26" i="4"/>
  <c r="T320" i="1"/>
  <c r="T377" i="1"/>
  <c r="T20" i="1"/>
  <c r="T6" i="1"/>
  <c r="T476" i="1"/>
  <c r="T180" i="1"/>
  <c r="T749" i="1"/>
  <c r="T840" i="1"/>
  <c r="T612" i="1"/>
  <c r="T917" i="1"/>
  <c r="T236" i="1"/>
  <c r="T516" i="1"/>
  <c r="T975" i="1"/>
  <c r="S975" i="1"/>
  <c r="T1657" i="1"/>
  <c r="S1657" i="1"/>
  <c r="T1760" i="1"/>
  <c r="S1760" i="1"/>
  <c r="T1688" i="1"/>
  <c r="S1688" i="1"/>
  <c r="T1616" i="1"/>
  <c r="S1616" i="1"/>
  <c r="T1544" i="1"/>
  <c r="S1544" i="1"/>
  <c r="T1743" i="1"/>
  <c r="S1743" i="1"/>
  <c r="T1659" i="1"/>
  <c r="S1659" i="1"/>
  <c r="T1551" i="1"/>
  <c r="S1551" i="1"/>
  <c r="T1479" i="1"/>
  <c r="S1479" i="1"/>
  <c r="T1359" i="1"/>
  <c r="S1359" i="1"/>
  <c r="T1215" i="1"/>
  <c r="S1215" i="1"/>
  <c r="T1095" i="1"/>
  <c r="S1095" i="1"/>
  <c r="T987" i="1"/>
  <c r="S987" i="1"/>
  <c r="T879" i="1"/>
  <c r="S879" i="1"/>
  <c r="T1754" i="1"/>
  <c r="S1754" i="1"/>
  <c r="T1610" i="1"/>
  <c r="S1610" i="1"/>
  <c r="T1490" i="1"/>
  <c r="S1490" i="1"/>
  <c r="T1394" i="1"/>
  <c r="S1394" i="1"/>
  <c r="T1286" i="1"/>
  <c r="S1286" i="1"/>
  <c r="T1154" i="1"/>
  <c r="S1154" i="1"/>
  <c r="T1058" i="1"/>
  <c r="S1058" i="1"/>
  <c r="T1765" i="1"/>
  <c r="S1765" i="1"/>
  <c r="T1716" i="1"/>
  <c r="S1716" i="1"/>
  <c r="T1608" i="1"/>
  <c r="S1608" i="1"/>
  <c r="T1512" i="1"/>
  <c r="S1512" i="1"/>
  <c r="T1404" i="1"/>
  <c r="S1404" i="1"/>
  <c r="T1284" i="1"/>
  <c r="S1284" i="1"/>
  <c r="T1164" i="1"/>
  <c r="S1164" i="1"/>
  <c r="T1044" i="1"/>
  <c r="S1044" i="1"/>
  <c r="T924" i="1"/>
  <c r="S924" i="1"/>
  <c r="T1348" i="1"/>
  <c r="S1348" i="1"/>
  <c r="T1276" i="1"/>
  <c r="S1276" i="1"/>
  <c r="T1204" i="1"/>
  <c r="S1204" i="1"/>
  <c r="T1120" i="1"/>
  <c r="S1120" i="1"/>
  <c r="T1024" i="1"/>
  <c r="S1024" i="1"/>
  <c r="T928" i="1"/>
  <c r="S928" i="1"/>
  <c r="T844" i="1"/>
  <c r="S844" i="1"/>
  <c r="T772" i="1"/>
  <c r="S772" i="1"/>
  <c r="T676" i="1"/>
  <c r="S676" i="1"/>
  <c r="T580" i="1"/>
  <c r="S580" i="1"/>
  <c r="T484" i="1"/>
  <c r="S484" i="1"/>
  <c r="T376" i="1"/>
  <c r="S376" i="1"/>
  <c r="T292" i="1"/>
  <c r="S292" i="1"/>
  <c r="T207" i="1"/>
  <c r="S207" i="1"/>
  <c r="T87" i="1"/>
  <c r="S87" i="1"/>
  <c r="T1294" i="1"/>
  <c r="S1294" i="1"/>
  <c r="T225" i="1"/>
  <c r="S225" i="1"/>
  <c r="T1377" i="1"/>
  <c r="S1377" i="1"/>
  <c r="T777" i="1"/>
  <c r="S777" i="1"/>
  <c r="T771" i="1"/>
  <c r="S771" i="1"/>
  <c r="T699" i="1"/>
  <c r="S699" i="1"/>
  <c r="T627" i="1"/>
  <c r="S627" i="1"/>
  <c r="T543" i="1"/>
  <c r="S543" i="1"/>
  <c r="T459" i="1"/>
  <c r="S459" i="1"/>
  <c r="T375" i="1"/>
  <c r="S375" i="1"/>
  <c r="T279" i="1"/>
  <c r="S279" i="1"/>
  <c r="T194" i="1"/>
  <c r="S194" i="1"/>
  <c r="T110" i="1"/>
  <c r="S110" i="1"/>
  <c r="T38" i="1"/>
  <c r="S38" i="1"/>
  <c r="T934" i="1"/>
  <c r="S934" i="1"/>
  <c r="T514" i="1"/>
  <c r="S514" i="1"/>
  <c r="T1473" i="1"/>
  <c r="S1473" i="1"/>
  <c r="T1257" i="1"/>
  <c r="S1257" i="1"/>
  <c r="T873" i="1"/>
  <c r="S873" i="1"/>
  <c r="T962" i="1"/>
  <c r="S962" i="1"/>
  <c r="T890" i="1"/>
  <c r="S890" i="1"/>
  <c r="T734" i="1"/>
  <c r="S734" i="1"/>
  <c r="T290" i="1"/>
  <c r="S290" i="1"/>
  <c r="T217" i="1"/>
  <c r="S217" i="1"/>
  <c r="T109" i="1"/>
  <c r="S109" i="1"/>
  <c r="T13" i="1"/>
  <c r="S13" i="1"/>
  <c r="T1594" i="1"/>
  <c r="S1594" i="1"/>
  <c r="T1318" i="1"/>
  <c r="S1318" i="1"/>
  <c r="T826" i="1"/>
  <c r="S826" i="1"/>
  <c r="T21" i="1"/>
  <c r="S21" i="1"/>
  <c r="T1233" i="1"/>
  <c r="S1233" i="1"/>
  <c r="T1669" i="1"/>
  <c r="S1669" i="1"/>
  <c r="T1585" i="1"/>
  <c r="S1585" i="1"/>
  <c r="T1489" i="1"/>
  <c r="S1489" i="1"/>
  <c r="T1405" i="1"/>
  <c r="S1405" i="1"/>
  <c r="T1333" i="1"/>
  <c r="S1333" i="1"/>
  <c r="T1249" i="1"/>
  <c r="S1249" i="1"/>
  <c r="T1165" i="1"/>
  <c r="S1165" i="1"/>
  <c r="T1069" i="1"/>
  <c r="S1069" i="1"/>
  <c r="T985" i="1"/>
  <c r="S985" i="1"/>
  <c r="T901" i="1"/>
  <c r="S901" i="1"/>
  <c r="T805" i="1"/>
  <c r="S805" i="1"/>
  <c r="T733" i="1"/>
  <c r="S733" i="1"/>
  <c r="T613" i="1"/>
  <c r="S613" i="1"/>
  <c r="T529" i="1"/>
  <c r="S529" i="1"/>
  <c r="T457" i="1"/>
  <c r="S457" i="1"/>
  <c r="T361" i="1"/>
  <c r="S361" i="1"/>
  <c r="T265" i="1"/>
  <c r="S265" i="1"/>
  <c r="T1570" i="1"/>
  <c r="S1570" i="1"/>
  <c r="T1078" i="1"/>
  <c r="S1078" i="1"/>
  <c r="T898" i="1"/>
  <c r="S898" i="1"/>
  <c r="T730" i="1"/>
  <c r="S730" i="1"/>
  <c r="T394" i="1"/>
  <c r="S394" i="1"/>
  <c r="T81" i="1"/>
  <c r="S81" i="1"/>
  <c r="T1737" i="1"/>
  <c r="S1737" i="1"/>
  <c r="T1641" i="1"/>
  <c r="S1641" i="1"/>
  <c r="T1041" i="1"/>
  <c r="S1041" i="1"/>
  <c r="T645" i="1"/>
  <c r="S645" i="1"/>
  <c r="T756" i="1"/>
  <c r="S756" i="1"/>
  <c r="T684" i="1"/>
  <c r="S684" i="1"/>
  <c r="T372" i="1"/>
  <c r="S372" i="1"/>
  <c r="T264" i="1"/>
  <c r="S264" i="1"/>
  <c r="T179" i="1"/>
  <c r="S179" i="1"/>
  <c r="T83" i="1"/>
  <c r="S83" i="1"/>
  <c r="T1474" i="1"/>
  <c r="S1474" i="1"/>
  <c r="T1174" i="1"/>
  <c r="S1174" i="1"/>
  <c r="T718" i="1"/>
  <c r="S718" i="1"/>
  <c r="T189" i="1"/>
  <c r="S189" i="1"/>
  <c r="T1089" i="1"/>
  <c r="S1089" i="1"/>
  <c r="T1762" i="1"/>
  <c r="S1762" i="1"/>
  <c r="T1618" i="1"/>
  <c r="S1618" i="1"/>
  <c r="T1390" i="1"/>
  <c r="S1390" i="1"/>
  <c r="T1102" i="1"/>
  <c r="S1102" i="1"/>
  <c r="T57" i="1"/>
  <c r="S57" i="1"/>
  <c r="T969" i="1"/>
  <c r="S969" i="1"/>
  <c r="T1157" i="1"/>
  <c r="S1157" i="1"/>
  <c r="T1085" i="1"/>
  <c r="S1085" i="1"/>
  <c r="T1001" i="1"/>
  <c r="S1001" i="1"/>
  <c r="T845" i="1"/>
  <c r="S845" i="1"/>
  <c r="T665" i="1"/>
  <c r="S665" i="1"/>
  <c r="T581" i="1"/>
  <c r="S581" i="1"/>
  <c r="T281" i="1"/>
  <c r="S281" i="1"/>
  <c r="T1364" i="1"/>
  <c r="S1364" i="1"/>
  <c r="T1292" i="1"/>
  <c r="S1292" i="1"/>
  <c r="T1220" i="1"/>
  <c r="S1220" i="1"/>
  <c r="T1148" i="1"/>
  <c r="S1148" i="1"/>
  <c r="T1076" i="1"/>
  <c r="S1076" i="1"/>
  <c r="T1004" i="1"/>
  <c r="S1004" i="1"/>
  <c r="T932" i="1"/>
  <c r="S932" i="1"/>
  <c r="T716" i="1"/>
  <c r="S716" i="1"/>
  <c r="T560" i="1"/>
  <c r="S560" i="1"/>
  <c r="T247" i="1"/>
  <c r="S247" i="1"/>
  <c r="T175" i="1"/>
  <c r="S175" i="1"/>
  <c r="T103" i="1"/>
  <c r="S103" i="1"/>
  <c r="T31" i="1"/>
  <c r="S31" i="1"/>
  <c r="T597" i="1"/>
  <c r="S597" i="1"/>
  <c r="T525" i="1"/>
  <c r="S525" i="1"/>
  <c r="T417" i="1"/>
  <c r="S417" i="1"/>
  <c r="T333" i="1"/>
  <c r="S333" i="1"/>
  <c r="T32" i="1"/>
  <c r="T672" i="1"/>
  <c r="T1734" i="1"/>
  <c r="S1734" i="1"/>
  <c r="T1638" i="1"/>
  <c r="S1638" i="1"/>
  <c r="T1542" i="1"/>
  <c r="S1542" i="1"/>
  <c r="T1410" i="1"/>
  <c r="S1410" i="1"/>
  <c r="T1278" i="1"/>
  <c r="S1278" i="1"/>
  <c r="T1182" i="1"/>
  <c r="S1182" i="1"/>
  <c r="T1793" i="1"/>
  <c r="S1793" i="1"/>
  <c r="T1637" i="1"/>
  <c r="S1637" i="1"/>
  <c r="T1505" i="1"/>
  <c r="S1505" i="1"/>
  <c r="T1409" i="1"/>
  <c r="S1409" i="1"/>
  <c r="T1301" i="1"/>
  <c r="S1301" i="1"/>
  <c r="T1193" i="1"/>
  <c r="S1193" i="1"/>
  <c r="T1732" i="1"/>
  <c r="S1732" i="1"/>
  <c r="T1624" i="1"/>
  <c r="S1624" i="1"/>
  <c r="T1516" i="1"/>
  <c r="S1516" i="1"/>
  <c r="T1372" i="1"/>
  <c r="S1372" i="1"/>
  <c r="T806" i="1"/>
  <c r="S806" i="1"/>
  <c r="T458" i="1"/>
  <c r="S458" i="1"/>
  <c r="T374" i="1"/>
  <c r="S374" i="1"/>
  <c r="T1751" i="1"/>
  <c r="S1751" i="1"/>
  <c r="T1667" i="1"/>
  <c r="S1667" i="1"/>
  <c r="T1595" i="1"/>
  <c r="S1595" i="1"/>
  <c r="T1487" i="1"/>
  <c r="S1487" i="1"/>
  <c r="T1415" i="1"/>
  <c r="S1415" i="1"/>
  <c r="T1307" i="1"/>
  <c r="S1307" i="1"/>
  <c r="T1235" i="1"/>
  <c r="S1235" i="1"/>
  <c r="T1151" i="1"/>
  <c r="S1151" i="1"/>
  <c r="T1055" i="1"/>
  <c r="S1055" i="1"/>
  <c r="T983" i="1"/>
  <c r="S983" i="1"/>
  <c r="T899" i="1"/>
  <c r="S899" i="1"/>
  <c r="T827" i="1"/>
  <c r="S827" i="1"/>
  <c r="T755" i="1"/>
  <c r="S755" i="1"/>
  <c r="T683" i="1"/>
  <c r="S683" i="1"/>
  <c r="T611" i="1"/>
  <c r="S611" i="1"/>
  <c r="T539" i="1"/>
  <c r="S539" i="1"/>
  <c r="T455" i="1"/>
  <c r="S455" i="1"/>
  <c r="T383" i="1"/>
  <c r="S383" i="1"/>
  <c r="T299" i="1"/>
  <c r="S299" i="1"/>
  <c r="T202" i="1"/>
  <c r="S202" i="1"/>
  <c r="T106" i="1"/>
  <c r="S106" i="1"/>
  <c r="T22" i="1"/>
  <c r="S22" i="1"/>
  <c r="T1062" i="1"/>
  <c r="S1062" i="1"/>
  <c r="T978" i="1"/>
  <c r="S978" i="1"/>
  <c r="T894" i="1"/>
  <c r="S894" i="1"/>
  <c r="T810" i="1"/>
  <c r="S810" i="1"/>
  <c r="T714" i="1"/>
  <c r="S714" i="1"/>
  <c r="T642" i="1"/>
  <c r="S642" i="1"/>
  <c r="T570" i="1"/>
  <c r="S570" i="1"/>
  <c r="T498" i="1"/>
  <c r="S498" i="1"/>
  <c r="T426" i="1"/>
  <c r="S426" i="1"/>
  <c r="T330" i="1"/>
  <c r="S330" i="1"/>
  <c r="T233" i="1"/>
  <c r="S233" i="1"/>
  <c r="T149" i="1"/>
  <c r="S149" i="1"/>
  <c r="T53" i="1"/>
  <c r="S53" i="1"/>
  <c r="T1771" i="1"/>
  <c r="S1771" i="1"/>
  <c r="T1699" i="1"/>
  <c r="S1699" i="1"/>
  <c r="T1627" i="1"/>
  <c r="S1627" i="1"/>
  <c r="T1555" i="1"/>
  <c r="S1555" i="1"/>
  <c r="T1483" i="1"/>
  <c r="S1483" i="1"/>
  <c r="T1411" i="1"/>
  <c r="S1411" i="1"/>
  <c r="T1339" i="1"/>
  <c r="S1339" i="1"/>
  <c r="T1267" i="1"/>
  <c r="S1267" i="1"/>
  <c r="T1195" i="1"/>
  <c r="S1195" i="1"/>
  <c r="T1123" i="1"/>
  <c r="S1123" i="1"/>
  <c r="T1051" i="1"/>
  <c r="S1051" i="1"/>
  <c r="T979" i="1"/>
  <c r="S979" i="1"/>
  <c r="T907" i="1"/>
  <c r="S907" i="1"/>
  <c r="T835" i="1"/>
  <c r="S835" i="1"/>
  <c r="T763" i="1"/>
  <c r="S763" i="1"/>
  <c r="T691" i="1"/>
  <c r="S691" i="1"/>
  <c r="T619" i="1"/>
  <c r="S619" i="1"/>
  <c r="T547" i="1"/>
  <c r="S547" i="1"/>
  <c r="T463" i="1"/>
  <c r="S463" i="1"/>
  <c r="T391" i="1"/>
  <c r="S391" i="1"/>
  <c r="T319" i="1"/>
  <c r="S319" i="1"/>
  <c r="T246" i="1"/>
  <c r="S246" i="1"/>
  <c r="T174" i="1"/>
  <c r="S174" i="1"/>
  <c r="T102" i="1"/>
  <c r="S102" i="1"/>
  <c r="T652" i="1"/>
  <c r="S652" i="1"/>
  <c r="T1748" i="1"/>
  <c r="S1748" i="1"/>
  <c r="T1532" i="1"/>
  <c r="S1532" i="1"/>
  <c r="T1731" i="1"/>
  <c r="S1731" i="1"/>
  <c r="T1191" i="1"/>
  <c r="S1191" i="1"/>
  <c r="T867" i="1"/>
  <c r="S867" i="1"/>
  <c r="T1742" i="1"/>
  <c r="S1742" i="1"/>
  <c r="T1142" i="1"/>
  <c r="S1142" i="1"/>
  <c r="T1680" i="1"/>
  <c r="S1680" i="1"/>
  <c r="T1488" i="1"/>
  <c r="S1488" i="1"/>
  <c r="T1116" i="1"/>
  <c r="S1116" i="1"/>
  <c r="T1108" i="1"/>
  <c r="S1108" i="1"/>
  <c r="T916" i="1"/>
  <c r="S916" i="1"/>
  <c r="T664" i="1"/>
  <c r="S664" i="1"/>
  <c r="T364" i="1"/>
  <c r="S364" i="1"/>
  <c r="T195" i="1"/>
  <c r="S195" i="1"/>
  <c r="T1317" i="1"/>
  <c r="S1317" i="1"/>
  <c r="T687" i="1"/>
  <c r="S687" i="1"/>
  <c r="T447" i="1"/>
  <c r="S447" i="1"/>
  <c r="T351" i="1"/>
  <c r="S351" i="1"/>
  <c r="T98" i="1"/>
  <c r="T26" i="1"/>
  <c r="S26" i="1"/>
  <c r="T838" i="1"/>
  <c r="S838" i="1"/>
  <c r="T1425" i="1"/>
  <c r="S1425" i="1"/>
  <c r="T825" i="1"/>
  <c r="S825" i="1"/>
  <c r="T878" i="1"/>
  <c r="S878" i="1"/>
  <c r="T710" i="1"/>
  <c r="S710" i="1"/>
  <c r="T278" i="1"/>
  <c r="S278" i="1"/>
  <c r="T97" i="1"/>
  <c r="S97" i="1"/>
  <c r="T256" i="1"/>
  <c r="S256" i="1"/>
  <c r="T1234" i="1"/>
  <c r="S1234" i="1"/>
  <c r="T1593" i="1"/>
  <c r="S1593" i="1"/>
  <c r="T1573" i="1"/>
  <c r="S1573" i="1"/>
  <c r="T1393" i="1"/>
  <c r="S1393" i="1"/>
  <c r="T1237" i="1"/>
  <c r="S1237" i="1"/>
  <c r="T889" i="1"/>
  <c r="S889" i="1"/>
  <c r="T433" i="1"/>
  <c r="S433" i="1"/>
  <c r="T1534" i="1"/>
  <c r="S1534" i="1"/>
  <c r="T862" i="1"/>
  <c r="S862" i="1"/>
  <c r="T370" i="1"/>
  <c r="S370" i="1"/>
  <c r="T1569" i="1"/>
  <c r="S1569" i="1"/>
  <c r="T1005" i="1"/>
  <c r="S1005" i="1"/>
  <c r="T600" i="1"/>
  <c r="S600" i="1"/>
  <c r="T432" i="1"/>
  <c r="S432" i="1"/>
  <c r="T360" i="1"/>
  <c r="S360" i="1"/>
  <c r="T155" i="1"/>
  <c r="S155" i="1"/>
  <c r="T71" i="1"/>
  <c r="S71" i="1"/>
  <c r="T105" i="1"/>
  <c r="S105" i="1"/>
  <c r="T1738" i="1"/>
  <c r="S1738" i="1"/>
  <c r="T1354" i="1"/>
  <c r="S1354" i="1"/>
  <c r="T610" i="1"/>
  <c r="S610" i="1"/>
  <c r="T1073" i="1"/>
  <c r="S1073" i="1"/>
  <c r="T737" i="1"/>
  <c r="S737" i="1"/>
  <c r="T16" i="1"/>
  <c r="S16" i="1"/>
  <c r="T1136" i="1"/>
  <c r="S1136" i="1"/>
  <c r="T992" i="1"/>
  <c r="S992" i="1"/>
  <c r="T848" i="1"/>
  <c r="S848" i="1"/>
  <c r="T548" i="1"/>
  <c r="S548" i="1"/>
  <c r="T392" i="1"/>
  <c r="S392" i="1"/>
  <c r="T163" i="1"/>
  <c r="S163" i="1"/>
  <c r="T200" i="1"/>
  <c r="S200" i="1"/>
  <c r="T585" i="1"/>
  <c r="S585" i="1"/>
  <c r="T405" i="1"/>
  <c r="S405" i="1"/>
  <c r="T321" i="1"/>
  <c r="S321" i="1"/>
  <c r="T1719" i="1"/>
  <c r="S1719" i="1"/>
  <c r="T1179" i="1"/>
  <c r="S1179" i="1"/>
  <c r="T819" i="1"/>
  <c r="S819" i="1"/>
  <c r="T1706" i="1"/>
  <c r="S1706" i="1"/>
  <c r="T1022" i="1"/>
  <c r="S1022" i="1"/>
  <c r="T1741" i="1"/>
  <c r="S1741" i="1"/>
  <c r="T1560" i="1"/>
  <c r="S1560" i="1"/>
  <c r="T1104" i="1"/>
  <c r="S1104" i="1"/>
  <c r="T1324" i="1"/>
  <c r="S1324" i="1"/>
  <c r="T1096" i="1"/>
  <c r="S1096" i="1"/>
  <c r="T544" i="1"/>
  <c r="S544" i="1"/>
  <c r="T646" i="1"/>
  <c r="S646" i="1"/>
  <c r="T747" i="1"/>
  <c r="S747" i="1"/>
  <c r="T519" i="1"/>
  <c r="S519" i="1"/>
  <c r="T435" i="1"/>
  <c r="S435" i="1"/>
  <c r="T86" i="1"/>
  <c r="S86" i="1"/>
  <c r="T69" i="1"/>
  <c r="S69" i="1"/>
  <c r="T350" i="1"/>
  <c r="S350" i="1"/>
  <c r="T85" i="1"/>
  <c r="S85" i="1"/>
  <c r="T1006" i="1"/>
  <c r="S1006" i="1"/>
  <c r="T404" i="1"/>
  <c r="T96" i="1"/>
  <c r="T444" i="1"/>
  <c r="T1698" i="1"/>
  <c r="S1698" i="1"/>
  <c r="T1614" i="1"/>
  <c r="S1614" i="1"/>
  <c r="T1506" i="1"/>
  <c r="S1506" i="1"/>
  <c r="T1374" i="1"/>
  <c r="S1374" i="1"/>
  <c r="T1254" i="1"/>
  <c r="S1254" i="1"/>
  <c r="T1146" i="1"/>
  <c r="S1146" i="1"/>
  <c r="T1721" i="1"/>
  <c r="S1721" i="1"/>
  <c r="T1589" i="1"/>
  <c r="S1589" i="1"/>
  <c r="T1481" i="1"/>
  <c r="S1481" i="1"/>
  <c r="T1385" i="1"/>
  <c r="S1385" i="1"/>
  <c r="T1277" i="1"/>
  <c r="S1277" i="1"/>
  <c r="T1169" i="1"/>
  <c r="S1169" i="1"/>
  <c r="T1792" i="1"/>
  <c r="S1792" i="1"/>
  <c r="T1696" i="1"/>
  <c r="S1696" i="1"/>
  <c r="T1600" i="1"/>
  <c r="S1600" i="1"/>
  <c r="T1468" i="1"/>
  <c r="S1468" i="1"/>
  <c r="T158" i="1"/>
  <c r="S158" i="1"/>
  <c r="T782" i="1"/>
  <c r="S782" i="1"/>
  <c r="T602" i="1"/>
  <c r="S602" i="1"/>
  <c r="T1727" i="1"/>
  <c r="S1727" i="1"/>
  <c r="T1643" i="1"/>
  <c r="S1643" i="1"/>
  <c r="T1559" i="1"/>
  <c r="S1559" i="1"/>
  <c r="T1463" i="1"/>
  <c r="S1463" i="1"/>
  <c r="T1367" i="1"/>
  <c r="S1367" i="1"/>
  <c r="T1283" i="1"/>
  <c r="S1283" i="1"/>
  <c r="T1199" i="1"/>
  <c r="S1199" i="1"/>
  <c r="T1127" i="1"/>
  <c r="S1127" i="1"/>
  <c r="T1031" i="1"/>
  <c r="S1031" i="1"/>
  <c r="T959" i="1"/>
  <c r="S959" i="1"/>
  <c r="T875" i="1"/>
  <c r="S875" i="1"/>
  <c r="T803" i="1"/>
  <c r="S803" i="1"/>
  <c r="T731" i="1"/>
  <c r="S731" i="1"/>
  <c r="T659" i="1"/>
  <c r="S659" i="1"/>
  <c r="T587" i="1"/>
  <c r="S587" i="1"/>
  <c r="T515" i="1"/>
  <c r="S515" i="1"/>
  <c r="T431" i="1"/>
  <c r="S431" i="1"/>
  <c r="T359" i="1"/>
  <c r="S359" i="1"/>
  <c r="T250" i="1"/>
  <c r="S250" i="1"/>
  <c r="T178" i="1"/>
  <c r="S178" i="1"/>
  <c r="T70" i="1"/>
  <c r="S70" i="1"/>
  <c r="T1038" i="1"/>
  <c r="S1038" i="1"/>
  <c r="T942" i="1"/>
  <c r="S942" i="1"/>
  <c r="T858" i="1"/>
  <c r="S858" i="1"/>
  <c r="T774" i="1"/>
  <c r="S774" i="1"/>
  <c r="T690" i="1"/>
  <c r="S690" i="1"/>
  <c r="T618" i="1"/>
  <c r="S618" i="1"/>
  <c r="T546" i="1"/>
  <c r="S546" i="1"/>
  <c r="T474" i="1"/>
  <c r="S474" i="1"/>
  <c r="T390" i="1"/>
  <c r="S390" i="1"/>
  <c r="T306" i="1"/>
  <c r="S306" i="1"/>
  <c r="T197" i="1"/>
  <c r="S197" i="1"/>
  <c r="T125" i="1"/>
  <c r="S125" i="1"/>
  <c r="T17" i="1"/>
  <c r="S17" i="1"/>
  <c r="T1747" i="1"/>
  <c r="S1747" i="1"/>
  <c r="T1675" i="1"/>
  <c r="S1675" i="1"/>
  <c r="T1603" i="1"/>
  <c r="S1603" i="1"/>
  <c r="T1531" i="1"/>
  <c r="S1531" i="1"/>
  <c r="T1459" i="1"/>
  <c r="S1459" i="1"/>
  <c r="T1387" i="1"/>
  <c r="S1387" i="1"/>
  <c r="T1315" i="1"/>
  <c r="S1315" i="1"/>
  <c r="T1243" i="1"/>
  <c r="S1243" i="1"/>
  <c r="T1171" i="1"/>
  <c r="S1171" i="1"/>
  <c r="T1099" i="1"/>
  <c r="S1099" i="1"/>
  <c r="T1027" i="1"/>
  <c r="S1027" i="1"/>
  <c r="T955" i="1"/>
  <c r="S955" i="1"/>
  <c r="T883" i="1"/>
  <c r="S883" i="1"/>
  <c r="T811" i="1"/>
  <c r="S811" i="1"/>
  <c r="T739" i="1"/>
  <c r="S739" i="1"/>
  <c r="T667" i="1"/>
  <c r="S667" i="1"/>
  <c r="T595" i="1"/>
  <c r="S595" i="1"/>
  <c r="T523" i="1"/>
  <c r="S523" i="1"/>
  <c r="T439" i="1"/>
  <c r="S439" i="1"/>
  <c r="T367" i="1"/>
  <c r="S367" i="1"/>
  <c r="T295" i="1"/>
  <c r="S295" i="1"/>
  <c r="T222" i="1"/>
  <c r="S222" i="1"/>
  <c r="T150" i="1"/>
  <c r="S150" i="1"/>
  <c r="T78" i="1"/>
  <c r="S78" i="1"/>
  <c r="T1467" i="1"/>
  <c r="S1467" i="1"/>
  <c r="T1478" i="1"/>
  <c r="S1478" i="1"/>
  <c r="T1034" i="1"/>
  <c r="S1034" i="1"/>
  <c r="T1392" i="1"/>
  <c r="S1392" i="1"/>
  <c r="T1192" i="1"/>
  <c r="S1192" i="1"/>
  <c r="T760" i="1"/>
  <c r="S760" i="1"/>
  <c r="T280" i="1"/>
  <c r="S280" i="1"/>
  <c r="T33" i="1"/>
  <c r="S33" i="1"/>
  <c r="T603" i="1"/>
  <c r="S603" i="1"/>
  <c r="T1185" i="1"/>
  <c r="S1185" i="1"/>
  <c r="T626" i="1"/>
  <c r="S626" i="1"/>
  <c r="T193" i="1"/>
  <c r="S193" i="1"/>
  <c r="T766" i="1"/>
  <c r="S766" i="1"/>
  <c r="T1477" i="1"/>
  <c r="S1477" i="1"/>
  <c r="T1057" i="1"/>
  <c r="S1057" i="1"/>
  <c r="T697" i="1"/>
  <c r="S697" i="1"/>
  <c r="T337" i="1"/>
  <c r="S337" i="1"/>
  <c r="T84" i="1"/>
  <c r="S84" i="1"/>
  <c r="T45" i="1"/>
  <c r="S45" i="1"/>
  <c r="T828" i="1"/>
  <c r="S828" i="1"/>
  <c r="T504" i="1"/>
  <c r="S504" i="1"/>
  <c r="T251" i="1"/>
  <c r="S251" i="1"/>
  <c r="T502" i="1"/>
  <c r="S502" i="1"/>
  <c r="T1582" i="1"/>
  <c r="S1582" i="1"/>
  <c r="T1145" i="1"/>
  <c r="S1145" i="1"/>
  <c r="T353" i="1"/>
  <c r="S353" i="1"/>
  <c r="T1424" i="1"/>
  <c r="S1424" i="1"/>
  <c r="T1208" i="1"/>
  <c r="S1208" i="1"/>
  <c r="T920" i="1"/>
  <c r="S920" i="1"/>
  <c r="T632" i="1"/>
  <c r="S632" i="1"/>
  <c r="T235" i="1"/>
  <c r="S235" i="1"/>
  <c r="T307" i="1"/>
  <c r="S307" i="1"/>
  <c r="T653" i="1"/>
  <c r="T257" i="1"/>
  <c r="T1796" i="1"/>
  <c r="S1796" i="1"/>
  <c r="T1724" i="1"/>
  <c r="S1724" i="1"/>
  <c r="T1652" i="1"/>
  <c r="S1652" i="1"/>
  <c r="T1580" i="1"/>
  <c r="S1580" i="1"/>
  <c r="T1508" i="1"/>
  <c r="S1508" i="1"/>
  <c r="T1791" i="1"/>
  <c r="S1791" i="1"/>
  <c r="T1707" i="1"/>
  <c r="S1707" i="1"/>
  <c r="T1623" i="1"/>
  <c r="S1623" i="1"/>
  <c r="T1515" i="1"/>
  <c r="S1515" i="1"/>
  <c r="T1419" i="1"/>
  <c r="S1419" i="1"/>
  <c r="T1311" i="1"/>
  <c r="S1311" i="1"/>
  <c r="T1167" i="1"/>
  <c r="S1167" i="1"/>
  <c r="T1035" i="1"/>
  <c r="S1035" i="1"/>
  <c r="T939" i="1"/>
  <c r="S939" i="1"/>
  <c r="T807" i="1"/>
  <c r="S807" i="1"/>
  <c r="T1694" i="1"/>
  <c r="S1694" i="1"/>
  <c r="T1550" i="1"/>
  <c r="S1550" i="1"/>
  <c r="T1442" i="1"/>
  <c r="S1442" i="1"/>
  <c r="T1346" i="1"/>
  <c r="S1346" i="1"/>
  <c r="T1238" i="1"/>
  <c r="S1238" i="1"/>
  <c r="T1118" i="1"/>
  <c r="S1118" i="1"/>
  <c r="T1010" i="1"/>
  <c r="S1010" i="1"/>
  <c r="T1764" i="1"/>
  <c r="S1764" i="1"/>
  <c r="T1656" i="1"/>
  <c r="S1656" i="1"/>
  <c r="T1548" i="1"/>
  <c r="S1548" i="1"/>
  <c r="T1440" i="1"/>
  <c r="S1440" i="1"/>
  <c r="T1320" i="1"/>
  <c r="S1320" i="1"/>
  <c r="T1224" i="1"/>
  <c r="S1224" i="1"/>
  <c r="T1080" i="1"/>
  <c r="S1080" i="1"/>
  <c r="T996" i="1"/>
  <c r="S996" i="1"/>
  <c r="T1312" i="1"/>
  <c r="S1312" i="1"/>
  <c r="T1240" i="1"/>
  <c r="S1240" i="1"/>
  <c r="T1168" i="1"/>
  <c r="S1168" i="1"/>
  <c r="T1084" i="1"/>
  <c r="S1084" i="1"/>
  <c r="T964" i="1"/>
  <c r="S964" i="1"/>
  <c r="T892" i="1"/>
  <c r="S892" i="1"/>
  <c r="T808" i="1"/>
  <c r="S808" i="1"/>
  <c r="T724" i="1"/>
  <c r="S724" i="1"/>
  <c r="T628" i="1"/>
  <c r="S628" i="1"/>
  <c r="T532" i="1"/>
  <c r="S532" i="1"/>
  <c r="T424" i="1"/>
  <c r="S424" i="1"/>
  <c r="T328" i="1"/>
  <c r="S328" i="1"/>
  <c r="T255" i="1"/>
  <c r="S255" i="1"/>
  <c r="T159" i="1"/>
  <c r="S159" i="1"/>
  <c r="T39" i="1"/>
  <c r="S39" i="1"/>
  <c r="T574" i="1"/>
  <c r="S574" i="1"/>
  <c r="T1509" i="1"/>
  <c r="S1509" i="1"/>
  <c r="T1173" i="1"/>
  <c r="S1173" i="1"/>
  <c r="T735" i="1"/>
  <c r="S735" i="1"/>
  <c r="T663" i="1"/>
  <c r="S663" i="1"/>
  <c r="T579" i="1"/>
  <c r="S579" i="1"/>
  <c r="T507" i="1"/>
  <c r="S507" i="1"/>
  <c r="T423" i="1"/>
  <c r="S423" i="1"/>
  <c r="T315" i="1"/>
  <c r="S315" i="1"/>
  <c r="T242" i="1"/>
  <c r="S242" i="1"/>
  <c r="T74" i="1"/>
  <c r="S74" i="1"/>
  <c r="T1138" i="1"/>
  <c r="S1138" i="1"/>
  <c r="T670" i="1"/>
  <c r="S670" i="1"/>
  <c r="T1629" i="1"/>
  <c r="S1629" i="1"/>
  <c r="T1353" i="1"/>
  <c r="S1353" i="1"/>
  <c r="T1077" i="1"/>
  <c r="S1077" i="1"/>
  <c r="T741" i="1"/>
  <c r="S741" i="1"/>
  <c r="T998" i="1"/>
  <c r="S998" i="1"/>
  <c r="T926" i="1"/>
  <c r="S926" i="1"/>
  <c r="T506" i="1"/>
  <c r="S506" i="1"/>
  <c r="T338" i="1"/>
  <c r="S338" i="1"/>
  <c r="T253" i="1"/>
  <c r="S253" i="1"/>
  <c r="T157" i="1"/>
  <c r="S157" i="1"/>
  <c r="T73" i="1"/>
  <c r="S73" i="1"/>
  <c r="T1750" i="1"/>
  <c r="S1750" i="1"/>
  <c r="T1462" i="1"/>
  <c r="S1462" i="1"/>
  <c r="T1066" i="1"/>
  <c r="S1066" i="1"/>
  <c r="T598" i="1"/>
  <c r="S598" i="1"/>
  <c r="T1437" i="1"/>
  <c r="S1437" i="1"/>
  <c r="T1029" i="1"/>
  <c r="S1029" i="1"/>
  <c r="T1705" i="1"/>
  <c r="S1705" i="1"/>
  <c r="T1621" i="1"/>
  <c r="S1621" i="1"/>
  <c r="T1549" i="1"/>
  <c r="S1549" i="1"/>
  <c r="T1453" i="1"/>
  <c r="S1453" i="1"/>
  <c r="T1369" i="1"/>
  <c r="S1369" i="1"/>
  <c r="T1285" i="1"/>
  <c r="S1285" i="1"/>
  <c r="T1201" i="1"/>
  <c r="S1201" i="1"/>
  <c r="T1105" i="1"/>
  <c r="S1105" i="1"/>
  <c r="T1033" i="1"/>
  <c r="S1033" i="1"/>
  <c r="T937" i="1"/>
  <c r="S937" i="1"/>
  <c r="T865" i="1"/>
  <c r="S865" i="1"/>
  <c r="T769" i="1"/>
  <c r="S769" i="1"/>
  <c r="T661" i="1"/>
  <c r="S661" i="1"/>
  <c r="T565" i="1"/>
  <c r="S565" i="1"/>
  <c r="T493" i="1"/>
  <c r="S493" i="1"/>
  <c r="T397" i="1"/>
  <c r="S397" i="1"/>
  <c r="T313" i="1"/>
  <c r="S313" i="1"/>
  <c r="T228" i="1"/>
  <c r="S228" i="1"/>
  <c r="T144" i="1"/>
  <c r="S144" i="1"/>
  <c r="T36" i="1"/>
  <c r="S36" i="1"/>
  <c r="T1258" i="1"/>
  <c r="S1258" i="1"/>
  <c r="T982" i="1"/>
  <c r="S982" i="1"/>
  <c r="T790" i="1"/>
  <c r="S790" i="1"/>
  <c r="T478" i="1"/>
  <c r="S478" i="1"/>
  <c r="T274" i="1"/>
  <c r="S274" i="1"/>
  <c r="T1773" i="1"/>
  <c r="S1773" i="1"/>
  <c r="T1689" i="1"/>
  <c r="S1689" i="1"/>
  <c r="T1545" i="1"/>
  <c r="S1545" i="1"/>
  <c r="T837" i="1"/>
  <c r="S837" i="1"/>
  <c r="T876" i="1"/>
  <c r="S876" i="1"/>
  <c r="T792" i="1"/>
  <c r="S792" i="1"/>
  <c r="T720" i="1"/>
  <c r="S720" i="1"/>
  <c r="T648" i="1"/>
  <c r="S648" i="1"/>
  <c r="T564" i="1"/>
  <c r="S564" i="1"/>
  <c r="T480" i="1"/>
  <c r="S480" i="1"/>
  <c r="T408" i="1"/>
  <c r="S408" i="1"/>
  <c r="T312" i="1"/>
  <c r="S312" i="1"/>
  <c r="T227" i="1"/>
  <c r="S227" i="1"/>
  <c r="T131" i="1"/>
  <c r="S131" i="1"/>
  <c r="T35" i="1"/>
  <c r="S35" i="1"/>
  <c r="T1306" i="1"/>
  <c r="S1306" i="1"/>
  <c r="T958" i="1"/>
  <c r="S958" i="1"/>
  <c r="T334" i="1"/>
  <c r="S334" i="1"/>
  <c r="T1269" i="1"/>
  <c r="S1269" i="1"/>
  <c r="T753" i="1"/>
  <c r="S753" i="1"/>
  <c r="T1702" i="1"/>
  <c r="S1702" i="1"/>
  <c r="T1546" i="1"/>
  <c r="S1546" i="1"/>
  <c r="T1282" i="1"/>
  <c r="S1282" i="1"/>
  <c r="T466" i="1"/>
  <c r="S466" i="1"/>
  <c r="T1281" i="1"/>
  <c r="S1281" i="1"/>
  <c r="T789" i="1"/>
  <c r="S789" i="1"/>
  <c r="T1121" i="1"/>
  <c r="S1121" i="1"/>
  <c r="T1049" i="1"/>
  <c r="S1049" i="1"/>
  <c r="T953" i="1"/>
  <c r="S953" i="1"/>
  <c r="T881" i="1"/>
  <c r="S881" i="1"/>
  <c r="T809" i="1"/>
  <c r="S809" i="1"/>
  <c r="T713" i="1"/>
  <c r="S713" i="1"/>
  <c r="T629" i="1"/>
  <c r="S629" i="1"/>
  <c r="T533" i="1"/>
  <c r="S533" i="1"/>
  <c r="T425" i="1"/>
  <c r="S425" i="1"/>
  <c r="T317" i="1"/>
  <c r="S317" i="1"/>
  <c r="T220" i="1"/>
  <c r="S220" i="1"/>
  <c r="T124" i="1"/>
  <c r="S124" i="1"/>
  <c r="T1472" i="1"/>
  <c r="S1472" i="1"/>
  <c r="T1400" i="1"/>
  <c r="S1400" i="1"/>
  <c r="T1328" i="1"/>
  <c r="S1328" i="1"/>
  <c r="T1256" i="1"/>
  <c r="S1256" i="1"/>
  <c r="T1184" i="1"/>
  <c r="S1184" i="1"/>
  <c r="T1112" i="1"/>
  <c r="S1112" i="1"/>
  <c r="T1040" i="1"/>
  <c r="S1040" i="1"/>
  <c r="T968" i="1"/>
  <c r="S968" i="1"/>
  <c r="T896" i="1"/>
  <c r="S896" i="1"/>
  <c r="T824" i="1"/>
  <c r="S824" i="1"/>
  <c r="T752" i="1"/>
  <c r="S752" i="1"/>
  <c r="T680" i="1"/>
  <c r="S680" i="1"/>
  <c r="T608" i="1"/>
  <c r="S608" i="1"/>
  <c r="T524" i="1"/>
  <c r="S524" i="1"/>
  <c r="T440" i="1"/>
  <c r="S440" i="1"/>
  <c r="T356" i="1"/>
  <c r="S356" i="1"/>
  <c r="T284" i="1"/>
  <c r="S284" i="1"/>
  <c r="T211" i="1"/>
  <c r="S211" i="1"/>
  <c r="T139" i="1"/>
  <c r="S139" i="1"/>
  <c r="T67" i="1"/>
  <c r="S67" i="1"/>
  <c r="T66" i="1"/>
  <c r="S66" i="1"/>
  <c r="T501" i="1"/>
  <c r="S501" i="1"/>
  <c r="T44" i="1"/>
  <c r="S44" i="1"/>
  <c r="T164" i="1"/>
  <c r="S164" i="1"/>
  <c r="T633" i="1"/>
  <c r="S633" i="1"/>
  <c r="T561" i="1"/>
  <c r="S561" i="1"/>
  <c r="T465" i="1"/>
  <c r="S465" i="1"/>
  <c r="T369" i="1"/>
  <c r="S369" i="1"/>
  <c r="T297" i="1"/>
  <c r="S297" i="1"/>
  <c r="T152" i="1"/>
  <c r="S152" i="1"/>
  <c r="T988" i="1"/>
  <c r="S988" i="1"/>
  <c r="T168" i="1"/>
  <c r="T1170" i="1"/>
  <c r="S1170" i="1"/>
  <c r="T1289" i="1"/>
  <c r="S1289" i="1"/>
  <c r="T1583" i="1"/>
  <c r="S1583" i="1"/>
  <c r="T1592" i="1"/>
  <c r="S1592" i="1"/>
  <c r="T1443" i="1"/>
  <c r="S1443" i="1"/>
  <c r="T1250" i="1"/>
  <c r="S1250" i="1"/>
  <c r="T1776" i="1"/>
  <c r="S1776" i="1"/>
  <c r="T1236" i="1"/>
  <c r="S1236" i="1"/>
  <c r="T1000" i="1"/>
  <c r="S1000" i="1"/>
  <c r="T640" i="1"/>
  <c r="S640" i="1"/>
  <c r="T268" i="1"/>
  <c r="S268" i="1"/>
  <c r="T1605" i="1"/>
  <c r="S1605" i="1"/>
  <c r="T675" i="1"/>
  <c r="S675" i="1"/>
  <c r="T938" i="1"/>
  <c r="S938" i="1"/>
  <c r="T1510" i="1"/>
  <c r="S1510" i="1"/>
  <c r="T1717" i="1"/>
  <c r="S1717" i="1"/>
  <c r="T961" i="1"/>
  <c r="S961" i="1"/>
  <c r="T673" i="1"/>
  <c r="S673" i="1"/>
  <c r="T409" i="1"/>
  <c r="S409" i="1"/>
  <c r="T72" i="1"/>
  <c r="S72" i="1"/>
  <c r="T1785" i="1"/>
  <c r="S1785" i="1"/>
  <c r="T660" i="1"/>
  <c r="S660" i="1"/>
  <c r="T418" i="1"/>
  <c r="S418" i="1"/>
  <c r="T849" i="1"/>
  <c r="S849" i="1"/>
  <c r="T1264" i="1"/>
  <c r="T1436" i="1"/>
  <c r="T248" i="1"/>
  <c r="T1686" i="1"/>
  <c r="S1686" i="1"/>
  <c r="T1602" i="1"/>
  <c r="S1602" i="1"/>
  <c r="T1458" i="1"/>
  <c r="S1458" i="1"/>
  <c r="T1350" i="1"/>
  <c r="S1350" i="1"/>
  <c r="T1242" i="1"/>
  <c r="S1242" i="1"/>
  <c r="T1134" i="1"/>
  <c r="S1134" i="1"/>
  <c r="T1709" i="1"/>
  <c r="S1709" i="1"/>
  <c r="T1577" i="1"/>
  <c r="S1577" i="1"/>
  <c r="T1469" i="1"/>
  <c r="S1469" i="1"/>
  <c r="T1373" i="1"/>
  <c r="S1373" i="1"/>
  <c r="T1253" i="1"/>
  <c r="S1253" i="1"/>
  <c r="T1780" i="1"/>
  <c r="S1780" i="1"/>
  <c r="T1684" i="1"/>
  <c r="S1684" i="1"/>
  <c r="T1588" i="1"/>
  <c r="S1588" i="1"/>
  <c r="T1456" i="1"/>
  <c r="S1456" i="1"/>
  <c r="T146" i="1"/>
  <c r="S146" i="1"/>
  <c r="T842" i="1"/>
  <c r="S842" i="1"/>
  <c r="T770" i="1"/>
  <c r="S770" i="1"/>
  <c r="T674" i="1"/>
  <c r="S674" i="1"/>
  <c r="T590" i="1"/>
  <c r="S590" i="1"/>
  <c r="T410" i="1"/>
  <c r="S410" i="1"/>
  <c r="T1787" i="1"/>
  <c r="S1787" i="1"/>
  <c r="T1715" i="1"/>
  <c r="S1715" i="1"/>
  <c r="T1631" i="1"/>
  <c r="S1631" i="1"/>
  <c r="T1547" i="1"/>
  <c r="S1547" i="1"/>
  <c r="T1451" i="1"/>
  <c r="S1451" i="1"/>
  <c r="T1355" i="1"/>
  <c r="S1355" i="1"/>
  <c r="T1271" i="1"/>
  <c r="S1271" i="1"/>
  <c r="T1187" i="1"/>
  <c r="S1187" i="1"/>
  <c r="T1103" i="1"/>
  <c r="S1103" i="1"/>
  <c r="T1019" i="1"/>
  <c r="S1019" i="1"/>
  <c r="T947" i="1"/>
  <c r="S947" i="1"/>
  <c r="T863" i="1"/>
  <c r="S863" i="1"/>
  <c r="T791" i="1"/>
  <c r="S791" i="1"/>
  <c r="T719" i="1"/>
  <c r="S719" i="1"/>
  <c r="T647" i="1"/>
  <c r="S647" i="1"/>
  <c r="T575" i="1"/>
  <c r="S575" i="1"/>
  <c r="T503" i="1"/>
  <c r="S503" i="1"/>
  <c r="T419" i="1"/>
  <c r="S419" i="1"/>
  <c r="T347" i="1"/>
  <c r="S347" i="1"/>
  <c r="T238" i="1"/>
  <c r="S238" i="1"/>
  <c r="T154" i="1"/>
  <c r="S154" i="1"/>
  <c r="T58" i="1"/>
  <c r="S58" i="1"/>
  <c r="T1026" i="1"/>
  <c r="S1026" i="1"/>
  <c r="T930" i="1"/>
  <c r="S930" i="1"/>
  <c r="T846" i="1"/>
  <c r="S846" i="1"/>
  <c r="T762" i="1"/>
  <c r="S762" i="1"/>
  <c r="T678" i="1"/>
  <c r="S678" i="1"/>
  <c r="T606" i="1"/>
  <c r="S606" i="1"/>
  <c r="T534" i="1"/>
  <c r="S534" i="1"/>
  <c r="T462" i="1"/>
  <c r="S462" i="1"/>
  <c r="T378" i="1"/>
  <c r="S378" i="1"/>
  <c r="T294" i="1"/>
  <c r="S294" i="1"/>
  <c r="T185" i="1"/>
  <c r="S185" i="1"/>
  <c r="T101" i="1"/>
  <c r="S101" i="1"/>
  <c r="T5" i="1"/>
  <c r="S5" i="1"/>
  <c r="T1735" i="1"/>
  <c r="S1735" i="1"/>
  <c r="T1663" i="1"/>
  <c r="S1663" i="1"/>
  <c r="T1591" i="1"/>
  <c r="S1591" i="1"/>
  <c r="T1519" i="1"/>
  <c r="S1519" i="1"/>
  <c r="T1447" i="1"/>
  <c r="S1447" i="1"/>
  <c r="T1375" i="1"/>
  <c r="S1375" i="1"/>
  <c r="T1303" i="1"/>
  <c r="S1303" i="1"/>
  <c r="T1231" i="1"/>
  <c r="S1231" i="1"/>
  <c r="T1159" i="1"/>
  <c r="S1159" i="1"/>
  <c r="T1087" i="1"/>
  <c r="S1087" i="1"/>
  <c r="T1015" i="1"/>
  <c r="S1015" i="1"/>
  <c r="T943" i="1"/>
  <c r="S943" i="1"/>
  <c r="T871" i="1"/>
  <c r="S871" i="1"/>
  <c r="T799" i="1"/>
  <c r="S799" i="1"/>
  <c r="T727" i="1"/>
  <c r="S727" i="1"/>
  <c r="T655" i="1"/>
  <c r="S655" i="1"/>
  <c r="T583" i="1"/>
  <c r="S583" i="1"/>
  <c r="T499" i="1"/>
  <c r="S499" i="1"/>
  <c r="T427" i="1"/>
  <c r="S427" i="1"/>
  <c r="T355" i="1"/>
  <c r="S355" i="1"/>
  <c r="T283" i="1"/>
  <c r="S283" i="1"/>
  <c r="T210" i="1"/>
  <c r="S210" i="1"/>
  <c r="T138" i="1"/>
  <c r="S138" i="1"/>
  <c r="T54" i="1"/>
  <c r="S54" i="1"/>
  <c r="T1511" i="1"/>
  <c r="S1511" i="1"/>
  <c r="T1604" i="1"/>
  <c r="S1604" i="1"/>
  <c r="T1647" i="1"/>
  <c r="S1647" i="1"/>
  <c r="T1347" i="1"/>
  <c r="S1347" i="1"/>
  <c r="T1370" i="1"/>
  <c r="S1370" i="1"/>
  <c r="T1753" i="1"/>
  <c r="S1753" i="1"/>
  <c r="T1032" i="1"/>
  <c r="S1032" i="1"/>
  <c r="T832" i="1"/>
  <c r="S832" i="1"/>
  <c r="T460" i="1"/>
  <c r="S460" i="1"/>
  <c r="T706" i="1"/>
  <c r="S706" i="1"/>
  <c r="T759" i="1"/>
  <c r="S759" i="1"/>
  <c r="T267" i="1"/>
  <c r="S267" i="1"/>
  <c r="T950" i="1"/>
  <c r="S950" i="1"/>
  <c r="T530" i="1"/>
  <c r="S530" i="1"/>
  <c r="T1161" i="1"/>
  <c r="S1161" i="1"/>
  <c r="T1321" i="1"/>
  <c r="S1321" i="1"/>
  <c r="T973" i="1"/>
  <c r="S973" i="1"/>
  <c r="T601" i="1"/>
  <c r="S601" i="1"/>
  <c r="T252" i="1"/>
  <c r="S252" i="1"/>
  <c r="T694" i="1"/>
  <c r="S694" i="1"/>
  <c r="T744" i="1"/>
  <c r="S744" i="1"/>
  <c r="T1414" i="1"/>
  <c r="S1414" i="1"/>
  <c r="T1581" i="1"/>
  <c r="S1581" i="1"/>
  <c r="T905" i="1"/>
  <c r="S905" i="1"/>
  <c r="T569" i="1"/>
  <c r="S569" i="1"/>
  <c r="T148" i="1"/>
  <c r="S148" i="1"/>
  <c r="T1352" i="1"/>
  <c r="S1352" i="1"/>
  <c r="T1064" i="1"/>
  <c r="S1064" i="1"/>
  <c r="T704" i="1"/>
  <c r="S704" i="1"/>
  <c r="T308" i="1"/>
  <c r="S308" i="1"/>
  <c r="T19" i="1"/>
  <c r="S19" i="1"/>
  <c r="T989" i="1"/>
  <c r="S989" i="1"/>
  <c r="T1626" i="1"/>
  <c r="S1626" i="1"/>
  <c r="T1266" i="1"/>
  <c r="S1266" i="1"/>
  <c r="T1781" i="1"/>
  <c r="S1781" i="1"/>
  <c r="T1493" i="1"/>
  <c r="S1493" i="1"/>
  <c r="T1612" i="1"/>
  <c r="S1612" i="1"/>
  <c r="T794" i="1"/>
  <c r="S794" i="1"/>
  <c r="T1475" i="1"/>
  <c r="S1475" i="1"/>
  <c r="T1211" i="1"/>
  <c r="S1211" i="1"/>
  <c r="T971" i="1"/>
  <c r="S971" i="1"/>
  <c r="T815" i="1"/>
  <c r="S815" i="1"/>
  <c r="T599" i="1"/>
  <c r="S599" i="1"/>
  <c r="T94" i="1"/>
  <c r="S94" i="1"/>
  <c r="T1050" i="1"/>
  <c r="S1050" i="1"/>
  <c r="T798" i="1"/>
  <c r="S798" i="1"/>
  <c r="T558" i="1"/>
  <c r="S558" i="1"/>
  <c r="T318" i="1"/>
  <c r="S318" i="1"/>
  <c r="T1543" i="1"/>
  <c r="S1543" i="1"/>
  <c r="T967" i="1"/>
  <c r="S967" i="1"/>
  <c r="T162" i="1"/>
  <c r="S162" i="1"/>
  <c r="T1527" i="1"/>
  <c r="S1527" i="1"/>
  <c r="T1562" i="1"/>
  <c r="S1562" i="1"/>
  <c r="T181" i="1"/>
  <c r="S181" i="1"/>
  <c r="T860" i="1"/>
  <c r="T224" i="1"/>
  <c r="T1784" i="1"/>
  <c r="S1784" i="1"/>
  <c r="T1712" i="1"/>
  <c r="S1712" i="1"/>
  <c r="T1640" i="1"/>
  <c r="S1640" i="1"/>
  <c r="T1568" i="1"/>
  <c r="S1568" i="1"/>
  <c r="T1496" i="1"/>
  <c r="S1496" i="1"/>
  <c r="T1779" i="1"/>
  <c r="S1779" i="1"/>
  <c r="T1695" i="1"/>
  <c r="S1695" i="1"/>
  <c r="T1587" i="1"/>
  <c r="S1587" i="1"/>
  <c r="T1503" i="1"/>
  <c r="S1503" i="1"/>
  <c r="T1407" i="1"/>
  <c r="S1407" i="1"/>
  <c r="T1287" i="1"/>
  <c r="S1287" i="1"/>
  <c r="T1119" i="1"/>
  <c r="S1119" i="1"/>
  <c r="T1011" i="1"/>
  <c r="S1011" i="1"/>
  <c r="T927" i="1"/>
  <c r="S927" i="1"/>
  <c r="T795" i="1"/>
  <c r="S795" i="1"/>
  <c r="T1778" i="1"/>
  <c r="S1778" i="1"/>
  <c r="T1634" i="1"/>
  <c r="S1634" i="1"/>
  <c r="T1538" i="1"/>
  <c r="S1538" i="1"/>
  <c r="T1418" i="1"/>
  <c r="S1418" i="1"/>
  <c r="T1322" i="1"/>
  <c r="S1322" i="1"/>
  <c r="T1214" i="1"/>
  <c r="S1214" i="1"/>
  <c r="T1094" i="1"/>
  <c r="S1094" i="1"/>
  <c r="T1752" i="1"/>
  <c r="S1752" i="1"/>
  <c r="T1644" i="1"/>
  <c r="S1644" i="1"/>
  <c r="T1536" i="1"/>
  <c r="S1536" i="1"/>
  <c r="T1428" i="1"/>
  <c r="S1428" i="1"/>
  <c r="T1308" i="1"/>
  <c r="S1308" i="1"/>
  <c r="T1188" i="1"/>
  <c r="S1188" i="1"/>
  <c r="T1068" i="1"/>
  <c r="S1068" i="1"/>
  <c r="T984" i="1"/>
  <c r="S984" i="1"/>
  <c r="T1300" i="1"/>
  <c r="S1300" i="1"/>
  <c r="T1228" i="1"/>
  <c r="S1228" i="1"/>
  <c r="T1144" i="1"/>
  <c r="S1144" i="1"/>
  <c r="T1072" i="1"/>
  <c r="S1072" i="1"/>
  <c r="T952" i="1"/>
  <c r="S952" i="1"/>
  <c r="T868" i="1"/>
  <c r="S868" i="1"/>
  <c r="T796" i="1"/>
  <c r="S796" i="1"/>
  <c r="T700" i="1"/>
  <c r="S700" i="1"/>
  <c r="T616" i="1"/>
  <c r="S616" i="1"/>
  <c r="T508" i="1"/>
  <c r="S508" i="1"/>
  <c r="T412" i="1"/>
  <c r="S412" i="1"/>
  <c r="T316" i="1"/>
  <c r="S316" i="1"/>
  <c r="T243" i="1"/>
  <c r="S243" i="1"/>
  <c r="T135" i="1"/>
  <c r="S135" i="1"/>
  <c r="T15" i="1"/>
  <c r="S15" i="1"/>
  <c r="T358" i="1"/>
  <c r="S358" i="1"/>
  <c r="T1461" i="1"/>
  <c r="S1461" i="1"/>
  <c r="T1113" i="1"/>
  <c r="S1113" i="1"/>
  <c r="T723" i="1"/>
  <c r="S723" i="1"/>
  <c r="T651" i="1"/>
  <c r="S651" i="1"/>
  <c r="T567" i="1"/>
  <c r="S567" i="1"/>
  <c r="T483" i="1"/>
  <c r="S483" i="1"/>
  <c r="T411" i="1"/>
  <c r="S411" i="1"/>
  <c r="T303" i="1"/>
  <c r="S303" i="1"/>
  <c r="T62" i="1"/>
  <c r="S62" i="1"/>
  <c r="T1030" i="1"/>
  <c r="S1030" i="1"/>
  <c r="T622" i="1"/>
  <c r="S622" i="1"/>
  <c r="T1521" i="1"/>
  <c r="S1521" i="1"/>
  <c r="T1341" i="1"/>
  <c r="S1341" i="1"/>
  <c r="T993" i="1"/>
  <c r="S993" i="1"/>
  <c r="T669" i="1"/>
  <c r="S669" i="1"/>
  <c r="T986" i="1"/>
  <c r="S986" i="1"/>
  <c r="T914" i="1"/>
  <c r="S914" i="1"/>
  <c r="T241" i="1"/>
  <c r="S241" i="1"/>
  <c r="T133" i="1"/>
  <c r="S133" i="1"/>
  <c r="T49" i="1"/>
  <c r="S49" i="1"/>
  <c r="T1714" i="1"/>
  <c r="S1714" i="1"/>
  <c r="T1450" i="1"/>
  <c r="S1450" i="1"/>
  <c r="T994" i="1"/>
  <c r="S994" i="1"/>
  <c r="T382" i="1"/>
  <c r="S382" i="1"/>
  <c r="T1329" i="1"/>
  <c r="S1329" i="1"/>
  <c r="T957" i="1"/>
  <c r="S957" i="1"/>
  <c r="T1693" i="1"/>
  <c r="S1693" i="1"/>
  <c r="T1609" i="1"/>
  <c r="S1609" i="1"/>
  <c r="T1537" i="1"/>
  <c r="S1537" i="1"/>
  <c r="T1441" i="1"/>
  <c r="S1441" i="1"/>
  <c r="T1357" i="1"/>
  <c r="S1357" i="1"/>
  <c r="T1273" i="1"/>
  <c r="S1273" i="1"/>
  <c r="T1189" i="1"/>
  <c r="S1189" i="1"/>
  <c r="T1093" i="1"/>
  <c r="S1093" i="1"/>
  <c r="T1009" i="1"/>
  <c r="S1009" i="1"/>
  <c r="T925" i="1"/>
  <c r="S925" i="1"/>
  <c r="T853" i="1"/>
  <c r="S853" i="1"/>
  <c r="T757" i="1"/>
  <c r="S757" i="1"/>
  <c r="T649" i="1"/>
  <c r="S649" i="1"/>
  <c r="T553" i="1"/>
  <c r="S553" i="1"/>
  <c r="T481" i="1"/>
  <c r="S481" i="1"/>
  <c r="T385" i="1"/>
  <c r="S385" i="1"/>
  <c r="T289" i="1"/>
  <c r="S289" i="1"/>
  <c r="T216" i="1"/>
  <c r="S216" i="1"/>
  <c r="T120" i="1"/>
  <c r="S120" i="1"/>
  <c r="T1678" i="1"/>
  <c r="S1678" i="1"/>
  <c r="T1222" i="1"/>
  <c r="S1222" i="1"/>
  <c r="T946" i="1"/>
  <c r="S946" i="1"/>
  <c r="T778" i="1"/>
  <c r="S778" i="1"/>
  <c r="T454" i="1"/>
  <c r="S454" i="1"/>
  <c r="T201" i="1"/>
  <c r="S201" i="1"/>
  <c r="T1761" i="1"/>
  <c r="S1761" i="1"/>
  <c r="T1665" i="1"/>
  <c r="S1665" i="1"/>
  <c r="T1533" i="1"/>
  <c r="S1533" i="1"/>
  <c r="T705" i="1"/>
  <c r="S705" i="1"/>
  <c r="T864" i="1"/>
  <c r="S864" i="1"/>
  <c r="T780" i="1"/>
  <c r="S780" i="1"/>
  <c r="T708" i="1"/>
  <c r="S708" i="1"/>
  <c r="T636" i="1"/>
  <c r="S636" i="1"/>
  <c r="T552" i="1"/>
  <c r="S552" i="1"/>
  <c r="T468" i="1"/>
  <c r="S468" i="1"/>
  <c r="T396" i="1"/>
  <c r="S396" i="1"/>
  <c r="T300" i="1"/>
  <c r="S300" i="1"/>
  <c r="T215" i="1"/>
  <c r="S215" i="1"/>
  <c r="T119" i="1"/>
  <c r="S119" i="1"/>
  <c r="T23" i="1"/>
  <c r="S23" i="1"/>
  <c r="T1270" i="1"/>
  <c r="S1270" i="1"/>
  <c r="T874" i="1"/>
  <c r="S874" i="1"/>
  <c r="T286" i="1"/>
  <c r="S286" i="1"/>
  <c r="T1209" i="1"/>
  <c r="S1209" i="1"/>
  <c r="T1666" i="1"/>
  <c r="S1666" i="1"/>
  <c r="T1486" i="1"/>
  <c r="S1486" i="1"/>
  <c r="T1210" i="1"/>
  <c r="S1210" i="1"/>
  <c r="T237" i="1"/>
  <c r="S237" i="1"/>
  <c r="T1221" i="1"/>
  <c r="S1221" i="1"/>
  <c r="T729" i="1"/>
  <c r="S729" i="1"/>
  <c r="T111" i="1"/>
  <c r="S111" i="1"/>
  <c r="T1109" i="1"/>
  <c r="S1109" i="1"/>
  <c r="T1037" i="1"/>
  <c r="S1037" i="1"/>
  <c r="T941" i="1"/>
  <c r="S941" i="1"/>
  <c r="T869" i="1"/>
  <c r="S869" i="1"/>
  <c r="T797" i="1"/>
  <c r="S797" i="1"/>
  <c r="T701" i="1"/>
  <c r="S701" i="1"/>
  <c r="T617" i="1"/>
  <c r="S617" i="1"/>
  <c r="T509" i="1"/>
  <c r="S509" i="1"/>
  <c r="T413" i="1"/>
  <c r="S413" i="1"/>
  <c r="T305" i="1"/>
  <c r="S305" i="1"/>
  <c r="T196" i="1"/>
  <c r="S196" i="1"/>
  <c r="T88" i="1"/>
  <c r="S88" i="1"/>
  <c r="T1460" i="1"/>
  <c r="S1460" i="1"/>
  <c r="T1388" i="1"/>
  <c r="S1388" i="1"/>
  <c r="T1316" i="1"/>
  <c r="S1316" i="1"/>
  <c r="T1244" i="1"/>
  <c r="S1244" i="1"/>
  <c r="T1172" i="1"/>
  <c r="S1172" i="1"/>
  <c r="T1100" i="1"/>
  <c r="S1100" i="1"/>
  <c r="T1028" i="1"/>
  <c r="S1028" i="1"/>
  <c r="T956" i="1"/>
  <c r="S956" i="1"/>
  <c r="T884" i="1"/>
  <c r="S884" i="1"/>
  <c r="T812" i="1"/>
  <c r="S812" i="1"/>
  <c r="T740" i="1"/>
  <c r="S740" i="1"/>
  <c r="T668" i="1"/>
  <c r="S668" i="1"/>
  <c r="T596" i="1"/>
  <c r="S596" i="1"/>
  <c r="T500" i="1"/>
  <c r="S500" i="1"/>
  <c r="T428" i="1"/>
  <c r="S428" i="1"/>
  <c r="T344" i="1"/>
  <c r="S344" i="1"/>
  <c r="T272" i="1"/>
  <c r="S272" i="1"/>
  <c r="T199" i="1"/>
  <c r="S199" i="1"/>
  <c r="T127" i="1"/>
  <c r="S127" i="1"/>
  <c r="T55" i="1"/>
  <c r="S55" i="1"/>
  <c r="T261" i="1"/>
  <c r="S261" i="1"/>
  <c r="T128" i="1"/>
  <c r="S128" i="1"/>
  <c r="T621" i="1"/>
  <c r="S621" i="1"/>
  <c r="T549" i="1"/>
  <c r="S549" i="1"/>
  <c r="T453" i="1"/>
  <c r="S453" i="1"/>
  <c r="T357" i="1"/>
  <c r="S357" i="1"/>
  <c r="T285" i="1"/>
  <c r="S285" i="1"/>
  <c r="T116" i="1"/>
  <c r="S116" i="1"/>
  <c r="T861" i="1"/>
  <c r="S861" i="1"/>
  <c r="T1722" i="1"/>
  <c r="S1722" i="1"/>
  <c r="T1398" i="1"/>
  <c r="S1398" i="1"/>
  <c r="T1613" i="1"/>
  <c r="S1613" i="1"/>
  <c r="T1181" i="1"/>
  <c r="S1181" i="1"/>
  <c r="T1708" i="1"/>
  <c r="S1708" i="1"/>
  <c r="T1739" i="1"/>
  <c r="S1739" i="1"/>
  <c r="T1379" i="1"/>
  <c r="S1379" i="1"/>
  <c r="T1295" i="1"/>
  <c r="S1295" i="1"/>
  <c r="T1043" i="1"/>
  <c r="S1043" i="1"/>
  <c r="T887" i="1"/>
  <c r="S887" i="1"/>
  <c r="T671" i="1"/>
  <c r="S671" i="1"/>
  <c r="T527" i="1"/>
  <c r="S527" i="1"/>
  <c r="T371" i="1"/>
  <c r="S371" i="1"/>
  <c r="T275" i="1"/>
  <c r="S275" i="1"/>
  <c r="T190" i="1"/>
  <c r="S190" i="1"/>
  <c r="T966" i="1"/>
  <c r="S966" i="1"/>
  <c r="T870" i="1"/>
  <c r="S870" i="1"/>
  <c r="T630" i="1"/>
  <c r="S630" i="1"/>
  <c r="T414" i="1"/>
  <c r="S414" i="1"/>
  <c r="T221" i="1"/>
  <c r="S221" i="1"/>
  <c r="T41" i="1"/>
  <c r="S41" i="1"/>
  <c r="T1759" i="1"/>
  <c r="S1759" i="1"/>
  <c r="T1687" i="1"/>
  <c r="S1687" i="1"/>
  <c r="T1471" i="1"/>
  <c r="S1471" i="1"/>
  <c r="T1399" i="1"/>
  <c r="S1399" i="1"/>
  <c r="T1327" i="1"/>
  <c r="S1327" i="1"/>
  <c r="T1255" i="1"/>
  <c r="S1255" i="1"/>
  <c r="T1111" i="1"/>
  <c r="S1111" i="1"/>
  <c r="T1039" i="1"/>
  <c r="S1039" i="1"/>
  <c r="T895" i="1"/>
  <c r="S895" i="1"/>
  <c r="T823" i="1"/>
  <c r="S823" i="1"/>
  <c r="T751" i="1"/>
  <c r="S751" i="1"/>
  <c r="T679" i="1"/>
  <c r="S679" i="1"/>
  <c r="T535" i="1"/>
  <c r="S535" i="1"/>
  <c r="T451" i="1"/>
  <c r="S451" i="1"/>
  <c r="T379" i="1"/>
  <c r="S379" i="1"/>
  <c r="T234" i="1"/>
  <c r="S234" i="1"/>
  <c r="T90" i="1"/>
  <c r="S90" i="1"/>
  <c r="T1664" i="1"/>
  <c r="S1664" i="1"/>
  <c r="T1635" i="1"/>
  <c r="S1635" i="1"/>
  <c r="T963" i="1"/>
  <c r="S963" i="1"/>
  <c r="T1130" i="1"/>
  <c r="S1130" i="1"/>
  <c r="T1668" i="1"/>
  <c r="S1668" i="1"/>
  <c r="T1008" i="1"/>
  <c r="S1008" i="1"/>
  <c r="T1180" i="1"/>
  <c r="S1180" i="1"/>
  <c r="T736" i="1"/>
  <c r="S736" i="1"/>
  <c r="T436" i="1"/>
  <c r="S436" i="1"/>
  <c r="T171" i="1"/>
  <c r="S171" i="1"/>
  <c r="T51" i="1"/>
  <c r="S51" i="1"/>
  <c r="T1245" i="1"/>
  <c r="S1245" i="1"/>
  <c r="T254" i="1"/>
  <c r="S254" i="1"/>
  <c r="T14" i="1"/>
  <c r="S14" i="1"/>
  <c r="T1125" i="1"/>
  <c r="S1125" i="1"/>
  <c r="T866" i="1"/>
  <c r="S866" i="1"/>
  <c r="T698" i="1"/>
  <c r="S698" i="1"/>
  <c r="T518" i="1"/>
  <c r="S518" i="1"/>
  <c r="T266" i="1"/>
  <c r="S266" i="1"/>
  <c r="T1786" i="1"/>
  <c r="S1786" i="1"/>
  <c r="T682" i="1"/>
  <c r="S682" i="1"/>
  <c r="T1633" i="1"/>
  <c r="S1633" i="1"/>
  <c r="T1381" i="1"/>
  <c r="S1381" i="1"/>
  <c r="T1141" i="1"/>
  <c r="S1141" i="1"/>
  <c r="T577" i="1"/>
  <c r="S577" i="1"/>
  <c r="T325" i="1"/>
  <c r="S325" i="1"/>
  <c r="T1438" i="1"/>
  <c r="S1438" i="1"/>
  <c r="T526" i="1"/>
  <c r="S526" i="1"/>
  <c r="T346" i="1"/>
  <c r="S346" i="1"/>
  <c r="T1557" i="1"/>
  <c r="S1557" i="1"/>
  <c r="T732" i="1"/>
  <c r="S732" i="1"/>
  <c r="T492" i="1"/>
  <c r="S492" i="1"/>
  <c r="T336" i="1"/>
  <c r="S336" i="1"/>
  <c r="T143" i="1"/>
  <c r="S143" i="1"/>
  <c r="T1330" i="1"/>
  <c r="S1330" i="1"/>
  <c r="T1449" i="1"/>
  <c r="S1449" i="1"/>
  <c r="T1025" i="1"/>
  <c r="S1025" i="1"/>
  <c r="T1726" i="1"/>
  <c r="S1726" i="1"/>
  <c r="T1558" i="1"/>
  <c r="S1558" i="1"/>
  <c r="T1342" i="1"/>
  <c r="S1342" i="1"/>
  <c r="T550" i="1"/>
  <c r="S550" i="1"/>
  <c r="T1365" i="1"/>
  <c r="S1365" i="1"/>
  <c r="T1133" i="1"/>
  <c r="S1133" i="1"/>
  <c r="T1061" i="1"/>
  <c r="S1061" i="1"/>
  <c r="T965" i="1"/>
  <c r="S965" i="1"/>
  <c r="T893" i="1"/>
  <c r="S893" i="1"/>
  <c r="T821" i="1"/>
  <c r="S821" i="1"/>
  <c r="T725" i="1"/>
  <c r="S725" i="1"/>
  <c r="T641" i="1"/>
  <c r="S641" i="1"/>
  <c r="T545" i="1"/>
  <c r="S545" i="1"/>
  <c r="T437" i="1"/>
  <c r="S437" i="1"/>
  <c r="T329" i="1"/>
  <c r="S329" i="1"/>
  <c r="T232" i="1"/>
  <c r="S232" i="1"/>
  <c r="T136" i="1"/>
  <c r="S136" i="1"/>
  <c r="T4" i="1"/>
  <c r="S4" i="1"/>
  <c r="T1412" i="1"/>
  <c r="S1412" i="1"/>
  <c r="T1340" i="1"/>
  <c r="S1340" i="1"/>
  <c r="T1268" i="1"/>
  <c r="S1268" i="1"/>
  <c r="T1196" i="1"/>
  <c r="S1196" i="1"/>
  <c r="T1124" i="1"/>
  <c r="S1124" i="1"/>
  <c r="T1052" i="1"/>
  <c r="S1052" i="1"/>
  <c r="T980" i="1"/>
  <c r="S980" i="1"/>
  <c r="T908" i="1"/>
  <c r="S908" i="1"/>
  <c r="T836" i="1"/>
  <c r="S836" i="1"/>
  <c r="T764" i="1"/>
  <c r="S764" i="1"/>
  <c r="T692" i="1"/>
  <c r="S692" i="1"/>
  <c r="T620" i="1"/>
  <c r="S620" i="1"/>
  <c r="T536" i="1"/>
  <c r="S536" i="1"/>
  <c r="T452" i="1"/>
  <c r="S452" i="1"/>
  <c r="T368" i="1"/>
  <c r="S368" i="1"/>
  <c r="T296" i="1"/>
  <c r="S296" i="1"/>
  <c r="T223" i="1"/>
  <c r="S223" i="1"/>
  <c r="T151" i="1"/>
  <c r="S151" i="1"/>
  <c r="T79" i="1"/>
  <c r="S79" i="1"/>
  <c r="T7" i="1"/>
  <c r="S7" i="1"/>
  <c r="T441" i="1"/>
  <c r="S441" i="1"/>
  <c r="T80" i="1"/>
  <c r="S80" i="1"/>
  <c r="T176" i="1"/>
  <c r="S176" i="1"/>
  <c r="T573" i="1"/>
  <c r="S573" i="1"/>
  <c r="T477" i="1"/>
  <c r="S477" i="1"/>
  <c r="T393" i="1"/>
  <c r="S393" i="1"/>
  <c r="T309" i="1"/>
  <c r="S309" i="1"/>
  <c r="T188" i="1"/>
  <c r="S188" i="1"/>
  <c r="T2" i="1"/>
  <c r="S2" i="1"/>
  <c r="T788" i="1"/>
  <c r="T140" i="1"/>
  <c r="T1794" i="1"/>
  <c r="S1794" i="1"/>
  <c r="T1662" i="1"/>
  <c r="S1662" i="1"/>
  <c r="T1578" i="1"/>
  <c r="S1578" i="1"/>
  <c r="T1446" i="1"/>
  <c r="S1446" i="1"/>
  <c r="T1338" i="1"/>
  <c r="S1338" i="1"/>
  <c r="T1218" i="1"/>
  <c r="S1218" i="1"/>
  <c r="T1122" i="1"/>
  <c r="S1122" i="1"/>
  <c r="T1673" i="1"/>
  <c r="S1673" i="1"/>
  <c r="T1565" i="1"/>
  <c r="S1565" i="1"/>
  <c r="T1445" i="1"/>
  <c r="S1445" i="1"/>
  <c r="T1349" i="1"/>
  <c r="S1349" i="1"/>
  <c r="T1241" i="1"/>
  <c r="S1241" i="1"/>
  <c r="T1768" i="1"/>
  <c r="S1768" i="1"/>
  <c r="T1660" i="1"/>
  <c r="S1660" i="1"/>
  <c r="T1564" i="1"/>
  <c r="S1564" i="1"/>
  <c r="T1444" i="1"/>
  <c r="S1444" i="1"/>
  <c r="T218" i="1"/>
  <c r="S218" i="1"/>
  <c r="T830" i="1"/>
  <c r="S830" i="1"/>
  <c r="T758" i="1"/>
  <c r="S758" i="1"/>
  <c r="T662" i="1"/>
  <c r="S662" i="1"/>
  <c r="T578" i="1"/>
  <c r="S578" i="1"/>
  <c r="T482" i="1"/>
  <c r="S482" i="1"/>
  <c r="T398" i="1"/>
  <c r="S398" i="1"/>
  <c r="T314" i="1"/>
  <c r="S314" i="1"/>
  <c r="T1775" i="1"/>
  <c r="S1775" i="1"/>
  <c r="T1703" i="1"/>
  <c r="S1703" i="1"/>
  <c r="T1619" i="1"/>
  <c r="S1619" i="1"/>
  <c r="T1535" i="1"/>
  <c r="S1535" i="1"/>
  <c r="T1439" i="1"/>
  <c r="S1439" i="1"/>
  <c r="T1343" i="1"/>
  <c r="S1343" i="1"/>
  <c r="T1259" i="1"/>
  <c r="S1259" i="1"/>
  <c r="T1175" i="1"/>
  <c r="S1175" i="1"/>
  <c r="T1079" i="1"/>
  <c r="S1079" i="1"/>
  <c r="T1007" i="1"/>
  <c r="S1007" i="1"/>
  <c r="T935" i="1"/>
  <c r="S935" i="1"/>
  <c r="T851" i="1"/>
  <c r="S851" i="1"/>
  <c r="T779" i="1"/>
  <c r="S779" i="1"/>
  <c r="T707" i="1"/>
  <c r="S707" i="1"/>
  <c r="T635" i="1"/>
  <c r="S635" i="1"/>
  <c r="T563" i="1"/>
  <c r="S563" i="1"/>
  <c r="T479" i="1"/>
  <c r="S479" i="1"/>
  <c r="T407" i="1"/>
  <c r="S407" i="1"/>
  <c r="T335" i="1"/>
  <c r="S335" i="1"/>
  <c r="T226" i="1"/>
  <c r="S226" i="1"/>
  <c r="T142" i="1"/>
  <c r="S142" i="1"/>
  <c r="T46" i="1"/>
  <c r="S46" i="1"/>
  <c r="T1014" i="1"/>
  <c r="S1014" i="1"/>
  <c r="T918" i="1"/>
  <c r="S918" i="1"/>
  <c r="T834" i="1"/>
  <c r="S834" i="1"/>
  <c r="T738" i="1"/>
  <c r="S738" i="1"/>
  <c r="T666" i="1"/>
  <c r="S666" i="1"/>
  <c r="T594" i="1"/>
  <c r="S594" i="1"/>
  <c r="T522" i="1"/>
  <c r="S522" i="1"/>
  <c r="T450" i="1"/>
  <c r="S450" i="1"/>
  <c r="T354" i="1"/>
  <c r="S354" i="1"/>
  <c r="T282" i="1"/>
  <c r="S282" i="1"/>
  <c r="T173" i="1"/>
  <c r="S173" i="1"/>
  <c r="T89" i="1"/>
  <c r="S89" i="1"/>
  <c r="T1795" i="1"/>
  <c r="S1795" i="1"/>
  <c r="T1723" i="1"/>
  <c r="S1723" i="1"/>
  <c r="T1651" i="1"/>
  <c r="S1651" i="1"/>
  <c r="T1579" i="1"/>
  <c r="S1579" i="1"/>
  <c r="T1507" i="1"/>
  <c r="S1507" i="1"/>
  <c r="T1435" i="1"/>
  <c r="S1435" i="1"/>
  <c r="T1363" i="1"/>
  <c r="S1363" i="1"/>
  <c r="T1291" i="1"/>
  <c r="S1291" i="1"/>
  <c r="T1219" i="1"/>
  <c r="S1219" i="1"/>
  <c r="T1147" i="1"/>
  <c r="S1147" i="1"/>
  <c r="T1075" i="1"/>
  <c r="S1075" i="1"/>
  <c r="T1003" i="1"/>
  <c r="S1003" i="1"/>
  <c r="T931" i="1"/>
  <c r="S931" i="1"/>
  <c r="T859" i="1"/>
  <c r="S859" i="1"/>
  <c r="T787" i="1"/>
  <c r="S787" i="1"/>
  <c r="T715" i="1"/>
  <c r="S715" i="1"/>
  <c r="T643" i="1"/>
  <c r="S643" i="1"/>
  <c r="T571" i="1"/>
  <c r="S571" i="1"/>
  <c r="T487" i="1"/>
  <c r="S487" i="1"/>
  <c r="T415" i="1"/>
  <c r="S415" i="1"/>
  <c r="T343" i="1"/>
  <c r="S343" i="1"/>
  <c r="T271" i="1"/>
  <c r="S271" i="1"/>
  <c r="T198" i="1"/>
  <c r="S198" i="1"/>
  <c r="T126" i="1"/>
  <c r="S126" i="1"/>
  <c r="T30" i="1"/>
  <c r="S30" i="1"/>
  <c r="T1520" i="1"/>
  <c r="S1520" i="1"/>
  <c r="T1335" i="1"/>
  <c r="S1335" i="1"/>
  <c r="T1466" i="1"/>
  <c r="S1466" i="1"/>
  <c r="T1356" i="1"/>
  <c r="S1356" i="1"/>
  <c r="T904" i="1"/>
  <c r="S904" i="1"/>
  <c r="T352" i="1"/>
  <c r="S352" i="1"/>
  <c r="T591" i="1"/>
  <c r="S591" i="1"/>
  <c r="T339" i="1"/>
  <c r="S339" i="1"/>
  <c r="T754" i="1"/>
  <c r="S754" i="1"/>
  <c r="T765" i="1"/>
  <c r="S765" i="1"/>
  <c r="T434" i="1"/>
  <c r="S434" i="1"/>
  <c r="T1101" i="1"/>
  <c r="S1101" i="1"/>
  <c r="T1465" i="1"/>
  <c r="S1465" i="1"/>
  <c r="T1213" i="1"/>
  <c r="S1213" i="1"/>
  <c r="T877" i="1"/>
  <c r="S877" i="1"/>
  <c r="T240" i="1"/>
  <c r="S240" i="1"/>
  <c r="T945" i="1"/>
  <c r="S945" i="1"/>
  <c r="T804" i="1"/>
  <c r="S804" i="1"/>
  <c r="T420" i="1"/>
  <c r="S420" i="1"/>
  <c r="T59" i="1"/>
  <c r="S59" i="1"/>
  <c r="T801" i="1"/>
  <c r="S801" i="1"/>
  <c r="T8" i="1"/>
  <c r="S8" i="1"/>
  <c r="T776" i="1"/>
  <c r="T92" i="1"/>
  <c r="T485" i="1"/>
  <c r="T160" i="1"/>
  <c r="T1772" i="1"/>
  <c r="S1772" i="1"/>
  <c r="T1700" i="1"/>
  <c r="S1700" i="1"/>
  <c r="T1628" i="1"/>
  <c r="S1628" i="1"/>
  <c r="T1556" i="1"/>
  <c r="S1556" i="1"/>
  <c r="T1484" i="1"/>
  <c r="S1484" i="1"/>
  <c r="T1767" i="1"/>
  <c r="S1767" i="1"/>
  <c r="T1683" i="1"/>
  <c r="S1683" i="1"/>
  <c r="T1563" i="1"/>
  <c r="S1563" i="1"/>
  <c r="T1491" i="1"/>
  <c r="S1491" i="1"/>
  <c r="T1395" i="1"/>
  <c r="S1395" i="1"/>
  <c r="T1239" i="1"/>
  <c r="S1239" i="1"/>
  <c r="T1107" i="1"/>
  <c r="S1107" i="1"/>
  <c r="T999" i="1"/>
  <c r="S999" i="1"/>
  <c r="T915" i="1"/>
  <c r="S915" i="1"/>
  <c r="T1766" i="1"/>
  <c r="S1766" i="1"/>
  <c r="T1622" i="1"/>
  <c r="S1622" i="1"/>
  <c r="T1514" i="1"/>
  <c r="S1514" i="1"/>
  <c r="T1406" i="1"/>
  <c r="S1406" i="1"/>
  <c r="T1310" i="1"/>
  <c r="S1310" i="1"/>
  <c r="T1202" i="1"/>
  <c r="S1202" i="1"/>
  <c r="T1082" i="1"/>
  <c r="S1082" i="1"/>
  <c r="T1789" i="1"/>
  <c r="S1789" i="1"/>
  <c r="T1740" i="1"/>
  <c r="S1740" i="1"/>
  <c r="T1620" i="1"/>
  <c r="S1620" i="1"/>
  <c r="T1524" i="1"/>
  <c r="S1524" i="1"/>
  <c r="T1416" i="1"/>
  <c r="S1416" i="1"/>
  <c r="T1296" i="1"/>
  <c r="S1296" i="1"/>
  <c r="T1176" i="1"/>
  <c r="S1176" i="1"/>
  <c r="T1056" i="1"/>
  <c r="S1056" i="1"/>
  <c r="T936" i="1"/>
  <c r="S936" i="1"/>
  <c r="T1288" i="1"/>
  <c r="S1288" i="1"/>
  <c r="T1216" i="1"/>
  <c r="S1216" i="1"/>
  <c r="T1132" i="1"/>
  <c r="S1132" i="1"/>
  <c r="T1036" i="1"/>
  <c r="S1036" i="1"/>
  <c r="T940" i="1"/>
  <c r="S940" i="1"/>
  <c r="T856" i="1"/>
  <c r="S856" i="1"/>
  <c r="T784" i="1"/>
  <c r="S784" i="1"/>
  <c r="T688" i="1"/>
  <c r="S688" i="1"/>
  <c r="T592" i="1"/>
  <c r="S592" i="1"/>
  <c r="T496" i="1"/>
  <c r="S496" i="1"/>
  <c r="T400" i="1"/>
  <c r="S400" i="1"/>
  <c r="T304" i="1"/>
  <c r="S304" i="1"/>
  <c r="T219" i="1"/>
  <c r="S219" i="1"/>
  <c r="T123" i="1"/>
  <c r="S123" i="1"/>
  <c r="T3" i="1"/>
  <c r="S3" i="1"/>
  <c r="T298" i="1"/>
  <c r="S298" i="1"/>
  <c r="T1401" i="1"/>
  <c r="S1401" i="1"/>
  <c r="T1053" i="1"/>
  <c r="S1053" i="1"/>
  <c r="T783" i="1"/>
  <c r="S783" i="1"/>
  <c r="T711" i="1"/>
  <c r="S711" i="1"/>
  <c r="T639" i="1"/>
  <c r="S639" i="1"/>
  <c r="T555" i="1"/>
  <c r="S555" i="1"/>
  <c r="T471" i="1"/>
  <c r="S471" i="1"/>
  <c r="T399" i="1"/>
  <c r="S399" i="1"/>
  <c r="T291" i="1"/>
  <c r="S291" i="1"/>
  <c r="T122" i="1"/>
  <c r="S122" i="1"/>
  <c r="T50" i="1"/>
  <c r="S50" i="1"/>
  <c r="T970" i="1"/>
  <c r="S970" i="1"/>
  <c r="T562" i="1"/>
  <c r="S562" i="1"/>
  <c r="T1497" i="1"/>
  <c r="S1497" i="1"/>
  <c r="T1305" i="1"/>
  <c r="S1305" i="1"/>
  <c r="T933" i="1"/>
  <c r="S933" i="1"/>
  <c r="T974" i="1"/>
  <c r="S974" i="1"/>
  <c r="T902" i="1"/>
  <c r="S902" i="1"/>
  <c r="T229" i="1"/>
  <c r="S229" i="1"/>
  <c r="T121" i="1"/>
  <c r="S121" i="1"/>
  <c r="T37" i="1"/>
  <c r="S37" i="1"/>
  <c r="T1690" i="1"/>
  <c r="S1690" i="1"/>
  <c r="T1378" i="1"/>
  <c r="S1378" i="1"/>
  <c r="T922" i="1"/>
  <c r="S922" i="1"/>
  <c r="T322" i="1"/>
  <c r="S322" i="1"/>
  <c r="T1293" i="1"/>
  <c r="S1293" i="1"/>
  <c r="T717" i="1"/>
  <c r="S717" i="1"/>
  <c r="T1681" i="1"/>
  <c r="S1681" i="1"/>
  <c r="T1597" i="1"/>
  <c r="S1597" i="1"/>
  <c r="T1525" i="1"/>
  <c r="S1525" i="1"/>
  <c r="T1417" i="1"/>
  <c r="S1417" i="1"/>
  <c r="T1345" i="1"/>
  <c r="S1345" i="1"/>
  <c r="T1261" i="1"/>
  <c r="S1261" i="1"/>
  <c r="T1177" i="1"/>
  <c r="S1177" i="1"/>
  <c r="T1081" i="1"/>
  <c r="S1081" i="1"/>
  <c r="T997" i="1"/>
  <c r="S997" i="1"/>
  <c r="T913" i="1"/>
  <c r="S913" i="1"/>
  <c r="T829" i="1"/>
  <c r="S829" i="1"/>
  <c r="T745" i="1"/>
  <c r="S745" i="1"/>
  <c r="T625" i="1"/>
  <c r="S625" i="1"/>
  <c r="T541" i="1"/>
  <c r="S541" i="1"/>
  <c r="T469" i="1"/>
  <c r="S469" i="1"/>
  <c r="T373" i="1"/>
  <c r="S373" i="1"/>
  <c r="T277" i="1"/>
  <c r="S277" i="1"/>
  <c r="T204" i="1"/>
  <c r="S204" i="1"/>
  <c r="T108" i="1"/>
  <c r="S108" i="1"/>
  <c r="T1606" i="1"/>
  <c r="S1606" i="1"/>
  <c r="T1114" i="1"/>
  <c r="S1114" i="1"/>
  <c r="T910" i="1"/>
  <c r="S910" i="1"/>
  <c r="T742" i="1"/>
  <c r="S742" i="1"/>
  <c r="T442" i="1"/>
  <c r="S442" i="1"/>
  <c r="T165" i="1"/>
  <c r="S165" i="1"/>
  <c r="T1749" i="1"/>
  <c r="S1749" i="1"/>
  <c r="T1653" i="1"/>
  <c r="S1653" i="1"/>
  <c r="T1149" i="1"/>
  <c r="S1149" i="1"/>
  <c r="T681" i="1"/>
  <c r="S681" i="1"/>
  <c r="T852" i="1"/>
  <c r="S852" i="1"/>
  <c r="T768" i="1"/>
  <c r="S768" i="1"/>
  <c r="T696" i="1"/>
  <c r="S696" i="1"/>
  <c r="T624" i="1"/>
  <c r="S624" i="1"/>
  <c r="T528" i="1"/>
  <c r="S528" i="1"/>
  <c r="T456" i="1"/>
  <c r="S456" i="1"/>
  <c r="T384" i="1"/>
  <c r="S384" i="1"/>
  <c r="T276" i="1"/>
  <c r="S276" i="1"/>
  <c r="T203" i="1"/>
  <c r="S203" i="1"/>
  <c r="T107" i="1"/>
  <c r="S107" i="1"/>
  <c r="T1630" i="1"/>
  <c r="S1630" i="1"/>
  <c r="T1246" i="1"/>
  <c r="S1246" i="1"/>
  <c r="T802" i="1"/>
  <c r="S802" i="1"/>
  <c r="T213" i="1"/>
  <c r="S213" i="1"/>
  <c r="T1137" i="1"/>
  <c r="S1137" i="1"/>
  <c r="T1774" i="1"/>
  <c r="S1774" i="1"/>
  <c r="T1642" i="1"/>
  <c r="S1642" i="1"/>
  <c r="T1426" i="1"/>
  <c r="S1426" i="1"/>
  <c r="T1162" i="1"/>
  <c r="S1162" i="1"/>
  <c r="T141" i="1"/>
  <c r="S141" i="1"/>
  <c r="T1065" i="1"/>
  <c r="S1065" i="1"/>
  <c r="T1097" i="1"/>
  <c r="S1097" i="1"/>
  <c r="T1013" i="1"/>
  <c r="S1013" i="1"/>
  <c r="T929" i="1"/>
  <c r="S929" i="1"/>
  <c r="T857" i="1"/>
  <c r="S857" i="1"/>
  <c r="T761" i="1"/>
  <c r="S761" i="1"/>
  <c r="T677" i="1"/>
  <c r="S677" i="1"/>
  <c r="T593" i="1"/>
  <c r="S593" i="1"/>
  <c r="T497" i="1"/>
  <c r="S497" i="1"/>
  <c r="T389" i="1"/>
  <c r="S389" i="1"/>
  <c r="T293" i="1"/>
  <c r="S293" i="1"/>
  <c r="T172" i="1"/>
  <c r="S172" i="1"/>
  <c r="T52" i="1"/>
  <c r="S52" i="1"/>
  <c r="T1448" i="1"/>
  <c r="S1448" i="1"/>
  <c r="T1376" i="1"/>
  <c r="S1376" i="1"/>
  <c r="T1304" i="1"/>
  <c r="S1304" i="1"/>
  <c r="T1232" i="1"/>
  <c r="S1232" i="1"/>
  <c r="T1160" i="1"/>
  <c r="S1160" i="1"/>
  <c r="T1088" i="1"/>
  <c r="S1088" i="1"/>
  <c r="T1016" i="1"/>
  <c r="S1016" i="1"/>
  <c r="T944" i="1"/>
  <c r="S944" i="1"/>
  <c r="T872" i="1"/>
  <c r="S872" i="1"/>
  <c r="T800" i="1"/>
  <c r="S800" i="1"/>
  <c r="T728" i="1"/>
  <c r="S728" i="1"/>
  <c r="T656" i="1"/>
  <c r="S656" i="1"/>
  <c r="T572" i="1"/>
  <c r="S572" i="1"/>
  <c r="T488" i="1"/>
  <c r="S488" i="1"/>
  <c r="T416" i="1"/>
  <c r="S416" i="1"/>
  <c r="T332" i="1"/>
  <c r="S332" i="1"/>
  <c r="T260" i="1"/>
  <c r="S260" i="1"/>
  <c r="T187" i="1"/>
  <c r="S187" i="1"/>
  <c r="T115" i="1"/>
  <c r="S115" i="1"/>
  <c r="T43" i="1"/>
  <c r="S43" i="1"/>
  <c r="T991" i="1"/>
  <c r="S991" i="1"/>
  <c r="T212" i="1"/>
  <c r="S212" i="1"/>
  <c r="T489" i="1"/>
  <c r="S489" i="1"/>
  <c r="T104" i="1"/>
  <c r="S104" i="1"/>
  <c r="T609" i="1"/>
  <c r="S609" i="1"/>
  <c r="T537" i="1"/>
  <c r="S537" i="1"/>
  <c r="T429" i="1"/>
  <c r="S429" i="1"/>
  <c r="T345" i="1"/>
  <c r="S345" i="1"/>
  <c r="T273" i="1"/>
  <c r="S273" i="1"/>
  <c r="T68" i="1"/>
  <c r="S68" i="1"/>
  <c r="T1676" i="1"/>
  <c r="S1676" i="1"/>
  <c r="T1539" i="1"/>
  <c r="S1539" i="1"/>
  <c r="T1071" i="1"/>
  <c r="S1071" i="1"/>
  <c r="T1586" i="1"/>
  <c r="S1586" i="1"/>
  <c r="T1262" i="1"/>
  <c r="S1262" i="1"/>
  <c r="T1596" i="1"/>
  <c r="S1596" i="1"/>
  <c r="T1260" i="1"/>
  <c r="S1260" i="1"/>
  <c r="T1336" i="1"/>
  <c r="S1336" i="1"/>
  <c r="T1012" i="1"/>
  <c r="S1012" i="1"/>
  <c r="T556" i="1"/>
  <c r="S556" i="1"/>
  <c r="T75" i="1"/>
  <c r="S75" i="1"/>
  <c r="T693" i="1"/>
  <c r="S693" i="1"/>
  <c r="T531" i="1"/>
  <c r="S531" i="1"/>
  <c r="T182" i="1"/>
  <c r="S182" i="1"/>
  <c r="T177" i="1"/>
  <c r="S177" i="1"/>
  <c r="T1522" i="1"/>
  <c r="S1522" i="1"/>
  <c r="T1153" i="1"/>
  <c r="S1153" i="1"/>
  <c r="T793" i="1"/>
  <c r="S793" i="1"/>
  <c r="T517" i="1"/>
  <c r="S517" i="1"/>
  <c r="T1054" i="1"/>
  <c r="S1054" i="1"/>
  <c r="T1713" i="1"/>
  <c r="S1713" i="1"/>
  <c r="T1126" i="1"/>
  <c r="S1126" i="1"/>
  <c r="T897" i="1"/>
  <c r="S897" i="1"/>
  <c r="T977" i="1"/>
  <c r="S977" i="1"/>
  <c r="T833" i="1"/>
  <c r="S833" i="1"/>
  <c r="T461" i="1"/>
  <c r="S461" i="1"/>
  <c r="T1280" i="1"/>
  <c r="S1280" i="1"/>
  <c r="T464" i="1"/>
  <c r="S464" i="1"/>
  <c r="T91" i="1"/>
  <c r="S91" i="1"/>
  <c r="T513" i="1"/>
  <c r="S513" i="1"/>
  <c r="T1530" i="1"/>
  <c r="S1530" i="1"/>
  <c r="T1397" i="1"/>
  <c r="S1397" i="1"/>
  <c r="T1492" i="1"/>
  <c r="S1492" i="1"/>
  <c r="T1655" i="1"/>
  <c r="S1655" i="1"/>
  <c r="T1139" i="1"/>
  <c r="S1139" i="1"/>
  <c r="T743" i="1"/>
  <c r="S743" i="1"/>
  <c r="T443" i="1"/>
  <c r="S443" i="1"/>
  <c r="T10" i="1"/>
  <c r="S10" i="1"/>
  <c r="T702" i="1"/>
  <c r="S702" i="1"/>
  <c r="T486" i="1"/>
  <c r="S486" i="1"/>
  <c r="T137" i="1"/>
  <c r="S137" i="1"/>
  <c r="T1615" i="1"/>
  <c r="S1615" i="1"/>
  <c r="T1183" i="1"/>
  <c r="S1183" i="1"/>
  <c r="T607" i="1"/>
  <c r="S607" i="1"/>
  <c r="T1736" i="1"/>
  <c r="S1736" i="1"/>
  <c r="T1047" i="1"/>
  <c r="S1047" i="1"/>
  <c r="T1358" i="1"/>
  <c r="S1358" i="1"/>
  <c r="T1464" i="1"/>
  <c r="S1464" i="1"/>
  <c r="T1252" i="1"/>
  <c r="S1252" i="1"/>
  <c r="T820" i="1"/>
  <c r="S820" i="1"/>
  <c r="T1413" i="1"/>
  <c r="S1413" i="1"/>
  <c r="T1150" i="1"/>
  <c r="S1150" i="1"/>
  <c r="T1485" i="1"/>
  <c r="S1485" i="1"/>
  <c r="T1561" i="1"/>
  <c r="S1561" i="1"/>
  <c r="T1309" i="1"/>
  <c r="S1309" i="1"/>
  <c r="T1045" i="1"/>
  <c r="S1045" i="1"/>
  <c r="T781" i="1"/>
  <c r="S781" i="1"/>
  <c r="T505" i="1"/>
  <c r="S505" i="1"/>
  <c r="T156" i="1"/>
  <c r="S156" i="1"/>
  <c r="T850" i="1"/>
  <c r="S850" i="1"/>
  <c r="T1701" i="1"/>
  <c r="S1701" i="1"/>
  <c r="T888" i="1"/>
  <c r="S888" i="1"/>
  <c r="T576" i="1"/>
  <c r="S576" i="1"/>
  <c r="T239" i="1"/>
  <c r="S239" i="1"/>
  <c r="T1042" i="1"/>
  <c r="S1042" i="1"/>
  <c r="T644" i="1"/>
  <c r="T56" i="1"/>
  <c r="T28" i="1"/>
  <c r="T1758" i="1"/>
  <c r="S1758" i="1"/>
  <c r="T1650" i="1"/>
  <c r="S1650" i="1"/>
  <c r="T1566" i="1"/>
  <c r="S1566" i="1"/>
  <c r="T1422" i="1"/>
  <c r="S1422" i="1"/>
  <c r="T1326" i="1"/>
  <c r="S1326" i="1"/>
  <c r="T1194" i="1"/>
  <c r="S1194" i="1"/>
  <c r="T1110" i="1"/>
  <c r="S1110" i="1"/>
  <c r="T1661" i="1"/>
  <c r="S1661" i="1"/>
  <c r="T1529" i="1"/>
  <c r="S1529" i="1"/>
  <c r="T1421" i="1"/>
  <c r="S1421" i="1"/>
  <c r="T1325" i="1"/>
  <c r="S1325" i="1"/>
  <c r="T1217" i="1"/>
  <c r="S1217" i="1"/>
  <c r="T1756" i="1"/>
  <c r="S1756" i="1"/>
  <c r="T1636" i="1"/>
  <c r="S1636" i="1"/>
  <c r="T1552" i="1"/>
  <c r="S1552" i="1"/>
  <c r="T1420" i="1"/>
  <c r="S1420" i="1"/>
  <c r="T818" i="1"/>
  <c r="S818" i="1"/>
  <c r="T650" i="1"/>
  <c r="S650" i="1"/>
  <c r="T554" i="1"/>
  <c r="S554" i="1"/>
  <c r="T470" i="1"/>
  <c r="S470" i="1"/>
  <c r="T386" i="1"/>
  <c r="S386" i="1"/>
  <c r="T1763" i="1"/>
  <c r="S1763" i="1"/>
  <c r="T1679" i="1"/>
  <c r="S1679" i="1"/>
  <c r="T1607" i="1"/>
  <c r="S1607" i="1"/>
  <c r="T1523" i="1"/>
  <c r="S1523" i="1"/>
  <c r="T1427" i="1"/>
  <c r="S1427" i="1"/>
  <c r="T1331" i="1"/>
  <c r="S1331" i="1"/>
  <c r="T1247" i="1"/>
  <c r="S1247" i="1"/>
  <c r="T1163" i="1"/>
  <c r="S1163" i="1"/>
  <c r="T1067" i="1"/>
  <c r="S1067" i="1"/>
  <c r="T995" i="1"/>
  <c r="S995" i="1"/>
  <c r="T911" i="1"/>
  <c r="S911" i="1"/>
  <c r="T839" i="1"/>
  <c r="S839" i="1"/>
  <c r="T767" i="1"/>
  <c r="S767" i="1"/>
  <c r="T695" i="1"/>
  <c r="S695" i="1"/>
  <c r="T623" i="1"/>
  <c r="S623" i="1"/>
  <c r="T551" i="1"/>
  <c r="S551" i="1"/>
  <c r="T467" i="1"/>
  <c r="S467" i="1"/>
  <c r="T395" i="1"/>
  <c r="S395" i="1"/>
  <c r="T311" i="1"/>
  <c r="S311" i="1"/>
  <c r="T214" i="1"/>
  <c r="S214" i="1"/>
  <c r="T118" i="1"/>
  <c r="S118" i="1"/>
  <c r="T34" i="1"/>
  <c r="S34" i="1"/>
  <c r="T1002" i="1"/>
  <c r="S1002" i="1"/>
  <c r="T906" i="1"/>
  <c r="S906" i="1"/>
  <c r="T822" i="1"/>
  <c r="S822" i="1"/>
  <c r="T726" i="1"/>
  <c r="S726" i="1"/>
  <c r="T654" i="1"/>
  <c r="S654" i="1"/>
  <c r="T582" i="1"/>
  <c r="S582" i="1"/>
  <c r="T510" i="1"/>
  <c r="S510" i="1"/>
  <c r="T438" i="1"/>
  <c r="S438" i="1"/>
  <c r="T342" i="1"/>
  <c r="S342" i="1"/>
  <c r="T258" i="1"/>
  <c r="S258" i="1"/>
  <c r="T161" i="1"/>
  <c r="S161" i="1"/>
  <c r="T65" i="1"/>
  <c r="S65" i="1"/>
  <c r="T1783" i="1"/>
  <c r="S1783" i="1"/>
  <c r="T1711" i="1"/>
  <c r="S1711" i="1"/>
  <c r="T1639" i="1"/>
  <c r="S1639" i="1"/>
  <c r="T1567" i="1"/>
  <c r="S1567" i="1"/>
  <c r="T1495" i="1"/>
  <c r="S1495" i="1"/>
  <c r="T1423" i="1"/>
  <c r="S1423" i="1"/>
  <c r="T1351" i="1"/>
  <c r="S1351" i="1"/>
  <c r="T1279" i="1"/>
  <c r="S1279" i="1"/>
  <c r="T1207" i="1"/>
  <c r="S1207" i="1"/>
  <c r="T1135" i="1"/>
  <c r="S1135" i="1"/>
  <c r="T1063" i="1"/>
  <c r="S1063" i="1"/>
  <c r="T919" i="1"/>
  <c r="S919" i="1"/>
  <c r="T847" i="1"/>
  <c r="S847" i="1"/>
  <c r="T775" i="1"/>
  <c r="S775" i="1"/>
  <c r="T703" i="1"/>
  <c r="S703" i="1"/>
  <c r="T631" i="1"/>
  <c r="S631" i="1"/>
  <c r="T559" i="1"/>
  <c r="S559" i="1"/>
  <c r="T475" i="1"/>
  <c r="S475" i="1"/>
  <c r="T403" i="1"/>
  <c r="S403" i="1"/>
  <c r="T331" i="1"/>
  <c r="S331" i="1"/>
  <c r="T259" i="1"/>
  <c r="S259" i="1"/>
  <c r="T186" i="1"/>
  <c r="S186" i="1"/>
  <c r="T114" i="1"/>
  <c r="S114" i="1"/>
  <c r="T18" i="1"/>
  <c r="S18" i="1"/>
  <c r="X26" i="4"/>
  <c r="X11" i="4"/>
  <c r="X27" i="4"/>
  <c r="R24" i="3" l="1"/>
  <c r="S22" i="3"/>
  <c r="Q22" i="3" s="1"/>
  <c r="Q21" i="3"/>
  <c r="S21" i="3"/>
  <c r="Q28" i="3"/>
  <c r="Q25" i="3"/>
  <c r="S28" i="3"/>
  <c r="S25" i="3"/>
  <c r="S30" i="3"/>
  <c r="S27" i="3"/>
  <c r="S24" i="3"/>
  <c r="R21" i="3"/>
  <c r="R22" i="3"/>
  <c r="P22" i="3"/>
  <c r="R30" i="3"/>
  <c r="R27" i="3"/>
  <c r="P21" i="3"/>
  <c r="P28" i="3"/>
  <c r="Q30" i="3"/>
  <c r="Q27" i="3"/>
  <c r="Q24" i="3"/>
  <c r="P30" i="3"/>
  <c r="P27" i="3"/>
  <c r="P24" i="3"/>
  <c r="P25" i="3"/>
  <c r="S29" i="3"/>
  <c r="S26" i="3"/>
  <c r="S23" i="3"/>
  <c r="P26" i="3"/>
  <c r="R25" i="3"/>
  <c r="R29" i="3"/>
  <c r="R26" i="3"/>
  <c r="R23" i="3"/>
  <c r="P29" i="3"/>
  <c r="R28" i="3"/>
  <c r="Q29" i="3"/>
  <c r="Q26" i="3"/>
  <c r="Q23" i="3"/>
  <c r="P23" i="3"/>
  <c r="Q26" i="4"/>
  <c r="U28" i="4"/>
  <c r="V28" i="4"/>
  <c r="W28" i="4"/>
  <c r="Q27" i="4"/>
  <c r="O21" i="3"/>
  <c r="N23" i="3"/>
  <c r="N24" i="3" s="1"/>
  <c r="N25" i="3" s="1"/>
  <c r="T28" i="4"/>
  <c r="S28" i="4"/>
  <c r="X28" i="4"/>
  <c r="AC20" i="3" l="1"/>
  <c r="AE20" i="3" s="1"/>
  <c r="AF20" i="3" s="1"/>
  <c r="AF19" i="3" s="1"/>
  <c r="AF18" i="3" s="1"/>
  <c r="AC21" i="3"/>
  <c r="AE21" i="3" s="1"/>
  <c r="AF21" i="3" s="1"/>
  <c r="AB22" i="3"/>
  <c r="AD22" i="3" s="1"/>
  <c r="AB20" i="3"/>
  <c r="AD20" i="3" s="1"/>
  <c r="AB21" i="3"/>
  <c r="AD21" i="3" s="1"/>
  <c r="AD19" i="3"/>
  <c r="AB26" i="3"/>
  <c r="AD26" i="3" s="1"/>
  <c r="AB27" i="3"/>
  <c r="AD27" i="3" s="1"/>
  <c r="AB28" i="3"/>
  <c r="AD28" i="3" s="1"/>
  <c r="AB23" i="3"/>
  <c r="AD23" i="3" s="1"/>
  <c r="AB29" i="3"/>
  <c r="AD29" i="3" s="1"/>
  <c r="AB24" i="3"/>
  <c r="AD24" i="3" s="1"/>
  <c r="AB30" i="3"/>
  <c r="AD30" i="3" s="1"/>
  <c r="AB25" i="3"/>
  <c r="AD25" i="3" s="1"/>
  <c r="AC19" i="3"/>
  <c r="AE19" i="3" s="1"/>
  <c r="E21" i="3"/>
  <c r="M21" i="3" s="1"/>
  <c r="M19" i="3"/>
  <c r="K19" i="3"/>
  <c r="L19" i="3"/>
  <c r="J19" i="3"/>
  <c r="Q28" i="4"/>
  <c r="O22" i="3"/>
  <c r="O23" i="3" s="1"/>
  <c r="O24" i="3" s="1"/>
  <c r="O25" i="3" s="1"/>
  <c r="O26" i="3" s="1"/>
  <c r="N26" i="3"/>
  <c r="D22" i="3"/>
  <c r="D28" i="3"/>
  <c r="D25" i="3"/>
  <c r="J25" i="3" s="1"/>
  <c r="D27" i="3"/>
  <c r="D21" i="3"/>
  <c r="D29" i="3"/>
  <c r="D23" i="3"/>
  <c r="D26" i="3"/>
  <c r="D24" i="3"/>
  <c r="D30" i="3"/>
  <c r="AF17" i="3" l="1"/>
  <c r="AG19" i="3"/>
  <c r="AG20" i="3"/>
  <c r="AI20" i="3" s="1"/>
  <c r="AG21" i="3"/>
  <c r="AI21" i="3" s="1"/>
  <c r="K21" i="3"/>
  <c r="J24" i="3"/>
  <c r="T24" i="3" s="1"/>
  <c r="L24" i="3"/>
  <c r="L25" i="3"/>
  <c r="L22" i="3"/>
  <c r="J22" i="3"/>
  <c r="J23" i="3"/>
  <c r="L23" i="3"/>
  <c r="K20" i="3"/>
  <c r="M20" i="3"/>
  <c r="T25" i="3"/>
  <c r="J21" i="3"/>
  <c r="L21" i="3"/>
  <c r="O27" i="3"/>
  <c r="O28" i="3" s="1"/>
  <c r="J20" i="3"/>
  <c r="L20" i="3"/>
  <c r="N27" i="3"/>
  <c r="J26" i="3"/>
  <c r="T26" i="3" s="1"/>
  <c r="L26" i="3"/>
  <c r="AI19" i="3" l="1"/>
  <c r="AG18" i="3"/>
  <c r="AF16" i="3"/>
  <c r="O29" i="3"/>
  <c r="N28" i="3"/>
  <c r="J27" i="3"/>
  <c r="T27" i="3" s="1"/>
  <c r="L27" i="3"/>
  <c r="AF15" i="3" l="1"/>
  <c r="AG17" i="3"/>
  <c r="AI18" i="3"/>
  <c r="O30" i="3"/>
  <c r="N29" i="3"/>
  <c r="J28" i="3"/>
  <c r="T28" i="3" s="1"/>
  <c r="L28" i="3"/>
  <c r="AG16" i="3" l="1"/>
  <c r="AI17" i="3"/>
  <c r="AF14" i="3"/>
  <c r="N30" i="3"/>
  <c r="J29" i="3"/>
  <c r="T29" i="3" s="1"/>
  <c r="L29" i="3"/>
  <c r="AF13" i="3" l="1"/>
  <c r="AI16" i="3"/>
  <c r="AG15" i="3"/>
  <c r="L30" i="3"/>
  <c r="J30" i="3"/>
  <c r="T30" i="3" s="1"/>
  <c r="AI15" i="3" l="1"/>
  <c r="AG14" i="3"/>
  <c r="AF12" i="3"/>
  <c r="E30" i="3"/>
  <c r="M30" i="3" s="1"/>
  <c r="E29" i="3"/>
  <c r="K29" i="3" s="1"/>
  <c r="E28" i="3"/>
  <c r="M28" i="3" s="1"/>
  <c r="E27" i="3"/>
  <c r="K27" i="3" s="1"/>
  <c r="AC23" i="3"/>
  <c r="AE23" i="3" s="1"/>
  <c r="E26" i="3"/>
  <c r="K26" i="3" s="1"/>
  <c r="AC25" i="3"/>
  <c r="AE25" i="3" s="1"/>
  <c r="AC27" i="3"/>
  <c r="AE27" i="3" s="1"/>
  <c r="AC26" i="3"/>
  <c r="AE26" i="3" s="1"/>
  <c r="E24" i="3"/>
  <c r="K24" i="3" s="1"/>
  <c r="AC28" i="3"/>
  <c r="AE28" i="3" s="1"/>
  <c r="AC29" i="3"/>
  <c r="AE29" i="3" s="1"/>
  <c r="AC30" i="3"/>
  <c r="AE30" i="3" s="1"/>
  <c r="E22" i="3"/>
  <c r="M22" i="3" s="1"/>
  <c r="AC24" i="3"/>
  <c r="AE24" i="3" s="1"/>
  <c r="E25" i="3"/>
  <c r="K25" i="3" s="1"/>
  <c r="E23" i="3"/>
  <c r="M23" i="3" s="1"/>
  <c r="AC22" i="3"/>
  <c r="AE22" i="3" s="1"/>
  <c r="W22" i="3"/>
  <c r="W23" i="3" s="1"/>
  <c r="W24" i="3" s="1"/>
  <c r="W25" i="3" s="1"/>
  <c r="V22" i="3" l="1"/>
  <c r="V23" i="3" s="1"/>
  <c r="V24" i="3" s="1"/>
  <c r="V25" i="3" s="1"/>
  <c r="V26" i="3" s="1"/>
  <c r="V27" i="3" s="1"/>
  <c r="V28" i="3" s="1"/>
  <c r="V29" i="3" s="1"/>
  <c r="V30" i="3" s="1"/>
  <c r="AF22" i="3"/>
  <c r="AG22" i="3" s="1"/>
  <c r="AI22" i="3" s="1"/>
  <c r="K28" i="3"/>
  <c r="U28" i="3" s="1"/>
  <c r="AF11" i="3"/>
  <c r="AI14" i="3"/>
  <c r="AG13" i="3"/>
  <c r="K23" i="3"/>
  <c r="M26" i="3"/>
  <c r="U26" i="3" s="1"/>
  <c r="M25" i="3"/>
  <c r="U25" i="3" s="1"/>
  <c r="M24" i="3"/>
  <c r="U24" i="3" s="1"/>
  <c r="M27" i="3"/>
  <c r="U27" i="3" s="1"/>
  <c r="K22" i="3"/>
  <c r="M29" i="3"/>
  <c r="U29" i="3" s="1"/>
  <c r="W26" i="3"/>
  <c r="K30" i="3"/>
  <c r="U30" i="3" s="1"/>
  <c r="AI13" i="3" l="1"/>
  <c r="AG12" i="3"/>
  <c r="AF10" i="3"/>
  <c r="W27" i="3"/>
  <c r="AF9" i="3" l="1"/>
  <c r="AG11" i="3"/>
  <c r="AI12" i="3"/>
  <c r="W28" i="3"/>
  <c r="AG10" i="3" l="1"/>
  <c r="AI11" i="3"/>
  <c r="AF8" i="3"/>
  <c r="W29" i="3"/>
  <c r="AF7" i="3" l="1"/>
  <c r="AG9" i="3"/>
  <c r="AI10" i="3"/>
  <c r="W30" i="3"/>
  <c r="AG8" i="3" l="1"/>
  <c r="AI9" i="3"/>
  <c r="AF6" i="3"/>
  <c r="AF5" i="3" l="1"/>
  <c r="AG7" i="3"/>
  <c r="AI8" i="3"/>
  <c r="AG6" i="3" l="1"/>
  <c r="AI7" i="3"/>
  <c r="AF4" i="3"/>
  <c r="AF3" i="3" l="1"/>
  <c r="AG5" i="3"/>
  <c r="AI6" i="3"/>
  <c r="AG4" i="3" l="1"/>
  <c r="AI5" i="3"/>
  <c r="AG3" i="3" l="1"/>
  <c r="AI4" i="3"/>
  <c r="AG2" i="3" l="1"/>
  <c r="AI2" i="3" s="1"/>
  <c r="AI3" i="3"/>
</calcChain>
</file>

<file path=xl/sharedStrings.xml><?xml version="1.0" encoding="utf-8"?>
<sst xmlns="http://schemas.openxmlformats.org/spreadsheetml/2006/main" count="27736" uniqueCount="3491">
  <si>
    <t>Compañia</t>
  </si>
  <si>
    <t>CódigointernoBIA</t>
  </si>
  <si>
    <t>Fecha probable de registro</t>
  </si>
  <si>
    <t>COMERCIALIZADOR</t>
  </si>
  <si>
    <t>OR</t>
  </si>
  <si>
    <t>Regulado</t>
  </si>
  <si>
    <t>CONSUMO PROMEDIO</t>
  </si>
  <si>
    <t>ETAPA HOMOLOGADA</t>
  </si>
  <si>
    <t>FRONTERA COMERCIAL</t>
  </si>
  <si>
    <t>SEMANA PROY. ACTIVACIÓN</t>
  </si>
  <si>
    <t>SEMANA PROY. ACTIVACION COMPLETA</t>
  </si>
  <si>
    <t>MES PROY. ACTIVACION</t>
  </si>
  <si>
    <t>CUENTA CON PROGRAMACIÓN ACTIVACIÓN</t>
  </si>
  <si>
    <t>Persona Natural</t>
  </si>
  <si>
    <t>ENEL</t>
  </si>
  <si>
    <t>SI</t>
  </si>
  <si>
    <t>CO0100001593</t>
  </si>
  <si>
    <t>Instalado y Activado</t>
  </si>
  <si>
    <t>No (Activar - Instalar)</t>
  </si>
  <si>
    <t>-</t>
  </si>
  <si>
    <t>NO</t>
  </si>
  <si>
    <t>CO57114002</t>
  </si>
  <si>
    <t>Inelco</t>
  </si>
  <si>
    <t>EMCALI</t>
  </si>
  <si>
    <t>CO0200001484</t>
  </si>
  <si>
    <t>Muncher</t>
  </si>
  <si>
    <t>CO0100001692</t>
  </si>
  <si>
    <t>CO0100001684</t>
  </si>
  <si>
    <t>CO0100001680</t>
  </si>
  <si>
    <t>CO0100001687</t>
  </si>
  <si>
    <t>CO0100001691</t>
  </si>
  <si>
    <t>CO0100001688</t>
  </si>
  <si>
    <t>CO0100001683</t>
  </si>
  <si>
    <t>CO0100001686</t>
  </si>
  <si>
    <t>CO0100001690</t>
  </si>
  <si>
    <t>CO0100001685</t>
  </si>
  <si>
    <t>CO0100001694</t>
  </si>
  <si>
    <t>CO0100001681</t>
  </si>
  <si>
    <t>CO0100001693</t>
  </si>
  <si>
    <t>CO0100001682</t>
  </si>
  <si>
    <t>CO0100001689</t>
  </si>
  <si>
    <t>EPM</t>
  </si>
  <si>
    <t>CO0400001673</t>
  </si>
  <si>
    <t>No (Instalar - Activar)</t>
  </si>
  <si>
    <t>AFINIA</t>
  </si>
  <si>
    <t>CO0500001473</t>
  </si>
  <si>
    <t>Rogelio Red Tacos</t>
  </si>
  <si>
    <t>CO57113006</t>
  </si>
  <si>
    <t>Insurgentes</t>
  </si>
  <si>
    <t>CO57114029</t>
  </si>
  <si>
    <t>CO57114030</t>
  </si>
  <si>
    <t>Ferplastik</t>
  </si>
  <si>
    <t>CO57112031</t>
  </si>
  <si>
    <t>Fayco</t>
  </si>
  <si>
    <t>CO0400001830</t>
  </si>
  <si>
    <t>Keep &amp; Go</t>
  </si>
  <si>
    <t>CO57114044</t>
  </si>
  <si>
    <t>CO57114045</t>
  </si>
  <si>
    <t>CO57114042</t>
  </si>
  <si>
    <t>CO57114043</t>
  </si>
  <si>
    <t>Gato Dumas</t>
  </si>
  <si>
    <t>AGPE</t>
  </si>
  <si>
    <t>CO0100001503</t>
  </si>
  <si>
    <t>Plasticos Monaco</t>
  </si>
  <si>
    <t>CO57117032</t>
  </si>
  <si>
    <t>NEU</t>
  </si>
  <si>
    <t>Si</t>
  </si>
  <si>
    <t>CO57117033</t>
  </si>
  <si>
    <t>CO57117034</t>
  </si>
  <si>
    <t>CO57117035</t>
  </si>
  <si>
    <t>CO57117036</t>
  </si>
  <si>
    <t>Frubana</t>
  </si>
  <si>
    <t>CO57114048</t>
  </si>
  <si>
    <t>CO57114047</t>
  </si>
  <si>
    <t>AIR-E</t>
  </si>
  <si>
    <t>CO0500000993</t>
  </si>
  <si>
    <t>Rappi</t>
  </si>
  <si>
    <t>CO57118057</t>
  </si>
  <si>
    <t>CO57118056</t>
  </si>
  <si>
    <t>CO57118055</t>
  </si>
  <si>
    <t>CO57118066</t>
  </si>
  <si>
    <t>CO57118068</t>
  </si>
  <si>
    <t>CO57118067</t>
  </si>
  <si>
    <t>CO57118065</t>
  </si>
  <si>
    <t>CO57118063</t>
  </si>
  <si>
    <t>CO57118064</t>
  </si>
  <si>
    <t>CO57118062</t>
  </si>
  <si>
    <t>CO57118061</t>
  </si>
  <si>
    <t>CO57118060</t>
  </si>
  <si>
    <t>CO57118059</t>
  </si>
  <si>
    <t>CO57118058</t>
  </si>
  <si>
    <t>CC Diamante</t>
  </si>
  <si>
    <t>CO0400001451</t>
  </si>
  <si>
    <t>CO5754038</t>
  </si>
  <si>
    <t>CO5754039</t>
  </si>
  <si>
    <t>CO0400001393</t>
  </si>
  <si>
    <t>CO0400001394</t>
  </si>
  <si>
    <t>CO0500001665</t>
  </si>
  <si>
    <t>CO0500001666</t>
  </si>
  <si>
    <t>La Bugueña</t>
  </si>
  <si>
    <t>CO57113069</t>
  </si>
  <si>
    <t>CO57113070</t>
  </si>
  <si>
    <t>Buffalo Wings</t>
  </si>
  <si>
    <t>CO57117072</t>
  </si>
  <si>
    <t>CO57117074</t>
  </si>
  <si>
    <t>CO57117073</t>
  </si>
  <si>
    <t>CO57117076</t>
  </si>
  <si>
    <t>CO57117077</t>
  </si>
  <si>
    <t>CO57117075</t>
  </si>
  <si>
    <t>Todos Comemos</t>
  </si>
  <si>
    <t>CO57113071</t>
  </si>
  <si>
    <t>Petroplasting</t>
  </si>
  <si>
    <t>CO57118078</t>
  </si>
  <si>
    <t>Icoformas</t>
  </si>
  <si>
    <t>CO57111079</t>
  </si>
  <si>
    <t>CO57111080</t>
  </si>
  <si>
    <t>HomeBurguer</t>
  </si>
  <si>
    <t>CO57116087</t>
  </si>
  <si>
    <t>CO0400001677</t>
  </si>
  <si>
    <t>CO0100001798</t>
  </si>
  <si>
    <t>CO0100001662</t>
  </si>
  <si>
    <t>CO0100001659</t>
  </si>
  <si>
    <t>CO0100001663</t>
  </si>
  <si>
    <t>CO0100001655</t>
  </si>
  <si>
    <t>CO0100001661</t>
  </si>
  <si>
    <t>CO0100001664</t>
  </si>
  <si>
    <t>CO0100001660</t>
  </si>
  <si>
    <t>CO0100001654</t>
  </si>
  <si>
    <t>CO57116081</t>
  </si>
  <si>
    <t>CO0100001656</t>
  </si>
  <si>
    <t>CO0100001658</t>
  </si>
  <si>
    <t>CO0400001649</t>
  </si>
  <si>
    <t>CO0100001657</t>
  </si>
  <si>
    <t>CO57116103</t>
  </si>
  <si>
    <t>CO0100001711</t>
  </si>
  <si>
    <t>CO0400001021</t>
  </si>
  <si>
    <t>CO0400001015</t>
  </si>
  <si>
    <t>CO5756083</t>
  </si>
  <si>
    <t>CO0500001335</t>
  </si>
  <si>
    <t>CO0000001055</t>
  </si>
  <si>
    <t>Desistido</t>
  </si>
  <si>
    <t>Restaurante Eureka</t>
  </si>
  <si>
    <t>CO57134109</t>
  </si>
  <si>
    <t>SEM 2</t>
  </si>
  <si>
    <t>SEM 2 - DIC</t>
  </si>
  <si>
    <t>DICIEMBRE</t>
  </si>
  <si>
    <t>Fundación Ronald MC</t>
  </si>
  <si>
    <t>CO57117107</t>
  </si>
  <si>
    <t>PLENIA SAS</t>
  </si>
  <si>
    <t>CO0400001849</t>
  </si>
  <si>
    <t>CO0400001848</t>
  </si>
  <si>
    <t>CO0100001044</t>
  </si>
  <si>
    <t>CO57110106</t>
  </si>
  <si>
    <t>CO57137108</t>
  </si>
  <si>
    <t>Panarte</t>
  </si>
  <si>
    <t>CO57684110</t>
  </si>
  <si>
    <t>ESSA</t>
  </si>
  <si>
    <t>Alinnova</t>
  </si>
  <si>
    <t>CO0100001671</t>
  </si>
  <si>
    <t>Saggo</t>
  </si>
  <si>
    <t>CO57119106</t>
  </si>
  <si>
    <t>Click Clack</t>
  </si>
  <si>
    <t>CO57111111</t>
  </si>
  <si>
    <t>CO0400001483</t>
  </si>
  <si>
    <t>San Fernando Real SAS</t>
  </si>
  <si>
    <t>CO57762113</t>
  </si>
  <si>
    <t>CO0100002236</t>
  </si>
  <si>
    <t>Banco Coopcentral</t>
  </si>
  <si>
    <t>CO0100001672</t>
  </si>
  <si>
    <t>CO57688116</t>
  </si>
  <si>
    <t>INTERNATIONAL LOGISTIC TRACKING SOLUTIONS (Cocinas Ocultas)</t>
  </si>
  <si>
    <t>VATIA</t>
  </si>
  <si>
    <t>CO0500001197</t>
  </si>
  <si>
    <t>Autoniza</t>
  </si>
  <si>
    <t>CO0100001667</t>
  </si>
  <si>
    <t>CO0100001668</t>
  </si>
  <si>
    <t>CO0100001669</t>
  </si>
  <si>
    <t>CO0100001670</t>
  </si>
  <si>
    <t>CO0100001498</t>
  </si>
  <si>
    <t>CO0100001000</t>
  </si>
  <si>
    <t>Dilmar</t>
  </si>
  <si>
    <t>SPECTRUM</t>
  </si>
  <si>
    <t>CO0100001487</t>
  </si>
  <si>
    <t>Multiplika</t>
  </si>
  <si>
    <t>CO57115125</t>
  </si>
  <si>
    <t>CO0100001488</t>
  </si>
  <si>
    <t>CO0100001489</t>
  </si>
  <si>
    <t>Pro oriente</t>
  </si>
  <si>
    <t>CHEC</t>
  </si>
  <si>
    <t>CO0800001201</t>
  </si>
  <si>
    <t>Frigoecol</t>
  </si>
  <si>
    <t>CO0500001022</t>
  </si>
  <si>
    <t>Movet</t>
  </si>
  <si>
    <t>CO0100001678</t>
  </si>
  <si>
    <t>The pub sas</t>
  </si>
  <si>
    <t>CO0000001027</t>
  </si>
  <si>
    <t>CO0100001028</t>
  </si>
  <si>
    <t>CO0000001029</t>
  </si>
  <si>
    <t>CO57116137</t>
  </si>
  <si>
    <t>CO57116136</t>
  </si>
  <si>
    <t>CO57116138</t>
  </si>
  <si>
    <t>CO57116134</t>
  </si>
  <si>
    <t>CO57116135</t>
  </si>
  <si>
    <t>LACTEOS BUENOS AIRES SAS</t>
  </si>
  <si>
    <t>CO0400001200</t>
  </si>
  <si>
    <t>EL JARRO S.A.S.</t>
  </si>
  <si>
    <t>CO0100001210</t>
  </si>
  <si>
    <t>CO0100001211</t>
  </si>
  <si>
    <t>Colorplastic SAS</t>
  </si>
  <si>
    <t>CO0100001191</t>
  </si>
  <si>
    <t>CO0100001193</t>
  </si>
  <si>
    <t>CO0100001192</t>
  </si>
  <si>
    <t>CO0500001209</t>
  </si>
  <si>
    <t>CO0500001006</t>
  </si>
  <si>
    <t>LITOGRAFIA JULIO GAMEZ</t>
  </si>
  <si>
    <t>CO57206150</t>
  </si>
  <si>
    <t>VICAYSEG SAS</t>
  </si>
  <si>
    <t>CO0400001199</t>
  </si>
  <si>
    <t>ADWELLCH S.A.S.</t>
  </si>
  <si>
    <t>CO0100001216</t>
  </si>
  <si>
    <t>CO0500001007</t>
  </si>
  <si>
    <t>CO0500001008</t>
  </si>
  <si>
    <t>CO0500001005</t>
  </si>
  <si>
    <t>NOVAFERT</t>
  </si>
  <si>
    <t>CO0100001012</t>
  </si>
  <si>
    <t>INVERNESER S.A.S</t>
  </si>
  <si>
    <t>CO0500001390</t>
  </si>
  <si>
    <t>MARMISOL SAS</t>
  </si>
  <si>
    <t>CO0100001045</t>
  </si>
  <si>
    <t>CO0100001064</t>
  </si>
  <si>
    <t>LOS COCHES SAS</t>
  </si>
  <si>
    <t>CO0200001648</t>
  </si>
  <si>
    <t>CO0800001646</t>
  </si>
  <si>
    <t>EEP</t>
  </si>
  <si>
    <t>CO0600001647</t>
  </si>
  <si>
    <t>CO0200001014</t>
  </si>
  <si>
    <t>DOMO BURGUER</t>
  </si>
  <si>
    <t>CO0100001336</t>
  </si>
  <si>
    <t>CO0400001679</t>
  </si>
  <si>
    <t>CO57111010</t>
  </si>
  <si>
    <t>CO0100000999</t>
  </si>
  <si>
    <t>PUPPIS</t>
  </si>
  <si>
    <t>CO0000001035</t>
  </si>
  <si>
    <t>FOODOLOGY</t>
  </si>
  <si>
    <t>CO0400001205</t>
  </si>
  <si>
    <t>CO0400001204</t>
  </si>
  <si>
    <t>CO0400001206</t>
  </si>
  <si>
    <t>CO0100001039</t>
  </si>
  <si>
    <t>CO0100001036</t>
  </si>
  <si>
    <t>CO0100001041</t>
  </si>
  <si>
    <t>CO0100001030</t>
  </si>
  <si>
    <t>CO0000001033</t>
  </si>
  <si>
    <t>CO0100001043</t>
  </si>
  <si>
    <t>CO0100001038</t>
  </si>
  <si>
    <t>CO0000001037</t>
  </si>
  <si>
    <t>CO0000001034</t>
  </si>
  <si>
    <t>CO0000001032</t>
  </si>
  <si>
    <t>CO0100001031</t>
  </si>
  <si>
    <t>CO0100001040</t>
  </si>
  <si>
    <t>CO0100000995</t>
  </si>
  <si>
    <t>GALAVANTA</t>
  </si>
  <si>
    <t>CO1360000166</t>
  </si>
  <si>
    <t>MOSTO BISTRA</t>
  </si>
  <si>
    <t>CO6850000167</t>
  </si>
  <si>
    <t>AUTO GRANDE</t>
  </si>
  <si>
    <t>CO0100001195</t>
  </si>
  <si>
    <t>Insucalz</t>
  </si>
  <si>
    <t>CO0100001196</t>
  </si>
  <si>
    <t>CO57762148</t>
  </si>
  <si>
    <t>CO57762149</t>
  </si>
  <si>
    <t>MALL PLAZA SERVICIOS SAS</t>
  </si>
  <si>
    <t>CO1130000190</t>
  </si>
  <si>
    <t>LAMINADOS JAB</t>
  </si>
  <si>
    <t>CO2530000191</t>
  </si>
  <si>
    <t>INDUSTRIA NACIONAL DE GASEOSAS SA</t>
  </si>
  <si>
    <t>CO1370000192</t>
  </si>
  <si>
    <t>CO6670000193</t>
  </si>
  <si>
    <t>SEM 3</t>
  </si>
  <si>
    <t>SEM 3 - ENE</t>
  </si>
  <si>
    <t>ENERO</t>
  </si>
  <si>
    <t>CO5470000194</t>
  </si>
  <si>
    <t>CENS</t>
  </si>
  <si>
    <t>SEM 1</t>
  </si>
  <si>
    <t>SEM 1 - ENE</t>
  </si>
  <si>
    <t>CO2370000195</t>
  </si>
  <si>
    <t>CO1170000196</t>
  </si>
  <si>
    <t>CO5070000197</t>
  </si>
  <si>
    <t>EMSA</t>
  </si>
  <si>
    <t>CO7370000198</t>
  </si>
  <si>
    <t>CELSIA</t>
  </si>
  <si>
    <t>CO4170000199</t>
  </si>
  <si>
    <t>ELECTROHUILA</t>
  </si>
  <si>
    <t>SEM 4</t>
  </si>
  <si>
    <t>SEM 4 - ENE</t>
  </si>
  <si>
    <t>CO4770000200</t>
  </si>
  <si>
    <t>CO2070000201</t>
  </si>
  <si>
    <t>CO6870000202</t>
  </si>
  <si>
    <t>CO1570000203</t>
  </si>
  <si>
    <t>EBSA</t>
  </si>
  <si>
    <t>CO8570000204</t>
  </si>
  <si>
    <t>ENERCA</t>
  </si>
  <si>
    <t>CO7070000205</t>
  </si>
  <si>
    <t>CO6870000206</t>
  </si>
  <si>
    <t>CO0870000207</t>
  </si>
  <si>
    <t>CO2570000248</t>
  </si>
  <si>
    <t>PIKO RIKO</t>
  </si>
  <si>
    <t>CO0500001004</t>
  </si>
  <si>
    <t>CO0500001002</t>
  </si>
  <si>
    <t>CO0500001001</t>
  </si>
  <si>
    <t>CO0500001003</t>
  </si>
  <si>
    <t>CO0500001333</t>
  </si>
  <si>
    <t>CO0000001062</t>
  </si>
  <si>
    <t>CO0500001332</t>
  </si>
  <si>
    <t>CO0500001532</t>
  </si>
  <si>
    <t>CO2350000218</t>
  </si>
  <si>
    <t>VARIETALES</t>
  </si>
  <si>
    <t>CO1180000208</t>
  </si>
  <si>
    <t>CO1180000209</t>
  </si>
  <si>
    <t>RAPPI TURBO</t>
  </si>
  <si>
    <t>CO7660000219</t>
  </si>
  <si>
    <t>CO7660000220</t>
  </si>
  <si>
    <t>DLK SAS</t>
  </si>
  <si>
    <t>CO1140000223</t>
  </si>
  <si>
    <t>DICEL</t>
  </si>
  <si>
    <t>CO1140000224</t>
  </si>
  <si>
    <t>CO1140000225</t>
  </si>
  <si>
    <t>CO1140000226</t>
  </si>
  <si>
    <t>CO1140000227</t>
  </si>
  <si>
    <t>CO1140000228</t>
  </si>
  <si>
    <t>CO1140000229</t>
  </si>
  <si>
    <t>CO1140000230</t>
  </si>
  <si>
    <t>CO0000001019</t>
  </si>
  <si>
    <t>CO0000001020</t>
  </si>
  <si>
    <t>SEVEN COMPANY</t>
  </si>
  <si>
    <t>CO0100001198</t>
  </si>
  <si>
    <t>LUXURY PLAST</t>
  </si>
  <si>
    <t>CO2530000222</t>
  </si>
  <si>
    <t>CO0100000994</t>
  </si>
  <si>
    <t>CO1100000241</t>
  </si>
  <si>
    <t>CO1100000242</t>
  </si>
  <si>
    <t>INNOMED SA</t>
  </si>
  <si>
    <t>CO0400001203</t>
  </si>
  <si>
    <t>CO1120000244</t>
  </si>
  <si>
    <t>MILENIUM</t>
  </si>
  <si>
    <t>CO0100001710</t>
  </si>
  <si>
    <t>CO1130000246</t>
  </si>
  <si>
    <t>CO1130000247</t>
  </si>
  <si>
    <t>CO0100000937</t>
  </si>
  <si>
    <t>CO0100000938</t>
  </si>
  <si>
    <t>Nayre Flowers</t>
  </si>
  <si>
    <t>CO0400001049</t>
  </si>
  <si>
    <t>Buffalo Wings 2</t>
  </si>
  <si>
    <t>CO1150000233</t>
  </si>
  <si>
    <t>CO0100001061</t>
  </si>
  <si>
    <t>CO1150000235</t>
  </si>
  <si>
    <t>CO1150000236</t>
  </si>
  <si>
    <t>CO1150000237</t>
  </si>
  <si>
    <t>CO1150000238</t>
  </si>
  <si>
    <t>CO1150000239</t>
  </si>
  <si>
    <t>WOMA</t>
  </si>
  <si>
    <t>CO0500001025</t>
  </si>
  <si>
    <t>PRIME BURGERS</t>
  </si>
  <si>
    <t>CO0100000939</t>
  </si>
  <si>
    <t>FMO</t>
  </si>
  <si>
    <t>CO1160000251</t>
  </si>
  <si>
    <t>MIMI</t>
  </si>
  <si>
    <t>CO0500001026</t>
  </si>
  <si>
    <t>CO0500001024</t>
  </si>
  <si>
    <t>CO0500001048</t>
  </si>
  <si>
    <t>CO0500001047</t>
  </si>
  <si>
    <t>HOME DREAM</t>
  </si>
  <si>
    <t>CO0500001190</t>
  </si>
  <si>
    <t>INVERAL</t>
  </si>
  <si>
    <t>CO0500000946</t>
  </si>
  <si>
    <t>CO0820000271</t>
  </si>
  <si>
    <t>CO0820000272</t>
  </si>
  <si>
    <t>BANCO COOPCENTRAL</t>
  </si>
  <si>
    <t>CO0800001013</t>
  </si>
  <si>
    <t>CO0200001016</t>
  </si>
  <si>
    <t>CO1160000273</t>
  </si>
  <si>
    <t>BURGER DEPOT</t>
  </si>
  <si>
    <t>CO1130000279</t>
  </si>
  <si>
    <t>SAN BASILIO</t>
  </si>
  <si>
    <t>CO0580000285</t>
  </si>
  <si>
    <t>CO0580000280</t>
  </si>
  <si>
    <t>CO0580000281</t>
  </si>
  <si>
    <t>CO0580000282</t>
  </si>
  <si>
    <t>CO0580000283</t>
  </si>
  <si>
    <t>CO0580000284</t>
  </si>
  <si>
    <t>WYNWOOD</t>
  </si>
  <si>
    <t>CO1310000286</t>
  </si>
  <si>
    <t>CO1310000287</t>
  </si>
  <si>
    <t>CO1310000288</t>
  </si>
  <si>
    <t>CO1310000289</t>
  </si>
  <si>
    <t>CO1310000290</t>
  </si>
  <si>
    <t>CO1310000291</t>
  </si>
  <si>
    <t>CO1310000292</t>
  </si>
  <si>
    <t>CO1310000293</t>
  </si>
  <si>
    <t>CO1310000294</t>
  </si>
  <si>
    <t>CO1310000295</t>
  </si>
  <si>
    <t>CASINO ESPAÑA</t>
  </si>
  <si>
    <t>CO0500001023</t>
  </si>
  <si>
    <t>MADISON</t>
  </si>
  <si>
    <t>CO6800000297</t>
  </si>
  <si>
    <t>CO0510000298</t>
  </si>
  <si>
    <t>CO0520000299</t>
  </si>
  <si>
    <t>CO0530000300</t>
  </si>
  <si>
    <t>CO0540000301</t>
  </si>
  <si>
    <t>CO0550000302</t>
  </si>
  <si>
    <t>CO0560000303</t>
  </si>
  <si>
    <t>CO0560000304</t>
  </si>
  <si>
    <t>CO0580000305</t>
  </si>
  <si>
    <t>VERDI</t>
  </si>
  <si>
    <t>CO0100001018</t>
  </si>
  <si>
    <t>BACO FOODS</t>
  </si>
  <si>
    <t>CO1150000308</t>
  </si>
  <si>
    <t>CO1150000309</t>
  </si>
  <si>
    <t>CO1150000310</t>
  </si>
  <si>
    <t>CO1150000311</t>
  </si>
  <si>
    <t>CO1150000312</t>
  </si>
  <si>
    <t>ACONDESA</t>
  </si>
  <si>
    <t>CO0500000024</t>
  </si>
  <si>
    <t>CO0500000019</t>
  </si>
  <si>
    <t>CO0500000032</t>
  </si>
  <si>
    <t>CO0500000029</t>
  </si>
  <si>
    <t>CO0500000009</t>
  </si>
  <si>
    <t>CO0500000011</t>
  </si>
  <si>
    <t>CO0500000012</t>
  </si>
  <si>
    <t>CO0500000010</t>
  </si>
  <si>
    <t>CO0500000020</t>
  </si>
  <si>
    <t>CO0500000025</t>
  </si>
  <si>
    <t>CO0500000027</t>
  </si>
  <si>
    <t>CO0500000023</t>
  </si>
  <si>
    <t>CO0500000031</t>
  </si>
  <si>
    <t>CO0500000033</t>
  </si>
  <si>
    <t>CO0500000028</t>
  </si>
  <si>
    <t>CO0500000018</t>
  </si>
  <si>
    <t>CO0500000026</t>
  </si>
  <si>
    <t>CO0500000021</t>
  </si>
  <si>
    <t>CO0500000022</t>
  </si>
  <si>
    <t>CO0500000030</t>
  </si>
  <si>
    <t>INDUSTRIAS Y CHURROS DE COLOMBIA</t>
  </si>
  <si>
    <t>CO0400000042</t>
  </si>
  <si>
    <t>CO0400000043</t>
  </si>
  <si>
    <t>CO0400000041</t>
  </si>
  <si>
    <t>CO0500001009</t>
  </si>
  <si>
    <t>CO0500001010</t>
  </si>
  <si>
    <t>CO0000000016</t>
  </si>
  <si>
    <t>CO0000000015</t>
  </si>
  <si>
    <t>CO0100000017</t>
  </si>
  <si>
    <t>CO0500000014</t>
  </si>
  <si>
    <t>CO0200000013</t>
  </si>
  <si>
    <t>CARIBE BROCHAS Y HERRAMIENTAS</t>
  </si>
  <si>
    <t>CO0100000038</t>
  </si>
  <si>
    <t>CO0100000039</t>
  </si>
  <si>
    <t>ONAPO</t>
  </si>
  <si>
    <t>CO0500000047</t>
  </si>
  <si>
    <t>WEWORK</t>
  </si>
  <si>
    <t>CO0400000120</t>
  </si>
  <si>
    <t>CO0400000054</t>
  </si>
  <si>
    <t>CO0400000055</t>
  </si>
  <si>
    <t>CO0400000056</t>
  </si>
  <si>
    <t>CO0400000057</t>
  </si>
  <si>
    <t>CO0400000058</t>
  </si>
  <si>
    <t>CO0400000059</t>
  </si>
  <si>
    <t>CO0400000060</t>
  </si>
  <si>
    <t>CO0400000061</t>
  </si>
  <si>
    <t>CO0400000062</t>
  </si>
  <si>
    <t>CO0400000063</t>
  </si>
  <si>
    <t>CO0400000064</t>
  </si>
  <si>
    <t>CO0400000065</t>
  </si>
  <si>
    <t>CO0400000066</t>
  </si>
  <si>
    <t>CO0400000067</t>
  </si>
  <si>
    <t>CO0400000068</t>
  </si>
  <si>
    <t>CO0400000069</t>
  </si>
  <si>
    <t>CO0400000070</t>
  </si>
  <si>
    <t>CO0400000071</t>
  </si>
  <si>
    <t>CO0400000072</t>
  </si>
  <si>
    <t>CO0400000073</t>
  </si>
  <si>
    <t>CO0400000074</t>
  </si>
  <si>
    <t>CO0400000075</t>
  </si>
  <si>
    <t>CO0400000076</t>
  </si>
  <si>
    <t>CO0400000077</t>
  </si>
  <si>
    <t>CO0400000078</t>
  </si>
  <si>
    <t>CO0400000079</t>
  </si>
  <si>
    <t>CO0400000080</t>
  </si>
  <si>
    <t>CO0400000081</t>
  </si>
  <si>
    <t>CO0400000082</t>
  </si>
  <si>
    <t>CO0400000083</t>
  </si>
  <si>
    <t>CO0400000084</t>
  </si>
  <si>
    <t>CO0400000085</t>
  </si>
  <si>
    <t>CO0400000086</t>
  </si>
  <si>
    <t>CO0400000087</t>
  </si>
  <si>
    <t>CO0400000088</t>
  </si>
  <si>
    <t>CO0400000089</t>
  </si>
  <si>
    <t>CO0400000090</t>
  </si>
  <si>
    <t>CO0400000091</t>
  </si>
  <si>
    <t>CO0400000092</t>
  </si>
  <si>
    <t>CO0400000093</t>
  </si>
  <si>
    <t>CO0400000094</t>
  </si>
  <si>
    <t>CO0400000095</t>
  </si>
  <si>
    <t>CO0400000096</t>
  </si>
  <si>
    <t>CO0400000097</t>
  </si>
  <si>
    <t>CO0400000098</t>
  </si>
  <si>
    <t>CO0400000099</t>
  </si>
  <si>
    <t>CO0400000100</t>
  </si>
  <si>
    <t>CO0400000101</t>
  </si>
  <si>
    <t>CO0400000102</t>
  </si>
  <si>
    <t>CO0400000103</t>
  </si>
  <si>
    <t>CO0400000104</t>
  </si>
  <si>
    <t>CO0400000105</t>
  </si>
  <si>
    <t>CO0400000106</t>
  </si>
  <si>
    <t>CO0400000107</t>
  </si>
  <si>
    <t>CO0400000108</t>
  </si>
  <si>
    <t>CO0400000109</t>
  </si>
  <si>
    <t>CO0400000110</t>
  </si>
  <si>
    <t>CO0400000111</t>
  </si>
  <si>
    <t>CO0400000112</t>
  </si>
  <si>
    <t>CO0400000113</t>
  </si>
  <si>
    <t>CO0400000114</t>
  </si>
  <si>
    <t>CO0400000115</t>
  </si>
  <si>
    <t>CO0400000116</t>
  </si>
  <si>
    <t>CO0400000117</t>
  </si>
  <si>
    <t>CO0400000118</t>
  </si>
  <si>
    <t>CO0400000119</t>
  </si>
  <si>
    <t>CO0400000053</t>
  </si>
  <si>
    <t>TORO MCCOY</t>
  </si>
  <si>
    <t>CO0800000050</t>
  </si>
  <si>
    <t>CO0500000048</t>
  </si>
  <si>
    <t>MEZ PLASTIC</t>
  </si>
  <si>
    <t>CO0100000130</t>
  </si>
  <si>
    <t>CO0400000051</t>
  </si>
  <si>
    <t>CO0400000052</t>
  </si>
  <si>
    <t>CO0400000049</t>
  </si>
  <si>
    <t>MOVET</t>
  </si>
  <si>
    <t>CO0100000998</t>
  </si>
  <si>
    <t>SABINA</t>
  </si>
  <si>
    <t>CO0500000122</t>
  </si>
  <si>
    <t>SEM 2 - ENE</t>
  </si>
  <si>
    <t>CO0500000121</t>
  </si>
  <si>
    <t>HOTEL ITACO</t>
  </si>
  <si>
    <t>CO0100001017</t>
  </si>
  <si>
    <t>ESTILO INGENIERIA</t>
  </si>
  <si>
    <t>CO0400001079</t>
  </si>
  <si>
    <t>CO0400001080</t>
  </si>
  <si>
    <t>CO0400001066</t>
  </si>
  <si>
    <t>CO0500000944</t>
  </si>
  <si>
    <t>CO0500000950</t>
  </si>
  <si>
    <t>CO0500000955</t>
  </si>
  <si>
    <t>CO0500000954</t>
  </si>
  <si>
    <t>CO0500000949</t>
  </si>
  <si>
    <t>CO0500000947</t>
  </si>
  <si>
    <t>CO0500000941</t>
  </si>
  <si>
    <t>CO0500000940</t>
  </si>
  <si>
    <t>CO0500000943</t>
  </si>
  <si>
    <t>CO0500000956</t>
  </si>
  <si>
    <t>CO0500000952</t>
  </si>
  <si>
    <t>CO0500000942</t>
  </si>
  <si>
    <t>CO0500000957</t>
  </si>
  <si>
    <t>CO0500000958</t>
  </si>
  <si>
    <t>CO0500000951</t>
  </si>
  <si>
    <t>CO0500000953</t>
  </si>
  <si>
    <t>CO0500000945</t>
  </si>
  <si>
    <t>CO0500000948</t>
  </si>
  <si>
    <t>LOCCITANE</t>
  </si>
  <si>
    <t>CO0400001052</t>
  </si>
  <si>
    <t>CO0400001050</t>
  </si>
  <si>
    <t>CO0400001051</t>
  </si>
  <si>
    <t>HIJOS DE SANCHO</t>
  </si>
  <si>
    <t>CO0500001046</t>
  </si>
  <si>
    <t>MESA SAVAJE</t>
  </si>
  <si>
    <t>CO0100001168</t>
  </si>
  <si>
    <t>CO0500001081</t>
  </si>
  <si>
    <t>CO0500001082</t>
  </si>
  <si>
    <t>EME RECREATIVOS</t>
  </si>
  <si>
    <t>CO0200000934</t>
  </si>
  <si>
    <t>LA IMPRENTA</t>
  </si>
  <si>
    <t>CO0100001214</t>
  </si>
  <si>
    <t>CO0100001213</t>
  </si>
  <si>
    <t>CO0100001212</t>
  </si>
  <si>
    <t>SALVIO</t>
  </si>
  <si>
    <t>CO0100001262</t>
  </si>
  <si>
    <t>CO0100001263</t>
  </si>
  <si>
    <t>CO0100001264</t>
  </si>
  <si>
    <t>CO0100001265</t>
  </si>
  <si>
    <t>CO0100001266</t>
  </si>
  <si>
    <t>CO0100001267</t>
  </si>
  <si>
    <t>CO0100001268</t>
  </si>
  <si>
    <t>CO0100001269</t>
  </si>
  <si>
    <t>CO0100001270</t>
  </si>
  <si>
    <t>CO0100001271</t>
  </si>
  <si>
    <t>CO0100001272</t>
  </si>
  <si>
    <t>CO0100001273</t>
  </si>
  <si>
    <t>CO0100001274</t>
  </si>
  <si>
    <t>CO0100001275</t>
  </si>
  <si>
    <t>CO0100001276</t>
  </si>
  <si>
    <t>CO0100001277</t>
  </si>
  <si>
    <t>CO0100001278</t>
  </si>
  <si>
    <t>CO0100001279</t>
  </si>
  <si>
    <t>CO0100001280</t>
  </si>
  <si>
    <t>CO0100001281</t>
  </si>
  <si>
    <t>CO0100001282</t>
  </si>
  <si>
    <t>CO0100001283</t>
  </si>
  <si>
    <t>CO0100001284</t>
  </si>
  <si>
    <t>CO0100001302</t>
  </si>
  <si>
    <t>CO0100001303</t>
  </si>
  <si>
    <t>CO0100001304</t>
  </si>
  <si>
    <t>CO0100001305</t>
  </si>
  <si>
    <t>CO0100001306</t>
  </si>
  <si>
    <t>CO0100001307</t>
  </si>
  <si>
    <t>CO0100001308</t>
  </si>
  <si>
    <t>CO0100001309</t>
  </si>
  <si>
    <t>CO0100001260</t>
  </si>
  <si>
    <t>CO0100001261</t>
  </si>
  <si>
    <t>CO0100001285</t>
  </si>
  <si>
    <t>CO0100001286</t>
  </si>
  <si>
    <t>CO0100001287</t>
  </si>
  <si>
    <t>CO0100001288</t>
  </si>
  <si>
    <t>CO0100001289</t>
  </si>
  <si>
    <t>CO0100001290</t>
  </si>
  <si>
    <t>CO0100001291</t>
  </si>
  <si>
    <t>CO0100001292</t>
  </si>
  <si>
    <t>CO0100001293</t>
  </si>
  <si>
    <t>CO0100001294</t>
  </si>
  <si>
    <t>CO0100001295</t>
  </si>
  <si>
    <t>CO0100001296</t>
  </si>
  <si>
    <t>CO0100001297</t>
  </si>
  <si>
    <t>CO0100001298</t>
  </si>
  <si>
    <t>CO0100001299</t>
  </si>
  <si>
    <t>CO0100001300</t>
  </si>
  <si>
    <t>CO0100001301</t>
  </si>
  <si>
    <t>CO0100001325</t>
  </si>
  <si>
    <t>CO0100001319</t>
  </si>
  <si>
    <t>CO0100001324</t>
  </si>
  <si>
    <t>CO0100001310</t>
  </si>
  <si>
    <t>CO0100001322</t>
  </si>
  <si>
    <t>CO0100001323</t>
  </si>
  <si>
    <t>CO0100001320</t>
  </si>
  <si>
    <t>CO0100001312</t>
  </si>
  <si>
    <t>CO0100001313</t>
  </si>
  <si>
    <t>CO0100001314</t>
  </si>
  <si>
    <t>CO0100001315</t>
  </si>
  <si>
    <t>CO0100001316</t>
  </si>
  <si>
    <t>CO0100001317</t>
  </si>
  <si>
    <t>CO0100001311</t>
  </si>
  <si>
    <t>CO0100001318</t>
  </si>
  <si>
    <t>CO0100001259</t>
  </si>
  <si>
    <t>CO0100001321</t>
  </si>
  <si>
    <t>CO0100001326</t>
  </si>
  <si>
    <t>CO0100001258</t>
  </si>
  <si>
    <t>LULO BANK</t>
  </si>
  <si>
    <t>CO0100001331</t>
  </si>
  <si>
    <t>COOPERATIVA MULTIACTIVA DE COMERCIANTES Y PRODUCTORES AGRICOLAS</t>
  </si>
  <si>
    <t>CO0500000663</t>
  </si>
  <si>
    <t>QI ENERGY</t>
  </si>
  <si>
    <t>VO5</t>
  </si>
  <si>
    <t>CO0200001187</t>
  </si>
  <si>
    <t>EDEQ</t>
  </si>
  <si>
    <t>CO0800001179</t>
  </si>
  <si>
    <t>CO0800001180</t>
  </si>
  <si>
    <t>CO0800001178</t>
  </si>
  <si>
    <t>CO0600001181</t>
  </si>
  <si>
    <t>CO0800001189</t>
  </si>
  <si>
    <t>CO0500001174</t>
  </si>
  <si>
    <t>CO0500001173</t>
  </si>
  <si>
    <t>CO0500001172</t>
  </si>
  <si>
    <t>CO0500001171</t>
  </si>
  <si>
    <t>CO0100001170</t>
  </si>
  <si>
    <t>CO0200001186</t>
  </si>
  <si>
    <t>CO0200001185</t>
  </si>
  <si>
    <t>CO0800001175</t>
  </si>
  <si>
    <t>CELSIA TOLIMA</t>
  </si>
  <si>
    <t>CO0200001177</t>
  </si>
  <si>
    <t>CETSA</t>
  </si>
  <si>
    <t>No (-)</t>
  </si>
  <si>
    <t>CO0800001188</t>
  </si>
  <si>
    <t>CO0800001176</t>
  </si>
  <si>
    <t>CEO</t>
  </si>
  <si>
    <t>CO0200001183</t>
  </si>
  <si>
    <t>CJ TEXTILES</t>
  </si>
  <si>
    <t>CO0400001340</t>
  </si>
  <si>
    <t>CO0400001339</t>
  </si>
  <si>
    <t>SPARTA</t>
  </si>
  <si>
    <t>CO0200001338</t>
  </si>
  <si>
    <t>CO0200001337</t>
  </si>
  <si>
    <t>CBC</t>
  </si>
  <si>
    <t>CO0400001355</t>
  </si>
  <si>
    <t>CO0200001354</t>
  </si>
  <si>
    <t>CO0200001353</t>
  </si>
  <si>
    <t>CO0200001352</t>
  </si>
  <si>
    <t>CO0200001351</t>
  </si>
  <si>
    <t>CO0200001350</t>
  </si>
  <si>
    <t>SABANILLA</t>
  </si>
  <si>
    <t>CO0400001348</t>
  </si>
  <si>
    <t>ALIMENTARIAS SIGLO XXI</t>
  </si>
  <si>
    <t>CO0200001349</t>
  </si>
  <si>
    <t>INVERBURGER</t>
  </si>
  <si>
    <t>CO0100001392</t>
  </si>
  <si>
    <t>CO0100001391</t>
  </si>
  <si>
    <t>Bogotá Americas Centro empresarial</t>
  </si>
  <si>
    <t>CO0100001396</t>
  </si>
  <si>
    <t>KFC</t>
  </si>
  <si>
    <t>CO0800001428</t>
  </si>
  <si>
    <t>CO0500001436</t>
  </si>
  <si>
    <t>CO0100001401</t>
  </si>
  <si>
    <t>CO0200001422</t>
  </si>
  <si>
    <t>CO0100001406</t>
  </si>
  <si>
    <t>CO0500001435</t>
  </si>
  <si>
    <t>CO0200001423</t>
  </si>
  <si>
    <t>CO0400001397</t>
  </si>
  <si>
    <t>CO0100001416</t>
  </si>
  <si>
    <t>CO0400001399</t>
  </si>
  <si>
    <t>CO0100001408</t>
  </si>
  <si>
    <t>CO0100001410</t>
  </si>
  <si>
    <t>CO0100001411</t>
  </si>
  <si>
    <t>CO0100001414</t>
  </si>
  <si>
    <t>CO0100001415</t>
  </si>
  <si>
    <t>CO0100001417</t>
  </si>
  <si>
    <t>CO0100001418</t>
  </si>
  <si>
    <t>CO0200001419</t>
  </si>
  <si>
    <t>CO0200001420</t>
  </si>
  <si>
    <t>CO0200001421</t>
  </si>
  <si>
    <t>CO0500001429</t>
  </si>
  <si>
    <t>CO0500001431</t>
  </si>
  <si>
    <t>CO0500001432</t>
  </si>
  <si>
    <t>CO0500001433</t>
  </si>
  <si>
    <t>CO0500001434</t>
  </si>
  <si>
    <t>CO0100001407</t>
  </si>
  <si>
    <t>CO0100001409</t>
  </si>
  <si>
    <t>CO0700001427</t>
  </si>
  <si>
    <t>CO0600001425</t>
  </si>
  <si>
    <t>CO0100001403</t>
  </si>
  <si>
    <t>CO0100001404</t>
  </si>
  <si>
    <t>CO0800001424</t>
  </si>
  <si>
    <t>CO0500001430</t>
  </si>
  <si>
    <t>CO0400001398</t>
  </si>
  <si>
    <t>CO0400001400</t>
  </si>
  <si>
    <t>CO0100001405</t>
  </si>
  <si>
    <t>CO0100001402</t>
  </si>
  <si>
    <t>CO0100001412</t>
  </si>
  <si>
    <t>CO0100001413</t>
  </si>
  <si>
    <t>CO0600001426</t>
  </si>
  <si>
    <t>CHEF BURGER</t>
  </si>
  <si>
    <t>CO0400001447</t>
  </si>
  <si>
    <t>CO0400001446</t>
  </si>
  <si>
    <t>INMACULADA GUADALUPE</t>
  </si>
  <si>
    <t>CO0500001445</t>
  </si>
  <si>
    <t>SEM 1 - FEB</t>
  </si>
  <si>
    <t>FEBRERO</t>
  </si>
  <si>
    <t>COLVINSA</t>
  </si>
  <si>
    <t>CO0400001443</t>
  </si>
  <si>
    <t>SPOLETO</t>
  </si>
  <si>
    <t>CO0100001531</t>
  </si>
  <si>
    <t>CO0800001530</t>
  </si>
  <si>
    <t>MZK</t>
  </si>
  <si>
    <t>CO0200001438</t>
  </si>
  <si>
    <t>SAZERAK</t>
  </si>
  <si>
    <t>CO0100001437</t>
  </si>
  <si>
    <t>CO0400001529</t>
  </si>
  <si>
    <t>CO0100001528</t>
  </si>
  <si>
    <t>Farmatodo</t>
  </si>
  <si>
    <t>CO0200001468</t>
  </si>
  <si>
    <t>CO0200001467</t>
  </si>
  <si>
    <t>CO0100001466</t>
  </si>
  <si>
    <t>CO0100001465</t>
  </si>
  <si>
    <t>CO0100001464</t>
  </si>
  <si>
    <t>CO0100001463</t>
  </si>
  <si>
    <t>CO0100001462</t>
  </si>
  <si>
    <t>CO0100001461</t>
  </si>
  <si>
    <t>CO0100001460</t>
  </si>
  <si>
    <t>CO0100001459</t>
  </si>
  <si>
    <t>CO0100001458</t>
  </si>
  <si>
    <t>CO0100001457</t>
  </si>
  <si>
    <t>CO0100001456</t>
  </si>
  <si>
    <t>CO0100001455</t>
  </si>
  <si>
    <t>CO0500001454</t>
  </si>
  <si>
    <t>BMP Bolivar SAS</t>
  </si>
  <si>
    <t>CO0500001471</t>
  </si>
  <si>
    <t>PRODIPOL</t>
  </si>
  <si>
    <t>CO0100001346</t>
  </si>
  <si>
    <t>CO0100001345</t>
  </si>
  <si>
    <t>CO0100001344</t>
  </si>
  <si>
    <t>CO0100001343</t>
  </si>
  <si>
    <t>CO0100001342</t>
  </si>
  <si>
    <t>COMPRA DE CAFE TRUJILLO DURAN</t>
  </si>
  <si>
    <t>CO0800001386</t>
  </si>
  <si>
    <t>LUM LOGISTIC</t>
  </si>
  <si>
    <t>CO0100001480</t>
  </si>
  <si>
    <t>CO0100001479</t>
  </si>
  <si>
    <t>CO0100001478</t>
  </si>
  <si>
    <t>CO0100001477</t>
  </si>
  <si>
    <t>CO0100001476</t>
  </si>
  <si>
    <t>CO0100001475</t>
  </si>
  <si>
    <t>CO0100001474</t>
  </si>
  <si>
    <t>Colo Coffee SAS</t>
  </si>
  <si>
    <t>CO0100001330</t>
  </si>
  <si>
    <t>CO0100001329</t>
  </si>
  <si>
    <t>CO0100001328</t>
  </si>
  <si>
    <t>CO0100001327</t>
  </si>
  <si>
    <t>INVERSIONES INT COLOMBIA SAS - ROOSVELT</t>
  </si>
  <si>
    <t>CO0400001194</t>
  </si>
  <si>
    <t>PLUS VIVIENDA LTDA</t>
  </si>
  <si>
    <t>CO0100001097</t>
  </si>
  <si>
    <t>The Pub SAS</t>
  </si>
  <si>
    <t>CO0100001092</t>
  </si>
  <si>
    <t>CO0100001083</t>
  </si>
  <si>
    <t>CO0100001087</t>
  </si>
  <si>
    <t>CO0100001089</t>
  </si>
  <si>
    <t>CO0100001091</t>
  </si>
  <si>
    <t>CO0100001095</t>
  </si>
  <si>
    <t>CO0100001096</t>
  </si>
  <si>
    <t>CO0100001088</t>
  </si>
  <si>
    <t>CO0100001085</t>
  </si>
  <si>
    <t>CO0100001084</t>
  </si>
  <si>
    <t>CO0100001086</t>
  </si>
  <si>
    <t>CO0100001094</t>
  </si>
  <si>
    <t>CO0100001093</t>
  </si>
  <si>
    <t>CO0100001090</t>
  </si>
  <si>
    <t>HEYDAY</t>
  </si>
  <si>
    <t>CO0600000997</t>
  </si>
  <si>
    <t>ALMACENES MAXIMO</t>
  </si>
  <si>
    <t>CO0800001384</t>
  </si>
  <si>
    <t>CO0400001383</t>
  </si>
  <si>
    <t>CO0400001382</t>
  </si>
  <si>
    <t>CO0400001381</t>
  </si>
  <si>
    <t>CO0400001380</t>
  </si>
  <si>
    <t>CO0400001379</t>
  </si>
  <si>
    <t>CO0500001378</t>
  </si>
  <si>
    <t>CO0500001377</t>
  </si>
  <si>
    <t>CO0400001376</t>
  </si>
  <si>
    <t>CO0400001375</t>
  </si>
  <si>
    <t>CO0400001374</t>
  </si>
  <si>
    <t>CO0400001373</t>
  </si>
  <si>
    <t>CO0400001372</t>
  </si>
  <si>
    <t>CO0400001371</t>
  </si>
  <si>
    <t>CO0400001370</t>
  </si>
  <si>
    <t>CO0400001369</t>
  </si>
  <si>
    <t>CO0400001368</t>
  </si>
  <si>
    <t>CO0400001367</t>
  </si>
  <si>
    <t>CO0400001366</t>
  </si>
  <si>
    <t>CO0400001365</t>
  </si>
  <si>
    <t>CO0800001364</t>
  </si>
  <si>
    <t>CO0800001363</t>
  </si>
  <si>
    <t>CO0800001362</t>
  </si>
  <si>
    <t>AYE ASOCIADOS</t>
  </si>
  <si>
    <t>CO0800000881</t>
  </si>
  <si>
    <t>CASINOS ESPAÑA</t>
  </si>
  <si>
    <t>CO0500001054</t>
  </si>
  <si>
    <t>INVERSIONES LJC SAS</t>
  </si>
  <si>
    <t>CO0800000506</t>
  </si>
  <si>
    <t>CO0100001347</t>
  </si>
  <si>
    <t>CO0500001485</t>
  </si>
  <si>
    <t>SEM 2 - FEB</t>
  </si>
  <si>
    <t>YONATAN GONZALEZ</t>
  </si>
  <si>
    <t>CO0800000230</t>
  </si>
  <si>
    <t>Gho Hoteles</t>
  </si>
  <si>
    <t>CO0100001493</t>
  </si>
  <si>
    <t>CO0600001494</t>
  </si>
  <si>
    <t>CO0200001496</t>
  </si>
  <si>
    <t>CO0200001495</t>
  </si>
  <si>
    <t>Taescol</t>
  </si>
  <si>
    <t>CO0100001501</t>
  </si>
  <si>
    <t>DICELER</t>
  </si>
  <si>
    <t>CO0100001502</t>
  </si>
  <si>
    <t>MANUFACTURAS LOROS SAS</t>
  </si>
  <si>
    <t>CO0100001499</t>
  </si>
  <si>
    <t>PROMOTORA BELLATRIX SAS</t>
  </si>
  <si>
    <t>CO0100001525</t>
  </si>
  <si>
    <t>CO0100001524</t>
  </si>
  <si>
    <t>CO0100001523</t>
  </si>
  <si>
    <t>CO0100001522</t>
  </si>
  <si>
    <t>CO0100001521</t>
  </si>
  <si>
    <t>CO0100001520</t>
  </si>
  <si>
    <t>CO0100001519</t>
  </si>
  <si>
    <t>CO0100001518</t>
  </si>
  <si>
    <t>CO0100001517</t>
  </si>
  <si>
    <t>CO0100001516</t>
  </si>
  <si>
    <t>CO0100001515</t>
  </si>
  <si>
    <t>CO0100001514</t>
  </si>
  <si>
    <t>CO0100001513</t>
  </si>
  <si>
    <t>CO0100001512</t>
  </si>
  <si>
    <t>CO0100001511</t>
  </si>
  <si>
    <t>CO0100001510</t>
  </si>
  <si>
    <t>CO0100001509</t>
  </si>
  <si>
    <t>CO0100001508</t>
  </si>
  <si>
    <t>CO0100001507</t>
  </si>
  <si>
    <t>Inversiones Khimaira Sas</t>
  </si>
  <si>
    <t>CO0100001536</t>
  </si>
  <si>
    <t>SURAMERICA COMERCIAL SAS</t>
  </si>
  <si>
    <t>CO0100001566</t>
  </si>
  <si>
    <t>CO0400001565</t>
  </si>
  <si>
    <t>CO0100001564</t>
  </si>
  <si>
    <t>CO0100001563</t>
  </si>
  <si>
    <t>CO0100001562</t>
  </si>
  <si>
    <t>CO0100001561</t>
  </si>
  <si>
    <t>CO0100001560</t>
  </si>
  <si>
    <t>CO0100001559</t>
  </si>
  <si>
    <t>CO0400001558</t>
  </si>
  <si>
    <t>CO0100001557</t>
  </si>
  <si>
    <t>CO0100001556</t>
  </si>
  <si>
    <t>CO0200001555</t>
  </si>
  <si>
    <t>EEP CARTAGO</t>
  </si>
  <si>
    <t>CO0500001554</t>
  </si>
  <si>
    <t>CO0200001553</t>
  </si>
  <si>
    <t>CO0200001552</t>
  </si>
  <si>
    <t>CO0200001551</t>
  </si>
  <si>
    <t>CO0200001550</t>
  </si>
  <si>
    <t>CO0200001549</t>
  </si>
  <si>
    <t>CO0800001548</t>
  </si>
  <si>
    <t>CO0800001547</t>
  </si>
  <si>
    <t>CO0800001546</t>
  </si>
  <si>
    <t>CO0800001545</t>
  </si>
  <si>
    <t>CO0500001544</t>
  </si>
  <si>
    <t>CO0500001543</t>
  </si>
  <si>
    <t>CO0500001542</t>
  </si>
  <si>
    <t>CO0500001541</t>
  </si>
  <si>
    <t>CO0500001540</t>
  </si>
  <si>
    <t>CO0500001539</t>
  </si>
  <si>
    <t>CENTRIPLAST SAS</t>
  </si>
  <si>
    <t>CO0100001588</t>
  </si>
  <si>
    <t>El Templo de la Moda Fresca SAS</t>
  </si>
  <si>
    <t>CO0800001609</t>
  </si>
  <si>
    <t>CO0800001608</t>
  </si>
  <si>
    <t>CO0800001607</t>
  </si>
  <si>
    <t>CO0800001606</t>
  </si>
  <si>
    <t>CO0800001605</t>
  </si>
  <si>
    <t>CO0800001604</t>
  </si>
  <si>
    <t>CO0800001603</t>
  </si>
  <si>
    <t>CO0800001602</t>
  </si>
  <si>
    <t>CO0500001601</t>
  </si>
  <si>
    <t>ENEL X</t>
  </si>
  <si>
    <t>CO0800001600</t>
  </si>
  <si>
    <t>CO0800001599</t>
  </si>
  <si>
    <t>CO0500001598</t>
  </si>
  <si>
    <t>CO0500001597</t>
  </si>
  <si>
    <t>CO0100001596</t>
  </si>
  <si>
    <t>Red Global Park</t>
  </si>
  <si>
    <t>CO0500001573</t>
  </si>
  <si>
    <t>EPS RADIOLOGOS PEREZ Y ASOCIADOS</t>
  </si>
  <si>
    <t>CO0500001572</t>
  </si>
  <si>
    <t>ALIMENTOS SAS S.A.S</t>
  </si>
  <si>
    <t>CO0100001571</t>
  </si>
  <si>
    <t>CO0100001570</t>
  </si>
  <si>
    <t>Soluciones Aduaneras</t>
  </si>
  <si>
    <t>CO0500001569</t>
  </si>
  <si>
    <t>SEM 4 - DIC</t>
  </si>
  <si>
    <t>PROEMPACK COLOMBIA SAS</t>
  </si>
  <si>
    <t>CO0100001568</t>
  </si>
  <si>
    <t>CO0100001567</t>
  </si>
  <si>
    <t>GHL HOTELES</t>
  </si>
  <si>
    <t>CO0100001500</t>
  </si>
  <si>
    <t>MACONDO CAPITAL</t>
  </si>
  <si>
    <t>CO0500001590</t>
  </si>
  <si>
    <t>RESTAURANTE PAMPA</t>
  </si>
  <si>
    <t>CO0800001589</t>
  </si>
  <si>
    <t>SOLUCIONES EN INGENIERIA Y SOFTWARE S.A.S</t>
  </si>
  <si>
    <t>CO0800001492</t>
  </si>
  <si>
    <t>PANADERIA GALICIA</t>
  </si>
  <si>
    <t>CO0200001533</t>
  </si>
  <si>
    <t>CEDENAR</t>
  </si>
  <si>
    <t>CO0200001713</t>
  </si>
  <si>
    <t>LIDA CONSTANZA ANACONA FRANCO</t>
  </si>
  <si>
    <t>CO0800001491</t>
  </si>
  <si>
    <t>JORGE EDUARDO CALDERON FIERRO</t>
  </si>
  <si>
    <t>CO0800001387</t>
  </si>
  <si>
    <t>MARCO FELIPE RUIZ CORREA - IMPRESS</t>
  </si>
  <si>
    <t>CO0200001592</t>
  </si>
  <si>
    <t>WM IMPRESORES SA</t>
  </si>
  <si>
    <t>CO0200001482</t>
  </si>
  <si>
    <t>MADERECO DE COLOMBIA SAS</t>
  </si>
  <si>
    <t>CO0800001506</t>
  </si>
  <si>
    <t>ALIMENTOS CHOP SAS</t>
  </si>
  <si>
    <t>CO0100001610</t>
  </si>
  <si>
    <t>CORTEX CORREDOR TEXTILES S.A.S</t>
  </si>
  <si>
    <t>CO0100001595</t>
  </si>
  <si>
    <t>COMAPAN SA</t>
  </si>
  <si>
    <t>CO0100001613</t>
  </si>
  <si>
    <t>CO0100001614</t>
  </si>
  <si>
    <t>CO0100001619</t>
  </si>
  <si>
    <t>CO0100001625</t>
  </si>
  <si>
    <t>CO0100001612</t>
  </si>
  <si>
    <t>CO0100001618</t>
  </si>
  <si>
    <t>CO0100001620</t>
  </si>
  <si>
    <t>CO0100001621</t>
  </si>
  <si>
    <t>CO0100001617</t>
  </si>
  <si>
    <t>CO0100001622</t>
  </si>
  <si>
    <t>CO0100001627</t>
  </si>
  <si>
    <t>CO0100001616</t>
  </si>
  <si>
    <t>CO0100001615</t>
  </si>
  <si>
    <t>Desconectada</t>
  </si>
  <si>
    <t>CO0100001626</t>
  </si>
  <si>
    <t>CO0100001624</t>
  </si>
  <si>
    <t>CO0100001623</t>
  </si>
  <si>
    <t>Auto Stok S.A.S.</t>
  </si>
  <si>
    <t>CO0100001630</t>
  </si>
  <si>
    <t>CO0100001629</t>
  </si>
  <si>
    <t>CO0100001638</t>
  </si>
  <si>
    <t>CO0100001636</t>
  </si>
  <si>
    <t>CO0100001634</t>
  </si>
  <si>
    <t>CO0100001633</t>
  </si>
  <si>
    <t>CO0100001632</t>
  </si>
  <si>
    <t>CO0100001637</t>
  </si>
  <si>
    <t>CO0100001635</t>
  </si>
  <si>
    <t>CO0100001645</t>
  </si>
  <si>
    <t>CO0100001640</t>
  </si>
  <si>
    <t>CO0100001639</t>
  </si>
  <si>
    <t>CO0100001631</t>
  </si>
  <si>
    <t>CO0100001641</t>
  </si>
  <si>
    <t>CO0100001644</t>
  </si>
  <si>
    <t>CO0100001643</t>
  </si>
  <si>
    <t>CO0100001642</t>
  </si>
  <si>
    <t>SKF</t>
  </si>
  <si>
    <t>CO0400001652</t>
  </si>
  <si>
    <t>CO0400001653</t>
  </si>
  <si>
    <t>CO0100001650</t>
  </si>
  <si>
    <t>CO0100001651</t>
  </si>
  <si>
    <t>Lamyflex SA</t>
  </si>
  <si>
    <t>CO0100001675</t>
  </si>
  <si>
    <t>Mandala food</t>
  </si>
  <si>
    <t>CO0100001676</t>
  </si>
  <si>
    <t>Referencias plasticas</t>
  </si>
  <si>
    <t>CO0200001697</t>
  </si>
  <si>
    <t>CO0200001696</t>
  </si>
  <si>
    <t>CO0200001695</t>
  </si>
  <si>
    <t>COMPRA Y VENTA DE CAFE ORO CAFE</t>
  </si>
  <si>
    <t>CO0800001699</t>
  </si>
  <si>
    <t>Evert Trochez Larrahondo</t>
  </si>
  <si>
    <t>CO0800001700</t>
  </si>
  <si>
    <t>DISTRIBUIDORA OCEAN BLUE S.A.S</t>
  </si>
  <si>
    <t>CO0200001701</t>
  </si>
  <si>
    <t>Legado Laurent</t>
  </si>
  <si>
    <t>CO0100001703</t>
  </si>
  <si>
    <t>CO0100001704</t>
  </si>
  <si>
    <t>CO0800001705</t>
  </si>
  <si>
    <t>Inversora los Heroes SAS</t>
  </si>
  <si>
    <t>CO0100001706</t>
  </si>
  <si>
    <t>CO0100001709</t>
  </si>
  <si>
    <t>CO0100001707</t>
  </si>
  <si>
    <t>CO0100001708</t>
  </si>
  <si>
    <t>CENTRO IND COOPERATIVO DE TRABAJO ASOC ALFAREROS</t>
  </si>
  <si>
    <t>CO0500001712</t>
  </si>
  <si>
    <t>WEBSYS S.A.S</t>
  </si>
  <si>
    <t>CO0400001715</t>
  </si>
  <si>
    <t>COMPAC SAS</t>
  </si>
  <si>
    <t>CO0100001716</t>
  </si>
  <si>
    <t>CO0100001717</t>
  </si>
  <si>
    <t>CO0100001718</t>
  </si>
  <si>
    <t>CO0100001719</t>
  </si>
  <si>
    <t>PLASTICOS COHEN E HIJAS S.A.S</t>
  </si>
  <si>
    <t>CO0500001720</t>
  </si>
  <si>
    <t>Etapa 1 (revisión documentaria)</t>
  </si>
  <si>
    <t>CO0100001722</t>
  </si>
  <si>
    <t>CO0100001721</t>
  </si>
  <si>
    <t>CO0100001723</t>
  </si>
  <si>
    <t>BELLO HORIZONTE CONDOMINIO CAMPESTRE</t>
  </si>
  <si>
    <t>CO0200001724</t>
  </si>
  <si>
    <t>Laboratorio Clinico Kheneyzir Fayad</t>
  </si>
  <si>
    <t>CO0500001728</t>
  </si>
  <si>
    <t>Navarra Belleza SAS</t>
  </si>
  <si>
    <t>CO0100001729</t>
  </si>
  <si>
    <t>De Moda SAS</t>
  </si>
  <si>
    <t>CO0800001749</t>
  </si>
  <si>
    <t>CO0800001748</t>
  </si>
  <si>
    <t>CO0200001747</t>
  </si>
  <si>
    <t>CO0200001746</t>
  </si>
  <si>
    <t>CO0500001745</t>
  </si>
  <si>
    <t>CO0500001744</t>
  </si>
  <si>
    <t>CO0500001743</t>
  </si>
  <si>
    <t>CO0500001742</t>
  </si>
  <si>
    <t>CO0500001741</t>
  </si>
  <si>
    <t>CO0200001740</t>
  </si>
  <si>
    <t>CO0200001739</t>
  </si>
  <si>
    <t>CO0800001738</t>
  </si>
  <si>
    <t>CO0400001737</t>
  </si>
  <si>
    <t>CO0400001736</t>
  </si>
  <si>
    <t>CO0400001735</t>
  </si>
  <si>
    <t>CO0800001734</t>
  </si>
  <si>
    <t>CO0800001733</t>
  </si>
  <si>
    <t>CO0200001732</t>
  </si>
  <si>
    <t>CO0200001731</t>
  </si>
  <si>
    <t>CO0200001730</t>
  </si>
  <si>
    <t>LEONARDO - RODRIGUEZ ANGARITA</t>
  </si>
  <si>
    <t>CO0800001750</t>
  </si>
  <si>
    <t>BANCO DAVIVIENDA S A</t>
  </si>
  <si>
    <t>CO0100001783</t>
  </si>
  <si>
    <t>CO0100001782</t>
  </si>
  <si>
    <t>CO0500001781</t>
  </si>
  <si>
    <t>CO0500001780</t>
  </si>
  <si>
    <t>CO0500001779</t>
  </si>
  <si>
    <t>CO0500001778</t>
  </si>
  <si>
    <t>CO0500001777</t>
  </si>
  <si>
    <t>CO0500001776</t>
  </si>
  <si>
    <t>CO0500001775</t>
  </si>
  <si>
    <t>CO0500001774</t>
  </si>
  <si>
    <t>CO0500001773</t>
  </si>
  <si>
    <t>CO0400001772</t>
  </si>
  <si>
    <t>CO0400001771</t>
  </si>
  <si>
    <t>CO0400001770</t>
  </si>
  <si>
    <t>CO0500001769</t>
  </si>
  <si>
    <t>CO0200001768</t>
  </si>
  <si>
    <t>CO0200001767</t>
  </si>
  <si>
    <t>CO0100001766</t>
  </si>
  <si>
    <t>CO0100001765</t>
  </si>
  <si>
    <t>CO0100001764</t>
  </si>
  <si>
    <t>CO0100001763</t>
  </si>
  <si>
    <t>CO0100001762</t>
  </si>
  <si>
    <t>CO0100001761</t>
  </si>
  <si>
    <t>CO0100001760</t>
  </si>
  <si>
    <t>CO0100001759</t>
  </si>
  <si>
    <t>CO0500001758</t>
  </si>
  <si>
    <t>CO0500001757</t>
  </si>
  <si>
    <t>CO0500001756</t>
  </si>
  <si>
    <t>CO0500001755</t>
  </si>
  <si>
    <t>CO0500001754</t>
  </si>
  <si>
    <t>CO0500001753</t>
  </si>
  <si>
    <t>CO0500001752</t>
  </si>
  <si>
    <t>CO0500001751</t>
  </si>
  <si>
    <t>FRESNEVA S.A.S</t>
  </si>
  <si>
    <t>CO0800001785</t>
  </si>
  <si>
    <t>SEM 1 - MAR</t>
  </si>
  <si>
    <t>MARZO</t>
  </si>
  <si>
    <t>VIPLA SAS</t>
  </si>
  <si>
    <t>CO0500001786</t>
  </si>
  <si>
    <t>Cedritos Belleza SAS en Liquidacion</t>
  </si>
  <si>
    <t>CO0100001788</t>
  </si>
  <si>
    <t>CO0100001787</t>
  </si>
  <si>
    <t>SABORES &amp; DETALLES BAQ</t>
  </si>
  <si>
    <t>CO0500001789</t>
  </si>
  <si>
    <t>LIOLIFE SAS</t>
  </si>
  <si>
    <t>CO0100001790</t>
  </si>
  <si>
    <t>CENTRAL DE COBRANZAS S.A.S.</t>
  </si>
  <si>
    <t>CO0500001791</t>
  </si>
  <si>
    <t>VELOGAS DE OCCIDENTE S.A. E.S.P.</t>
  </si>
  <si>
    <t>CO0200001793</t>
  </si>
  <si>
    <t>CO0200001792</t>
  </si>
  <si>
    <t>MARITEX S.A.S.</t>
  </si>
  <si>
    <t>CO0500001795</t>
  </si>
  <si>
    <t>CO0500001794</t>
  </si>
  <si>
    <t>LIDAGAS S.A. E.S.P.</t>
  </si>
  <si>
    <t>CO0200001796</t>
  </si>
  <si>
    <t>industrias la coruña sas</t>
  </si>
  <si>
    <t>CO0400001797</t>
  </si>
  <si>
    <t>POY SAS</t>
  </si>
  <si>
    <t>CO0500001799</t>
  </si>
  <si>
    <t>grupo humo sas</t>
  </si>
  <si>
    <t>CO0500001800</t>
  </si>
  <si>
    <t>Y.O &amp; CIA S.A.S</t>
  </si>
  <si>
    <t>CO0500001801</t>
  </si>
  <si>
    <t>O.Y &amp; CIA SAS</t>
  </si>
  <si>
    <t>CO0500001802</t>
  </si>
  <si>
    <t>INVERSIONES ASHA S.A.S.</t>
  </si>
  <si>
    <t>CO0100001803</t>
  </si>
  <si>
    <t>CAJA DE RETIRO DE LAS FUERZAS MILITARES</t>
  </si>
  <si>
    <t>CO0100001807</t>
  </si>
  <si>
    <t>CO0100001806</t>
  </si>
  <si>
    <t>CO0100001805</t>
  </si>
  <si>
    <t>CO0100001804</t>
  </si>
  <si>
    <t>alpe colombia</t>
  </si>
  <si>
    <t>CO0500001808</t>
  </si>
  <si>
    <t>LAVISH GROUP S.A.S.</t>
  </si>
  <si>
    <t>CO0500001810</t>
  </si>
  <si>
    <t>CO0500001809</t>
  </si>
  <si>
    <t>CO0400001053</t>
  </si>
  <si>
    <t>ALEIDY GARCIA PERDOMO</t>
  </si>
  <si>
    <t>CO0800000674</t>
  </si>
  <si>
    <t>CONGELADOS DE COLOMBIA CONGECOL LIMITADA</t>
  </si>
  <si>
    <t>CO0500001811</t>
  </si>
  <si>
    <t>CENTRAL DE ABASTESIMIENTO DEL VALLE CAVASA</t>
  </si>
  <si>
    <t>CO0200001814</t>
  </si>
  <si>
    <t>CO0200001813</t>
  </si>
  <si>
    <t>CO0200002337</t>
  </si>
  <si>
    <t>FONDO GANADERO DEL TOLIMA S.A</t>
  </si>
  <si>
    <t>CO0800001820</t>
  </si>
  <si>
    <t>CO0800001819</t>
  </si>
  <si>
    <t>CO0800001818</t>
  </si>
  <si>
    <t>CO0800001817</t>
  </si>
  <si>
    <t>CO0800001816</t>
  </si>
  <si>
    <t>Moda Enterprise</t>
  </si>
  <si>
    <t>CO0500001825</t>
  </si>
  <si>
    <t>CO0500001824</t>
  </si>
  <si>
    <t>CO0500001823</t>
  </si>
  <si>
    <t>CO0500001822</t>
  </si>
  <si>
    <t>CO0500001821</t>
  </si>
  <si>
    <t>amber medicina y rehabiitacion</t>
  </si>
  <si>
    <t>CO0400001826</t>
  </si>
  <si>
    <t>INVIBE S.A.S.</t>
  </si>
  <si>
    <t>CO0500001827</t>
  </si>
  <si>
    <t>VC HOSPITALITY GROUP S.A.S.</t>
  </si>
  <si>
    <t>CO0500001829</t>
  </si>
  <si>
    <t>CO0500001828</t>
  </si>
  <si>
    <t>DIDIER JAVIER TRIANA CASTELLANOS</t>
  </si>
  <si>
    <t>CO0800001504</t>
  </si>
  <si>
    <t>CO0800001505</t>
  </si>
  <si>
    <t>LADRILLERA J8</t>
  </si>
  <si>
    <t>CO0800001472</t>
  </si>
  <si>
    <t>CO0800001538</t>
  </si>
  <si>
    <t>FABENPLAST SAS</t>
  </si>
  <si>
    <t>CO0400001831</t>
  </si>
  <si>
    <t>IPS INTEGRAL CLINICAL CARE S.A.S</t>
  </si>
  <si>
    <t>CO0100001834</t>
  </si>
  <si>
    <t>CO0100001833</t>
  </si>
  <si>
    <t>CO0100001832</t>
  </si>
  <si>
    <t>INDUSTRIA COLOMBIANA DE CONFECCIONES SA - EN REORGANIZACION</t>
  </si>
  <si>
    <t>CO0200001836</t>
  </si>
  <si>
    <t>CO0200001835</t>
  </si>
  <si>
    <t>YURY VICTORIA DELGADO GARCIA</t>
  </si>
  <si>
    <t>CO0200001837</t>
  </si>
  <si>
    <t>ENERTOTAL</t>
  </si>
  <si>
    <t>SUPER NUEVO MILENIO S A</t>
  </si>
  <si>
    <t>CO0100001841</t>
  </si>
  <si>
    <t>CO0100001840</t>
  </si>
  <si>
    <t>CO0100001839</t>
  </si>
  <si>
    <t>CO0100001838</t>
  </si>
  <si>
    <t>CONGO FILM SAS</t>
  </si>
  <si>
    <t>CO0100001842</t>
  </si>
  <si>
    <t>FRAYDER ANTONIO MARIN RAMIREZ</t>
  </si>
  <si>
    <t>CO0200001843</t>
  </si>
  <si>
    <t>INDUSTRIAS GOYAINCOL S.A.S.</t>
  </si>
  <si>
    <t>CO0400001845</t>
  </si>
  <si>
    <t>CO0400001844</t>
  </si>
  <si>
    <t>INPERPLAS INDUSTRIA DE PERFILES PLASTICOS SAS</t>
  </si>
  <si>
    <t>CO0100001846</t>
  </si>
  <si>
    <t>ENERCO</t>
  </si>
  <si>
    <t>supermercados mi campo</t>
  </si>
  <si>
    <t>CO0100001847</t>
  </si>
  <si>
    <t>Cooking Food Box</t>
  </si>
  <si>
    <t>CO0100000152</t>
  </si>
  <si>
    <t>TINS SAS</t>
  </si>
  <si>
    <t>CO0100001852</t>
  </si>
  <si>
    <t>CO0100001851</t>
  </si>
  <si>
    <t>CO0100001850</t>
  </si>
  <si>
    <t>CI Sunshine Bouquet SAS</t>
  </si>
  <si>
    <t>CO0400001888</t>
  </si>
  <si>
    <t>CO0400001887</t>
  </si>
  <si>
    <t>CO0400001886</t>
  </si>
  <si>
    <t>CO0400001885</t>
  </si>
  <si>
    <t>CO0400001884</t>
  </si>
  <si>
    <t>CO0400001883</t>
  </si>
  <si>
    <t>CO0400001882</t>
  </si>
  <si>
    <t>CO0400001881</t>
  </si>
  <si>
    <t>CO0400001880</t>
  </si>
  <si>
    <t>CO0400001879</t>
  </si>
  <si>
    <t>CO0400001878</t>
  </si>
  <si>
    <t>CO0400001877</t>
  </si>
  <si>
    <t>CO0400001876</t>
  </si>
  <si>
    <t>CO0400001875</t>
  </si>
  <si>
    <t>CO0400001874</t>
  </si>
  <si>
    <t>CO0400001873</t>
  </si>
  <si>
    <t>CO0400001872</t>
  </si>
  <si>
    <t>PEESA</t>
  </si>
  <si>
    <t>SEM 1 - DIC</t>
  </si>
  <si>
    <t>CO0400001871</t>
  </si>
  <si>
    <t>CO0400001870</t>
  </si>
  <si>
    <t>CO0400001869</t>
  </si>
  <si>
    <t>CO0400001868</t>
  </si>
  <si>
    <t>CO0400001867</t>
  </si>
  <si>
    <t>CO0400001866</t>
  </si>
  <si>
    <t>CO0400001865</t>
  </si>
  <si>
    <t>CO0400001864</t>
  </si>
  <si>
    <t>CO0400001863</t>
  </si>
  <si>
    <t>CO0400001862</t>
  </si>
  <si>
    <t>CO0400001861</t>
  </si>
  <si>
    <t>CO0400001860</t>
  </si>
  <si>
    <t>CO0400001859</t>
  </si>
  <si>
    <t>CO0400001858</t>
  </si>
  <si>
    <t>CO0400001857</t>
  </si>
  <si>
    <t>CO0400001856</t>
  </si>
  <si>
    <t>CO0400001855</t>
  </si>
  <si>
    <t>CO0400001854</t>
  </si>
  <si>
    <t>CO0400001853</t>
  </si>
  <si>
    <t>EVENPLAST SAS</t>
  </si>
  <si>
    <t>CO0100001889</t>
  </si>
  <si>
    <t>TRILLADORA EMANUEL LA CASA AMARILLA</t>
  </si>
  <si>
    <t>CO0800001890</t>
  </si>
  <si>
    <t>TENDENCIAS JEP SAS</t>
  </si>
  <si>
    <t>CO0100001891</t>
  </si>
  <si>
    <t>Simalink S.A.S</t>
  </si>
  <si>
    <t>CO0800001894</t>
  </si>
  <si>
    <t>CO0800001893</t>
  </si>
  <si>
    <t>CO0800001892</t>
  </si>
  <si>
    <t>Romer Soles SAS</t>
  </si>
  <si>
    <t>CO0100001895</t>
  </si>
  <si>
    <t>OLYMPIA ENTRETENIMIENTO SAS</t>
  </si>
  <si>
    <t>CO0200001896</t>
  </si>
  <si>
    <t>OBDULIO MAYORGA &amp; CIA SAS</t>
  </si>
  <si>
    <t>CO0800001897</t>
  </si>
  <si>
    <t>BRAHMAN PROCESADORA DE CARNES S.A.S</t>
  </si>
  <si>
    <t>CO0100001898</t>
  </si>
  <si>
    <t>Sac be ventures colombia s.a.s</t>
  </si>
  <si>
    <t>CO0100001901</t>
  </si>
  <si>
    <t>CO0100001900</t>
  </si>
  <si>
    <t>CO0100001899</t>
  </si>
  <si>
    <t>ALMACENES LA 14 S.A. EN LIQUIDACION JUDICIAL</t>
  </si>
  <si>
    <t>CO0200002086</t>
  </si>
  <si>
    <t>CO0200002085</t>
  </si>
  <si>
    <t>CO0200002084</t>
  </si>
  <si>
    <t>CO0200002083</t>
  </si>
  <si>
    <t>CO0200002082</t>
  </si>
  <si>
    <t>CO0200002081</t>
  </si>
  <si>
    <t>CO0200002080</t>
  </si>
  <si>
    <t>CO0200002079</t>
  </si>
  <si>
    <t>CO0200002078</t>
  </si>
  <si>
    <t>CO0200002077</t>
  </si>
  <si>
    <t>CO0200002076</t>
  </si>
  <si>
    <t>CO0200002075</t>
  </si>
  <si>
    <t>CO0200002074</t>
  </si>
  <si>
    <t>CO0200002073</t>
  </si>
  <si>
    <t>CO0200002072</t>
  </si>
  <si>
    <t>CO0200002071</t>
  </si>
  <si>
    <t>CO0200002070</t>
  </si>
  <si>
    <t>CO0200002069</t>
  </si>
  <si>
    <t>CO0200002068</t>
  </si>
  <si>
    <t>CO0200002067</t>
  </si>
  <si>
    <t>CO0200002066</t>
  </si>
  <si>
    <t>CO0200002065</t>
  </si>
  <si>
    <t>CO0200002064</t>
  </si>
  <si>
    <t>CO0200002063</t>
  </si>
  <si>
    <t>CO0200002062</t>
  </si>
  <si>
    <t>CO0200002061</t>
  </si>
  <si>
    <t>CO0200002060</t>
  </si>
  <si>
    <t>CO0200002059</t>
  </si>
  <si>
    <t>CO0200002058</t>
  </si>
  <si>
    <t>CO0200002057</t>
  </si>
  <si>
    <t>CO0200002056</t>
  </si>
  <si>
    <t>CO0200002055</t>
  </si>
  <si>
    <t>CO0200002054</t>
  </si>
  <si>
    <t>CO0200002053</t>
  </si>
  <si>
    <t>CO0200002052</t>
  </si>
  <si>
    <t>CO0200002051</t>
  </si>
  <si>
    <t>CO0200002050</t>
  </si>
  <si>
    <t>CO0200002049</t>
  </si>
  <si>
    <t>CO0200002048</t>
  </si>
  <si>
    <t>CO0200002047</t>
  </si>
  <si>
    <t>CO0200002046</t>
  </si>
  <si>
    <t>CO0200002045</t>
  </si>
  <si>
    <t>CO0200002044</t>
  </si>
  <si>
    <t>CO0200002043</t>
  </si>
  <si>
    <t>CO0200002042</t>
  </si>
  <si>
    <t>CO0200002041</t>
  </si>
  <si>
    <t>CO0200002040</t>
  </si>
  <si>
    <t>CO0200002039</t>
  </si>
  <si>
    <t>CO0200002038</t>
  </si>
  <si>
    <t>CO0200002037</t>
  </si>
  <si>
    <t>CO0200002036</t>
  </si>
  <si>
    <t>CO0200002035</t>
  </si>
  <si>
    <t>CO0200002034</t>
  </si>
  <si>
    <t>CO0200002033</t>
  </si>
  <si>
    <t>CO0200002032</t>
  </si>
  <si>
    <t>CO0200002031</t>
  </si>
  <si>
    <t>CO0200002030</t>
  </si>
  <si>
    <t>CO0200002029</t>
  </si>
  <si>
    <t>CO0200002028</t>
  </si>
  <si>
    <t>CO0200002027</t>
  </si>
  <si>
    <t>CO0200002026</t>
  </si>
  <si>
    <t>CO0200002025</t>
  </si>
  <si>
    <t>CO0200002024</t>
  </si>
  <si>
    <t>CO0200002023</t>
  </si>
  <si>
    <t>CO0200002022</t>
  </si>
  <si>
    <t>CO0200002021</t>
  </si>
  <si>
    <t>CO0200002020</t>
  </si>
  <si>
    <t>CO0200002019</t>
  </si>
  <si>
    <t>CO0200002018</t>
  </si>
  <si>
    <t>CO0200002017</t>
  </si>
  <si>
    <t>CO0200002016</t>
  </si>
  <si>
    <t>CO0200002015</t>
  </si>
  <si>
    <t>CO0200002014</t>
  </si>
  <si>
    <t>CO0200002013</t>
  </si>
  <si>
    <t>CO0200002012</t>
  </si>
  <si>
    <t>CO0200002011</t>
  </si>
  <si>
    <t>CO0200002010</t>
  </si>
  <si>
    <t>CO0200002009</t>
  </si>
  <si>
    <t>CO0200002008</t>
  </si>
  <si>
    <t>CO0200002007</t>
  </si>
  <si>
    <t>CO0200002006</t>
  </si>
  <si>
    <t>CO0200002005</t>
  </si>
  <si>
    <t>CO0200002004</t>
  </si>
  <si>
    <t>CO0200002003</t>
  </si>
  <si>
    <t>CO0200002002</t>
  </si>
  <si>
    <t>CO0200002001</t>
  </si>
  <si>
    <t>CO0200002000</t>
  </si>
  <si>
    <t>CO0200001999</t>
  </si>
  <si>
    <t>CO0200001998</t>
  </si>
  <si>
    <t>CO0200001997</t>
  </si>
  <si>
    <t>CO0200001996</t>
  </si>
  <si>
    <t>CO0200001995</t>
  </si>
  <si>
    <t>CO0200001994</t>
  </si>
  <si>
    <t>CO0200001993</t>
  </si>
  <si>
    <t>CO0200001992</t>
  </si>
  <si>
    <t>CO0200001991</t>
  </si>
  <si>
    <t>CO0200001990</t>
  </si>
  <si>
    <t>CO0200001989</t>
  </si>
  <si>
    <t>CO0200001988</t>
  </si>
  <si>
    <t>CO0200001987</t>
  </si>
  <si>
    <t>CO0200001986</t>
  </si>
  <si>
    <t>CO0200001985</t>
  </si>
  <si>
    <t>CO0200001984</t>
  </si>
  <si>
    <t>CO0200001983</t>
  </si>
  <si>
    <t>CO0200001982</t>
  </si>
  <si>
    <t>CO0200001981</t>
  </si>
  <si>
    <t>CO0200001980</t>
  </si>
  <si>
    <t>CO0200001979</t>
  </si>
  <si>
    <t>CO0200001978</t>
  </si>
  <si>
    <t>CO0200001977</t>
  </si>
  <si>
    <t>CO0200001976</t>
  </si>
  <si>
    <t>CO0200001975</t>
  </si>
  <si>
    <t>CO0200001974</t>
  </si>
  <si>
    <t>CO0200001973</t>
  </si>
  <si>
    <t>CO0200001972</t>
  </si>
  <si>
    <t>CO0200001971</t>
  </si>
  <si>
    <t>CO0200001970</t>
  </si>
  <si>
    <t>CO0200001969</t>
  </si>
  <si>
    <t>CO0200001968</t>
  </si>
  <si>
    <t>CO0200001967</t>
  </si>
  <si>
    <t>CO0200001966</t>
  </si>
  <si>
    <t>CO0200001965</t>
  </si>
  <si>
    <t>CO0200001964</t>
  </si>
  <si>
    <t>CO0200001963</t>
  </si>
  <si>
    <t>CO0200001962</t>
  </si>
  <si>
    <t>CO0200001961</t>
  </si>
  <si>
    <t>CO0200001960</t>
  </si>
  <si>
    <t>CO0200001959</t>
  </si>
  <si>
    <t>CO0200001958</t>
  </si>
  <si>
    <t>CO0200001957</t>
  </si>
  <si>
    <t>CO0200001956</t>
  </si>
  <si>
    <t>CO0200001955</t>
  </si>
  <si>
    <t>CO0200001954</t>
  </si>
  <si>
    <t>CO0200001953</t>
  </si>
  <si>
    <t>CO0200001952</t>
  </si>
  <si>
    <t>CO0200001951</t>
  </si>
  <si>
    <t>CO0200001950</t>
  </si>
  <si>
    <t>CO0200001949</t>
  </si>
  <si>
    <t>CO0200001948</t>
  </si>
  <si>
    <t>CO0200001947</t>
  </si>
  <si>
    <t>CO0200001946</t>
  </si>
  <si>
    <t>CO0200001945</t>
  </si>
  <si>
    <t>CO0200001944</t>
  </si>
  <si>
    <t>CO0200001943</t>
  </si>
  <si>
    <t>CO0200001942</t>
  </si>
  <si>
    <t>CO0200001941</t>
  </si>
  <si>
    <t>CO0200001940</t>
  </si>
  <si>
    <t>CO0200001939</t>
  </si>
  <si>
    <t>CO0200001938</t>
  </si>
  <si>
    <t>CO0200001937</t>
  </si>
  <si>
    <t>CO0200001936</t>
  </si>
  <si>
    <t>CO0200001935</t>
  </si>
  <si>
    <t>CO0200001934</t>
  </si>
  <si>
    <t>CO0200001933</t>
  </si>
  <si>
    <t>CO0200001932</t>
  </si>
  <si>
    <t>CO0200001931</t>
  </si>
  <si>
    <t>CO0200001930</t>
  </si>
  <si>
    <t>CO0200001929</t>
  </si>
  <si>
    <t>CO0200001928</t>
  </si>
  <si>
    <t>CO0200001927</t>
  </si>
  <si>
    <t>CO0200001926</t>
  </si>
  <si>
    <t>CO0200001925</t>
  </si>
  <si>
    <t>CO0200001924</t>
  </si>
  <si>
    <t>CO0200001923</t>
  </si>
  <si>
    <t>CO0200001922</t>
  </si>
  <si>
    <t>CO0200001921</t>
  </si>
  <si>
    <t>CO0200001920</t>
  </si>
  <si>
    <t>CO0200001919</t>
  </si>
  <si>
    <t>CO0200001918</t>
  </si>
  <si>
    <t>CO0200001917</t>
  </si>
  <si>
    <t>CO0200001916</t>
  </si>
  <si>
    <t>CO0200001915</t>
  </si>
  <si>
    <t>CO0200001914</t>
  </si>
  <si>
    <t>CO0200001913</t>
  </si>
  <si>
    <t>CO0200001912</t>
  </si>
  <si>
    <t>CO0200001911</t>
  </si>
  <si>
    <t>CO0200001910</t>
  </si>
  <si>
    <t>CO0200001909</t>
  </si>
  <si>
    <t>CO0200001908</t>
  </si>
  <si>
    <t>CO0200001907</t>
  </si>
  <si>
    <t>CO0200001906</t>
  </si>
  <si>
    <t>CO0200001905</t>
  </si>
  <si>
    <t>CO0200001904</t>
  </si>
  <si>
    <t>CO0200001903</t>
  </si>
  <si>
    <t>CO0200001902</t>
  </si>
  <si>
    <t>Gina Patricia Medina Rojas</t>
  </si>
  <si>
    <t>CO0500002087</t>
  </si>
  <si>
    <t>SOMOS BRAUN S.A.S</t>
  </si>
  <si>
    <t>CO0100002088</t>
  </si>
  <si>
    <t>GASTRONOMIA ITALIANA EN COLOMBIA SAS</t>
  </si>
  <si>
    <t>CO0100002119</t>
  </si>
  <si>
    <t>CO0200002118</t>
  </si>
  <si>
    <t>CO0200002117</t>
  </si>
  <si>
    <t>CO0200002116</t>
  </si>
  <si>
    <t>CO0200002115</t>
  </si>
  <si>
    <t>CO0200002114</t>
  </si>
  <si>
    <t>CO0200002113</t>
  </si>
  <si>
    <t>CO0200002112</t>
  </si>
  <si>
    <t>CO0200002111</t>
  </si>
  <si>
    <t>CO0200002110</t>
  </si>
  <si>
    <t>CO0200002109</t>
  </si>
  <si>
    <t>CO0200002108</t>
  </si>
  <si>
    <t>CO0100002107</t>
  </si>
  <si>
    <t>ENERBIT</t>
  </si>
  <si>
    <t>CO0100002106</t>
  </si>
  <si>
    <t>CO0100002105</t>
  </si>
  <si>
    <t>CO0100002104</t>
  </si>
  <si>
    <t>CO0100002103</t>
  </si>
  <si>
    <t>CO0100002102</t>
  </si>
  <si>
    <t>CO0100002101</t>
  </si>
  <si>
    <t>CO0100002100</t>
  </si>
  <si>
    <t>CO0100002099</t>
  </si>
  <si>
    <t>CO0100002098</t>
  </si>
  <si>
    <t>CO0100002097</t>
  </si>
  <si>
    <t>CO0100002096</t>
  </si>
  <si>
    <t>CO0200002095</t>
  </si>
  <si>
    <t>CO0100002094</t>
  </si>
  <si>
    <t>CO0100002093</t>
  </si>
  <si>
    <t>CO0200002092</t>
  </si>
  <si>
    <t>CO0100002091</t>
  </si>
  <si>
    <t>CO0100002090</t>
  </si>
  <si>
    <t>CO0100002089</t>
  </si>
  <si>
    <t>Gi San Pedro SAS</t>
  </si>
  <si>
    <t>CO0800002123</t>
  </si>
  <si>
    <t>CO0200002122</t>
  </si>
  <si>
    <t>CO0600002121</t>
  </si>
  <si>
    <t>CO0400002120</t>
  </si>
  <si>
    <t>GRUPO INVERSIONISTA DE LA COSTA S.A.S</t>
  </si>
  <si>
    <t>CO0800002128</t>
  </si>
  <si>
    <t>CO0500002127</t>
  </si>
  <si>
    <t>CO0500002126</t>
  </si>
  <si>
    <t>CO0500002125</t>
  </si>
  <si>
    <t>CO0200002124</t>
  </si>
  <si>
    <t>INVERSIONES PLAZA RESTREPO S.A.S</t>
  </si>
  <si>
    <t>CO0400002138</t>
  </si>
  <si>
    <t>CO0400002137</t>
  </si>
  <si>
    <t>CO0400002136</t>
  </si>
  <si>
    <t>CO0400002135</t>
  </si>
  <si>
    <t>CO0400002134</t>
  </si>
  <si>
    <t>CO0400002133</t>
  </si>
  <si>
    <t>CO0400002132</t>
  </si>
  <si>
    <t>CO0800002131</t>
  </si>
  <si>
    <t>CO0200002130</t>
  </si>
  <si>
    <t>CO0800002129</t>
  </si>
  <si>
    <t>El viñedo</t>
  </si>
  <si>
    <t>CO0100002139</t>
  </si>
  <si>
    <t>JORGE ARMANDO SANCHEZ MEJIA</t>
  </si>
  <si>
    <t>CO0200002140</t>
  </si>
  <si>
    <t>Ideplast</t>
  </si>
  <si>
    <t>CO0400002141</t>
  </si>
  <si>
    <t>LOS HORNITOS PASTELERIA Y PANADERIA SAS</t>
  </si>
  <si>
    <t>CO0100002164</t>
  </si>
  <si>
    <t>CO0100002163</t>
  </si>
  <si>
    <t>CO0100002162</t>
  </si>
  <si>
    <t>CO0100002161</t>
  </si>
  <si>
    <t>CO0100002160</t>
  </si>
  <si>
    <t>CO0100002159</t>
  </si>
  <si>
    <t>CO0100002158</t>
  </si>
  <si>
    <t>CO0100002157</t>
  </si>
  <si>
    <t>CO0100002156</t>
  </si>
  <si>
    <t>CO0100002155</t>
  </si>
  <si>
    <t>CO0100002154</t>
  </si>
  <si>
    <t>CO0100002153</t>
  </si>
  <si>
    <t>CO0100002152</t>
  </si>
  <si>
    <t>CO0100002151</t>
  </si>
  <si>
    <t>CO0100002150</t>
  </si>
  <si>
    <t>CO0100002149</t>
  </si>
  <si>
    <t>CO0100002148</t>
  </si>
  <si>
    <t>CO0100002147</t>
  </si>
  <si>
    <t>CO0100002146</t>
  </si>
  <si>
    <t>CO0100002145</t>
  </si>
  <si>
    <t>CO0100002144</t>
  </si>
  <si>
    <t>CO0100002143</t>
  </si>
  <si>
    <t>CO0100002142</t>
  </si>
  <si>
    <t>Globals energy</t>
  </si>
  <si>
    <t>CO0200002165</t>
  </si>
  <si>
    <t>COLOMBIANA DE ENVASES INDUSTRIALES S.A</t>
  </si>
  <si>
    <t>CO0500002166</t>
  </si>
  <si>
    <t>CO0100002171</t>
  </si>
  <si>
    <t>CO0100002170</t>
  </si>
  <si>
    <t>CO0100002169</t>
  </si>
  <si>
    <t>CO0100002168</t>
  </si>
  <si>
    <t>CO0100002167</t>
  </si>
  <si>
    <t>Hotel Aquarius</t>
  </si>
  <si>
    <t>CO0500002173</t>
  </si>
  <si>
    <t>CO0500002172</t>
  </si>
  <si>
    <t>LABORATORIOS DECNO S A S</t>
  </si>
  <si>
    <t>CO0100002184</t>
  </si>
  <si>
    <t>CO0100002183</t>
  </si>
  <si>
    <t>CO0100002182</t>
  </si>
  <si>
    <t>CO0100002181</t>
  </si>
  <si>
    <t>CO0100002180</t>
  </si>
  <si>
    <t>CO0100002179</t>
  </si>
  <si>
    <t>CO0100002178</t>
  </si>
  <si>
    <t>CO0100002177</t>
  </si>
  <si>
    <t>CO0100002176</t>
  </si>
  <si>
    <t>CO0100002175</t>
  </si>
  <si>
    <t>CO0100002174</t>
  </si>
  <si>
    <t>CASA INMUEBLE SAS</t>
  </si>
  <si>
    <t>CO0500002185</t>
  </si>
  <si>
    <t>INVERSIONES GAFREMOL SAS</t>
  </si>
  <si>
    <t>CO0400002186</t>
  </si>
  <si>
    <t>CO0400002205</t>
  </si>
  <si>
    <t>CO0400002204</t>
  </si>
  <si>
    <t>CO0400002203</t>
  </si>
  <si>
    <t>CO0400002202</t>
  </si>
  <si>
    <t>CO0100002201</t>
  </si>
  <si>
    <t>CO0400002200</t>
  </si>
  <si>
    <t>CO0400002199</t>
  </si>
  <si>
    <t>CO0100002198</t>
  </si>
  <si>
    <t>CO0400002197</t>
  </si>
  <si>
    <t>CO0400002196</t>
  </si>
  <si>
    <t>CO0400002195</t>
  </si>
  <si>
    <t>CO0100002194</t>
  </si>
  <si>
    <t>CO0100002193</t>
  </si>
  <si>
    <t>CO0100002192</t>
  </si>
  <si>
    <t>CO0100002191</t>
  </si>
  <si>
    <t>CO0100002190</t>
  </si>
  <si>
    <t>CO0100002189</t>
  </si>
  <si>
    <t>CO0100002188</t>
  </si>
  <si>
    <t>CO0400002187</t>
  </si>
  <si>
    <t>OPERADORA TURISTICA Y HOTELERA DORADOS GLOBE S.A.S.</t>
  </si>
  <si>
    <t>CO0500002206</t>
  </si>
  <si>
    <t>CO0500002207</t>
  </si>
  <si>
    <t>CO0500002208</t>
  </si>
  <si>
    <t>PEYBU SAS</t>
  </si>
  <si>
    <t>CO0100002209</t>
  </si>
  <si>
    <t>CO0100002210</t>
  </si>
  <si>
    <t>CO0800002211</t>
  </si>
  <si>
    <t>MASAPOTAMIA SAS</t>
  </si>
  <si>
    <t>CO0100002212</t>
  </si>
  <si>
    <t>CO0100002213</t>
  </si>
  <si>
    <t>INNOVATIVE KITCHEN S.A.S.</t>
  </si>
  <si>
    <t>CO0500002215</t>
  </si>
  <si>
    <t>CO0500002214</t>
  </si>
  <si>
    <t>CO0500002216</t>
  </si>
  <si>
    <t>CO0500002217</t>
  </si>
  <si>
    <t>CO0500002218</t>
  </si>
  <si>
    <t>JOSE RAFAEL ALVAREZ TINOCO</t>
  </si>
  <si>
    <t>CO0400002219</t>
  </si>
  <si>
    <t>DAVID ANTONIO GOMEZ VILLEGAS</t>
  </si>
  <si>
    <t>CO0200002220</t>
  </si>
  <si>
    <t>Hotel Shalom S.A.S.</t>
  </si>
  <si>
    <t>CO0500002221</t>
  </si>
  <si>
    <t>K R K CAFFETO SAS</t>
  </si>
  <si>
    <t>CO0200002222</t>
  </si>
  <si>
    <t>CO0200002223</t>
  </si>
  <si>
    <t>ALMACENAMIENTO TECNIFICADO DE VIVERES SAS</t>
  </si>
  <si>
    <t>CO0100002224</t>
  </si>
  <si>
    <t>CO0100002225</t>
  </si>
  <si>
    <t>Fundación Hogar La roca.</t>
  </si>
  <si>
    <t>CO0500002226</t>
  </si>
  <si>
    <t>Agrocarbones S.A.S</t>
  </si>
  <si>
    <t>CO0400001727</t>
  </si>
  <si>
    <t>CO0400001726</t>
  </si>
  <si>
    <t>CO0400001725</t>
  </si>
  <si>
    <t>Procesadora y Comercializadora La Fuente Azul SAS</t>
  </si>
  <si>
    <t>CO0100002228</t>
  </si>
  <si>
    <t>CO0100002227</t>
  </si>
  <si>
    <t>DISTRIBUCIONES TIP TOP S.A.S.</t>
  </si>
  <si>
    <t>CO0500002229</t>
  </si>
  <si>
    <t>SEM 4 - FEB</t>
  </si>
  <si>
    <t>INVERSIONES Y COMERCIALIZADORA PRAMOR S.A.S.</t>
  </si>
  <si>
    <t>CO0500002230</t>
  </si>
  <si>
    <t>CO0500002232</t>
  </si>
  <si>
    <t>CO0500002231</t>
  </si>
  <si>
    <t>Un Dos Tres Por Mi S.A.S.</t>
  </si>
  <si>
    <t>CO0100002235</t>
  </si>
  <si>
    <t>CO0100002234</t>
  </si>
  <si>
    <t>CO0100002233</t>
  </si>
  <si>
    <t>Alinnova, Daniel Torres Zuluaga</t>
  </si>
  <si>
    <t>GRAPAS Y PUNTILLAS EL CABALLO S.A.</t>
  </si>
  <si>
    <t>CO0500002237</t>
  </si>
  <si>
    <t>IMOPROP LTDA</t>
  </si>
  <si>
    <t>CO0400002238</t>
  </si>
  <si>
    <t>IMPRESIONES Y EXTRUSIONES PLASTICAS IMEXPLAS S A S</t>
  </si>
  <si>
    <t>CO0400002239</t>
  </si>
  <si>
    <t>INVERSIONES GIRALDO NIETO E HIJAS SAS</t>
  </si>
  <si>
    <t>CO0500002240</t>
  </si>
  <si>
    <t>MOSQUERA RODRIGUEZ ANDRES FELIPE</t>
  </si>
  <si>
    <t>CO0200002242</t>
  </si>
  <si>
    <t>CO0200002241</t>
  </si>
  <si>
    <t>EDGAR DEVIA GARCIA</t>
  </si>
  <si>
    <t>CO0100002244</t>
  </si>
  <si>
    <t>CO0100002243</t>
  </si>
  <si>
    <t>DRIPFLEX S.A.S</t>
  </si>
  <si>
    <t>CO0100002245</t>
  </si>
  <si>
    <t>COLGOMAS S A S</t>
  </si>
  <si>
    <t>CO0100002273</t>
  </si>
  <si>
    <t>Dlk S.A.S</t>
  </si>
  <si>
    <t>CO0100002274</t>
  </si>
  <si>
    <t>CO0100002275</t>
  </si>
  <si>
    <t>CO0100002276</t>
  </si>
  <si>
    <t>M.J.A S.A.S.</t>
  </si>
  <si>
    <t>CO0400002291</t>
  </si>
  <si>
    <t>CO0400002292</t>
  </si>
  <si>
    <t>CO0400002277</t>
  </si>
  <si>
    <t>MANUFACTURAS CF SAS</t>
  </si>
  <si>
    <t>CO0100002278</t>
  </si>
  <si>
    <t>franquicias y marcas, FRANQUICIAS Y MARCAS S.A.S.</t>
  </si>
  <si>
    <t>CO0500002284</t>
  </si>
  <si>
    <t>CO0500002279</t>
  </si>
  <si>
    <t>CO0500002280</t>
  </si>
  <si>
    <t>CO0500002281</t>
  </si>
  <si>
    <t>SEM 4 - MAR</t>
  </si>
  <si>
    <t>CO0500002282</t>
  </si>
  <si>
    <t>CO0500002283</t>
  </si>
  <si>
    <t>ERIC ANDREY MANCILLA RICO</t>
  </si>
  <si>
    <t>CO0100002285</t>
  </si>
  <si>
    <t>CO0100002286</t>
  </si>
  <si>
    <t>Winlon Sas</t>
  </si>
  <si>
    <t>CO0100002287</t>
  </si>
  <si>
    <t>PALOS SECOS LIMITADA</t>
  </si>
  <si>
    <t>CO0100002289</t>
  </si>
  <si>
    <t>CO0100002288</t>
  </si>
  <si>
    <t>AVIPOLLO CAMPESINO SAS</t>
  </si>
  <si>
    <t>CO0400002290</t>
  </si>
  <si>
    <t>CO0100002293</t>
  </si>
  <si>
    <t>EMPAQUES &amp; PLASTICOS S A S</t>
  </si>
  <si>
    <t>CO0100002294</t>
  </si>
  <si>
    <t>Didacticos Simbolos y Signos</t>
  </si>
  <si>
    <t>CO0400001702</t>
  </si>
  <si>
    <t>TEXTILES 1 X 1 S.A.S</t>
  </si>
  <si>
    <t>CO0100002295</t>
  </si>
  <si>
    <t>Misterpan Barranquilla S.A.S.</t>
  </si>
  <si>
    <t>CO0500002296</t>
  </si>
  <si>
    <t>CO0500002297</t>
  </si>
  <si>
    <t>HACIENDA GARZONERO S.A.S.</t>
  </si>
  <si>
    <t>CO0200002298</t>
  </si>
  <si>
    <t>CO0200002299</t>
  </si>
  <si>
    <t>CO0200002300</t>
  </si>
  <si>
    <t>Flexo Pack SAS</t>
  </si>
  <si>
    <t>CO0100002301</t>
  </si>
  <si>
    <t>GVS COLOMBIA SAS</t>
  </si>
  <si>
    <t>CO0200002302</t>
  </si>
  <si>
    <t>Gen Plast SAS</t>
  </si>
  <si>
    <t>CO0100002303</t>
  </si>
  <si>
    <t>CALI RIVER SUITES S.A.</t>
  </si>
  <si>
    <t>CO0200002304</t>
  </si>
  <si>
    <t>FROZEN LOGÍSTICA Y VALOR SAS</t>
  </si>
  <si>
    <t>CO0500002305</t>
  </si>
  <si>
    <t>Productos Morano de Colombia SAS ZOMAC</t>
  </si>
  <si>
    <t>CO0500002306</t>
  </si>
  <si>
    <t>Edificio Parques De Normandia Torre 3 Ph</t>
  </si>
  <si>
    <t>CO0200000624</t>
  </si>
  <si>
    <t>FLOPLASCOL SAS</t>
  </si>
  <si>
    <t>CO0100002262</t>
  </si>
  <si>
    <t>CAIMED SAS</t>
  </si>
  <si>
    <t>CO0800002269</t>
  </si>
  <si>
    <t>CO0400002260</t>
  </si>
  <si>
    <t>CO0400002271</t>
  </si>
  <si>
    <t>CO0400002270</t>
  </si>
  <si>
    <t>CO0100002261</t>
  </si>
  <si>
    <t>CO0400002268</t>
  </si>
  <si>
    <t>CO0800002267</t>
  </si>
  <si>
    <t>CO0100002266</t>
  </si>
  <si>
    <t>CO0400002272</t>
  </si>
  <si>
    <t>CO0800002265</t>
  </si>
  <si>
    <t>CO0800002264</t>
  </si>
  <si>
    <t>CO0800002263</t>
  </si>
  <si>
    <t>Loe Company SAS</t>
  </si>
  <si>
    <t>CO0500002247</t>
  </si>
  <si>
    <t>JOSE ALVARO JIMENEZ DIAZ</t>
  </si>
  <si>
    <t>CO0100002248</t>
  </si>
  <si>
    <t>COASPHARMA S. A. S.</t>
  </si>
  <si>
    <t>CO0100002249</t>
  </si>
  <si>
    <t>CO0100002250</t>
  </si>
  <si>
    <t>Autolavado El Suri</t>
  </si>
  <si>
    <t>CO0500002251</t>
  </si>
  <si>
    <t>Fit Choices Company SAS</t>
  </si>
  <si>
    <t>CO0500002252</t>
  </si>
  <si>
    <t>ALMACEN TIERRA SANTA CORDOBA S.A.S</t>
  </si>
  <si>
    <t>CO0400002259</t>
  </si>
  <si>
    <t>CO0500002258</t>
  </si>
  <si>
    <t>CO0500002253</t>
  </si>
  <si>
    <t>CO0500002254</t>
  </si>
  <si>
    <t>CO0400002257</t>
  </si>
  <si>
    <t>CO0100002256</t>
  </si>
  <si>
    <t>CO0500002255</t>
  </si>
  <si>
    <t>Su Aliado Laboral SAS</t>
  </si>
  <si>
    <t>CO0500002246</t>
  </si>
  <si>
    <t>FUNDIMETAL DE COLOMBIA S. A. S</t>
  </si>
  <si>
    <t>CO0200002322</t>
  </si>
  <si>
    <t>METROPOLITANA DE COMBUSTIBLES SAS</t>
  </si>
  <si>
    <t>CO0500002320</t>
  </si>
  <si>
    <t>WILLIAM FERNEY ENCISO PARRA</t>
  </si>
  <si>
    <t>CO0100002308</t>
  </si>
  <si>
    <t>CO0100002309</t>
  </si>
  <si>
    <t>HL OPERADORES S.A.S.</t>
  </si>
  <si>
    <t>CO0500002310</t>
  </si>
  <si>
    <t>CO0500002311</t>
  </si>
  <si>
    <t>CO0500002312</t>
  </si>
  <si>
    <t>EMPRESA DE FOSFATOS DE BOYACA S. A. FDB S.A</t>
  </si>
  <si>
    <t>CO0500002321</t>
  </si>
  <si>
    <t>CO0500002319</t>
  </si>
  <si>
    <t>CO0500002318</t>
  </si>
  <si>
    <t>CO0500002317</t>
  </si>
  <si>
    <t>CO0500002316</t>
  </si>
  <si>
    <t>CO0500002315</t>
  </si>
  <si>
    <t>CO0100002314</t>
  </si>
  <si>
    <t>CO0500002313</t>
  </si>
  <si>
    <t>BOTELLAS PET SAS</t>
  </si>
  <si>
    <t>CO0100002307</t>
  </si>
  <si>
    <t>UN SOLO PROVEEDOR S.A.S</t>
  </si>
  <si>
    <t>CO0400002323</t>
  </si>
  <si>
    <t>GIRALDO MOTOA E HIJOS S.A.S</t>
  </si>
  <si>
    <t>CO0400002326</t>
  </si>
  <si>
    <t>CO0400002325</t>
  </si>
  <si>
    <t>TEJAR ROYFE S.A.S</t>
  </si>
  <si>
    <t>CO0400002327</t>
  </si>
  <si>
    <t>CO0400002324</t>
  </si>
  <si>
    <t>The Somos, SOMOS SELVARIO S.A.S</t>
  </si>
  <si>
    <t>CO0400002330</t>
  </si>
  <si>
    <t>CO0400002329</t>
  </si>
  <si>
    <t>HECTOR MARIA MARTINEZ GOMEZ</t>
  </si>
  <si>
    <t>CO0400002328</t>
  </si>
  <si>
    <t>PLASTICOS SANTANA SAS</t>
  </si>
  <si>
    <t>CO0100002333</t>
  </si>
  <si>
    <t>arcillas del futuro</t>
  </si>
  <si>
    <t>CO0400002332</t>
  </si>
  <si>
    <t>VIDRIO TECNICO DE COLOMBIA S.A VITECO S.A O "VITECO"</t>
  </si>
  <si>
    <t>CO0100002331</t>
  </si>
  <si>
    <t>jairo de jesus hernandez castaño</t>
  </si>
  <si>
    <t>CO0400002334</t>
  </si>
  <si>
    <t>TECNOEMPAQUES DE OCCIDENTE S.A.S.</t>
  </si>
  <si>
    <t>CO0200002335</t>
  </si>
  <si>
    <t>Plastidhar SAS</t>
  </si>
  <si>
    <t>CO0100002336</t>
  </si>
  <si>
    <t>WICAMI RESTAURANTE SAS</t>
  </si>
  <si>
    <t>CO0200002338</t>
  </si>
  <si>
    <t>Osaka Cocina Nikkei SAS</t>
  </si>
  <si>
    <t>CO0100002340</t>
  </si>
  <si>
    <t>Industrias Macar Palmira S.A</t>
  </si>
  <si>
    <t>CO0200002343</t>
  </si>
  <si>
    <t>CO0200002342</t>
  </si>
  <si>
    <t>CO0100002341</t>
  </si>
  <si>
    <t>EL BESO COMPANY S.A.S</t>
  </si>
  <si>
    <t>CO0100002339</t>
  </si>
  <si>
    <t>SPORT FITNESS SHOP COLOMBIA S.A.S.</t>
  </si>
  <si>
    <t>CO0500002344</t>
  </si>
  <si>
    <t>KOE4K SAS</t>
  </si>
  <si>
    <t>CO0100002350</t>
  </si>
  <si>
    <t>CO0100002349</t>
  </si>
  <si>
    <t>DONDOHE4K SAS</t>
  </si>
  <si>
    <t>CO0100002348</t>
  </si>
  <si>
    <t>CO0400002347</t>
  </si>
  <si>
    <t>CO0400002346</t>
  </si>
  <si>
    <t>CO0400002345</t>
  </si>
  <si>
    <t>INCOGRES S.A.S</t>
  </si>
  <si>
    <t>CO0400002359</t>
  </si>
  <si>
    <t>FEDELSA HOSTELS GROUP S.A.S</t>
  </si>
  <si>
    <t>CO0100002360</t>
  </si>
  <si>
    <t>JAYMAR S.A.S.</t>
  </si>
  <si>
    <t>CO0800002361</t>
  </si>
  <si>
    <t>INVERSIONES D EL S.A.S</t>
  </si>
  <si>
    <t>CO0100002362</t>
  </si>
  <si>
    <t>Padel Zenter Baq SAS</t>
  </si>
  <si>
    <t>CO0500002363</t>
  </si>
  <si>
    <t>INVERSIONES VIVE AGRO S A S</t>
  </si>
  <si>
    <t>CO0400002364</t>
  </si>
  <si>
    <t>SALPLA COLOMBIA SAS</t>
  </si>
  <si>
    <t>CO0700002365</t>
  </si>
  <si>
    <t>AX2 GOURMET SAS</t>
  </si>
  <si>
    <t>CO0100002355</t>
  </si>
  <si>
    <t>CO0100002354</t>
  </si>
  <si>
    <t>CO0100002358</t>
  </si>
  <si>
    <t>CO0100002357</t>
  </si>
  <si>
    <t>CO0100002356</t>
  </si>
  <si>
    <t>INVERSIONES DAMA ESMERAL SAS</t>
  </si>
  <si>
    <t>CO0500002351</t>
  </si>
  <si>
    <t>INDUSTRIA TEXTIL COLOMBIANA SAS</t>
  </si>
  <si>
    <t>CO0400002352</t>
  </si>
  <si>
    <t>CO0100002353</t>
  </si>
  <si>
    <t>CO0100002374</t>
  </si>
  <si>
    <t>CO0100002375</t>
  </si>
  <si>
    <t>CO0100002373</t>
  </si>
  <si>
    <t>CO0100002372</t>
  </si>
  <si>
    <t>CO0100002371</t>
  </si>
  <si>
    <t>CO0100002370</t>
  </si>
  <si>
    <t>CO0100002369</t>
  </si>
  <si>
    <t>CO0100002368</t>
  </si>
  <si>
    <t>CO0100002376</t>
  </si>
  <si>
    <t>CO0100002377</t>
  </si>
  <si>
    <t>BYCSA SA</t>
  </si>
  <si>
    <t>CO0400002366</t>
  </si>
  <si>
    <t>LUIS EDUARDO CAICEDO S.A. (LEC S.A.)</t>
  </si>
  <si>
    <t>CO0100002367</t>
  </si>
  <si>
    <t>Distribuidora Los Coches La Sabana S.A.S</t>
  </si>
  <si>
    <t>CO0100002379</t>
  </si>
  <si>
    <t>CO0100002378</t>
  </si>
  <si>
    <t>Puerta de Oro</t>
  </si>
  <si>
    <t>CO0500002383</t>
  </si>
  <si>
    <t>Empresa Colombiana Del Plástico SAS, Empresa Colombiana del Plástico S.A.S</t>
  </si>
  <si>
    <t>CO0400002380</t>
  </si>
  <si>
    <t>Edificio Torre Empresarial Pacific - Propiedad Horizontal</t>
  </si>
  <si>
    <t>CO0100002381</t>
  </si>
  <si>
    <t>FRIGORIFICO CARNES EXPRESS S.A.S.</t>
  </si>
  <si>
    <t>CO0800002382</t>
  </si>
  <si>
    <t>PATRIMONIOS &amp; KAPITALES S.A.S</t>
  </si>
  <si>
    <t>CO0200002422</t>
  </si>
  <si>
    <t>CO0200002429</t>
  </si>
  <si>
    <t>CO0200002460</t>
  </si>
  <si>
    <t>CO0200002459</t>
  </si>
  <si>
    <t>CO0200002458</t>
  </si>
  <si>
    <t>CO0200002457</t>
  </si>
  <si>
    <t>CO0200002456</t>
  </si>
  <si>
    <t>CO0200002455</t>
  </si>
  <si>
    <t>CO0200002454</t>
  </si>
  <si>
    <t>CO0200002453</t>
  </si>
  <si>
    <t>CO0200002452</t>
  </si>
  <si>
    <t>CO0200002451</t>
  </si>
  <si>
    <t>CO0200002450</t>
  </si>
  <si>
    <t>CO0200002449</t>
  </si>
  <si>
    <t>CO0200002448</t>
  </si>
  <si>
    <t>CO0200002447</t>
  </si>
  <si>
    <t>CO0200002446</t>
  </si>
  <si>
    <t>CO0200002445</t>
  </si>
  <si>
    <t>CO0200002444</t>
  </si>
  <si>
    <t>CO0200002443</t>
  </si>
  <si>
    <t>CO0200002442</t>
  </si>
  <si>
    <t>CO0200002441</t>
  </si>
  <si>
    <t>CO0200002440</t>
  </si>
  <si>
    <t>CO0200002439</t>
  </si>
  <si>
    <t>CO0200002438</t>
  </si>
  <si>
    <t>CO0200002437</t>
  </si>
  <si>
    <t>CO0200002436</t>
  </si>
  <si>
    <t>CO0200002435</t>
  </si>
  <si>
    <t>CO0200002434</t>
  </si>
  <si>
    <t>CO0200002433</t>
  </si>
  <si>
    <t>CO0200002432</t>
  </si>
  <si>
    <t>CO0200002431</t>
  </si>
  <si>
    <t>CO0200002430</t>
  </si>
  <si>
    <t>CO0200002428</t>
  </si>
  <si>
    <t>CO0200002427</t>
  </si>
  <si>
    <t>CO0200002426</t>
  </si>
  <si>
    <t>CO0200002425</t>
  </si>
  <si>
    <t>CO0200002424</t>
  </si>
  <si>
    <t>CO0200002423</t>
  </si>
  <si>
    <t>CO0200002421</t>
  </si>
  <si>
    <t>CO0200002420</t>
  </si>
  <si>
    <t>CO0200002419</t>
  </si>
  <si>
    <t>CO0200002418</t>
  </si>
  <si>
    <t>CO0200002417</t>
  </si>
  <si>
    <t>CO0200002416</t>
  </si>
  <si>
    <t>CO0200002415</t>
  </si>
  <si>
    <t>CO0200002414</t>
  </si>
  <si>
    <t>CO0200002413</t>
  </si>
  <si>
    <t>CO0200002412</t>
  </si>
  <si>
    <t>CO0200002411</t>
  </si>
  <si>
    <t>CO0200002410</t>
  </si>
  <si>
    <t>CO0200002409</t>
  </si>
  <si>
    <t>CO0200002408</t>
  </si>
  <si>
    <t>CO0200002407</t>
  </si>
  <si>
    <t>CO0200002406</t>
  </si>
  <si>
    <t>CO0200002405</t>
  </si>
  <si>
    <t>CO0200002404</t>
  </si>
  <si>
    <t>CO0200002403</t>
  </si>
  <si>
    <t>CO0200002402</t>
  </si>
  <si>
    <t>CO0200002401</t>
  </si>
  <si>
    <t>CO0200002400</t>
  </si>
  <si>
    <t>CO0200002399</t>
  </si>
  <si>
    <t>CO0200002398</t>
  </si>
  <si>
    <t>CO0200002397</t>
  </si>
  <si>
    <t>CO0200002396</t>
  </si>
  <si>
    <t>CO0200002395</t>
  </si>
  <si>
    <t>CO0200002394</t>
  </si>
  <si>
    <t>CO0200002393</t>
  </si>
  <si>
    <t>CO0200002392</t>
  </si>
  <si>
    <t>CO0200002391</t>
  </si>
  <si>
    <t>CO0200002390</t>
  </si>
  <si>
    <t>CO0200002389</t>
  </si>
  <si>
    <t>CO0200002388</t>
  </si>
  <si>
    <t>CO0200002387</t>
  </si>
  <si>
    <t>CO0200002386</t>
  </si>
  <si>
    <t>CO0200002385</t>
  </si>
  <si>
    <t>CO0200002384</t>
  </si>
  <si>
    <t>APC FRIGORIFICOS ZFC SAS</t>
  </si>
  <si>
    <t>CO0100002463</t>
  </si>
  <si>
    <t>CO0100002462</t>
  </si>
  <si>
    <t>Bissan SAS</t>
  </si>
  <si>
    <t>CO0500002461</t>
  </si>
  <si>
    <t>LA MERCERIA ARTE Y MANUALIDADES S.A.S.</t>
  </si>
  <si>
    <t>CO0500002474</t>
  </si>
  <si>
    <t>CO0500002472</t>
  </si>
  <si>
    <t>CO0500002471</t>
  </si>
  <si>
    <t>CO0500002470</t>
  </si>
  <si>
    <t>CO0500002469</t>
  </si>
  <si>
    <t>CO0500002468</t>
  </si>
  <si>
    <t>CO0500002467</t>
  </si>
  <si>
    <t>CO0500002466</t>
  </si>
  <si>
    <t>NUR TRADING S.A.S.</t>
  </si>
  <si>
    <t>CO0500002465</t>
  </si>
  <si>
    <t>AMANI MODA S.A.S.</t>
  </si>
  <si>
    <t>CO0100002464</t>
  </si>
  <si>
    <t>CO0500002473</t>
  </si>
  <si>
    <t>PROVINCIA DE NUESTRA SEÑORA DE GRACIA DE COLOMBIA</t>
  </si>
  <si>
    <t>CO0500002493</t>
  </si>
  <si>
    <t>CO0400002475</t>
  </si>
  <si>
    <t>CO0400002476</t>
  </si>
  <si>
    <t>CO0400002477</t>
  </si>
  <si>
    <t>CO0400002478</t>
  </si>
  <si>
    <t>CO0400002479</t>
  </si>
  <si>
    <t>CO0400002480</t>
  </si>
  <si>
    <t>CO0400002481</t>
  </si>
  <si>
    <t>CO0400002482</t>
  </si>
  <si>
    <t>CO0400002483</t>
  </si>
  <si>
    <t>CO0400002484</t>
  </si>
  <si>
    <t>CO0400002485</t>
  </si>
  <si>
    <t>CO0400002486</t>
  </si>
  <si>
    <t>CO0400002487</t>
  </si>
  <si>
    <t>CO0400002488</t>
  </si>
  <si>
    <t>CO0400002489</t>
  </si>
  <si>
    <t>CO0400002490</t>
  </si>
  <si>
    <t>MONSALVE HERRERA SONIA</t>
  </si>
  <si>
    <t>CO0500002491</t>
  </si>
  <si>
    <t>BAGGRIT DE COLOMBIA SA</t>
  </si>
  <si>
    <t>CO0400002492</t>
  </si>
  <si>
    <t>PANAMERICANA DE MARMOLES SAS</t>
  </si>
  <si>
    <t>CO0100002494</t>
  </si>
  <si>
    <t>CO0100002499</t>
  </si>
  <si>
    <t>CO0100002496</t>
  </si>
  <si>
    <t>INPLASCOL LIMITADA</t>
  </si>
  <si>
    <t>CO0100002500</t>
  </si>
  <si>
    <t>CO0100002498</t>
  </si>
  <si>
    <t>CO0100002497</t>
  </si>
  <si>
    <t>PLAZAMAR PACIFICO HOTEL S.A.S.</t>
  </si>
  <si>
    <t>CO0200002502</t>
  </si>
  <si>
    <t>DABO EMPRESARIAL SAS</t>
  </si>
  <si>
    <t>CO0200002507</t>
  </si>
  <si>
    <t>MANZANILLO MARINA CLUB S.A.S</t>
  </si>
  <si>
    <t>CO0100002509</t>
  </si>
  <si>
    <t>TECNOLOGIA PLASTICA TECNOSA S.A.S.</t>
  </si>
  <si>
    <t>CO0400002508</t>
  </si>
  <si>
    <t>SYSTEMPACK LIMITADA</t>
  </si>
  <si>
    <t>CO0100002510</t>
  </si>
  <si>
    <t>CO0200002501</t>
  </si>
  <si>
    <t>CO0200002505</t>
  </si>
  <si>
    <t>CO0200002506</t>
  </si>
  <si>
    <t>CO0200002503</t>
  </si>
  <si>
    <t>CO0200002504</t>
  </si>
  <si>
    <t>H G HOLDING GROUP SAS</t>
  </si>
  <si>
    <t>CO0200002512</t>
  </si>
  <si>
    <t>CO0100002511</t>
  </si>
  <si>
    <t>ITALCOL ENERGIA S.A. E.S.P ITALENER S.A. E.S.P</t>
  </si>
  <si>
    <t>CO0800002514</t>
  </si>
  <si>
    <t>Inversiones Living SAS</t>
  </si>
  <si>
    <t>CO0100002516</t>
  </si>
  <si>
    <t>CO0500002515</t>
  </si>
  <si>
    <t>CO0500002513</t>
  </si>
  <si>
    <t>pvc gerfor sas</t>
  </si>
  <si>
    <t>CO0400002518</t>
  </si>
  <si>
    <t>AES</t>
  </si>
  <si>
    <t>CO0400002519</t>
  </si>
  <si>
    <t>GRUPO ACACIA S.A.S</t>
  </si>
  <si>
    <t>CO0100002523</t>
  </si>
  <si>
    <t>INGAF S.A.S.</t>
  </si>
  <si>
    <t>CO0500002521</t>
  </si>
  <si>
    <t>CO0100002522</t>
  </si>
  <si>
    <t>PAYLESS SHOESOURCE PSS DE COLOMBIA S.A.S.</t>
  </si>
  <si>
    <t>CO0800002520</t>
  </si>
  <si>
    <t>ESTADO ENERGY</t>
  </si>
  <si>
    <t>Facturando</t>
  </si>
  <si>
    <t>stand by</t>
  </si>
  <si>
    <t>anulado</t>
  </si>
  <si>
    <t>En proceso</t>
  </si>
  <si>
    <t>No</t>
  </si>
  <si>
    <t>NOVIEMBRE</t>
  </si>
  <si>
    <t>GRUPO LA SERRANIA S.A.S.</t>
  </si>
  <si>
    <t>CO0100002525</t>
  </si>
  <si>
    <t>MOLINOS GUANENTA SAS</t>
  </si>
  <si>
    <t>CO0800002524</t>
  </si>
  <si>
    <t>INDUSTRIA COLOMBIANA DE CONFECCIONES SA</t>
  </si>
  <si>
    <t>CO0600000524</t>
  </si>
  <si>
    <t>CONSORCIO RQS</t>
  </si>
  <si>
    <t>CO0200000683</t>
  </si>
  <si>
    <t>CO0200000682</t>
  </si>
  <si>
    <t>CO0200000276</t>
  </si>
  <si>
    <t>HERNAN - PATI?O FERNANDEZ</t>
  </si>
  <si>
    <t>CO0500000549</t>
  </si>
  <si>
    <t>CONSTRUCTORA TOMINA Y CIA S A</t>
  </si>
  <si>
    <t>CO0100000696</t>
  </si>
  <si>
    <t>Enel</t>
  </si>
  <si>
    <t>PRODUCTOS QIKELY S. A. SPRODUCTOS QIKELY S. A. S</t>
  </si>
  <si>
    <t>CO0200000297</t>
  </si>
  <si>
    <t>HEINZ DIENES SAS</t>
  </si>
  <si>
    <t>CO0100000546</t>
  </si>
  <si>
    <t>IVAN - ZAPATA GIRALDO</t>
  </si>
  <si>
    <t>CO0200000480</t>
  </si>
  <si>
    <t>POLLOS ZAMORANO LIMITADA</t>
  </si>
  <si>
    <t>CO0200000281</t>
  </si>
  <si>
    <t>JAMAYCO SAS</t>
  </si>
  <si>
    <t>CO0200000486</t>
  </si>
  <si>
    <t>BANDYFLEX S.A.S</t>
  </si>
  <si>
    <t>CO0100000779</t>
  </si>
  <si>
    <t>RESTCAFE SAS</t>
  </si>
  <si>
    <t>CO0100000336</t>
  </si>
  <si>
    <t>CO0100000337</t>
  </si>
  <si>
    <t>DISTRIVISION</t>
  </si>
  <si>
    <t>CO0800000642</t>
  </si>
  <si>
    <t>JUBISSAN PENA PATINO</t>
  </si>
  <si>
    <t>CO0800000788</t>
  </si>
  <si>
    <t>HENRY - NINO MIRANDA</t>
  </si>
  <si>
    <t>CO0100000548</t>
  </si>
  <si>
    <t>EVOLUTION PLASTIC S A S</t>
  </si>
  <si>
    <t>CO0100000601</t>
  </si>
  <si>
    <t>INVERSIONES COSIE SAS</t>
  </si>
  <si>
    <t>CO0800000502</t>
  </si>
  <si>
    <t>CO0100000582</t>
  </si>
  <si>
    <t>CO0100000581</t>
  </si>
  <si>
    <t>ESTRELLA ANDINA SAS</t>
  </si>
  <si>
    <t>CO0100000598</t>
  </si>
  <si>
    <t>CO0100000599</t>
  </si>
  <si>
    <t>CO0100000583</t>
  </si>
  <si>
    <t>GUACAMAYAS ES SAS</t>
  </si>
  <si>
    <t>CO0800000543</t>
  </si>
  <si>
    <t>CO0200000585</t>
  </si>
  <si>
    <t>CO0800000778</t>
  </si>
  <si>
    <t>CO0800000774</t>
  </si>
  <si>
    <t>CO0800000775</t>
  </si>
  <si>
    <t>CO0800000776</t>
  </si>
  <si>
    <t>CO0200000769</t>
  </si>
  <si>
    <t>CO0200000770</t>
  </si>
  <si>
    <t>CO0200000772</t>
  </si>
  <si>
    <t>CO0800000773</t>
  </si>
  <si>
    <t>CO0800000777</t>
  </si>
  <si>
    <t>CO0800000771</t>
  </si>
  <si>
    <t>AGROIDEAS S.A.S</t>
  </si>
  <si>
    <t>CO0400000893</t>
  </si>
  <si>
    <t>EDIFICIO PORVENIR PROPIEDAD HORIZONTAL</t>
  </si>
  <si>
    <t>CO0100000623</t>
  </si>
  <si>
    <t>AGROPLAST SAS</t>
  </si>
  <si>
    <t>CO0400000859</t>
  </si>
  <si>
    <t>CO0200001144</t>
  </si>
  <si>
    <t>CO0800001068</t>
  </si>
  <si>
    <t>CO0800001069</t>
  </si>
  <si>
    <t>CO0800001072</t>
  </si>
  <si>
    <t>CO0800001152</t>
  </si>
  <si>
    <t>CO0800001076</t>
  </si>
  <si>
    <t>CO0800001074</t>
  </si>
  <si>
    <t>CONJUNTO PARQUE RESIDENCIAL SAN JUAN PLAZA 1ETAPA</t>
  </si>
  <si>
    <t>CO0800000714</t>
  </si>
  <si>
    <t>CO0800000715</t>
  </si>
  <si>
    <t>CI PISCICOLA BOTERO SA</t>
  </si>
  <si>
    <t>CO0800000724</t>
  </si>
  <si>
    <t>BRAVO MENESES Y ASOCIADOS SAS</t>
  </si>
  <si>
    <t>CO0200000742</t>
  </si>
  <si>
    <t>SEGURIDAD DE OCCIDENTE LTDA</t>
  </si>
  <si>
    <t>CO0200000243</t>
  </si>
  <si>
    <t>DORIS ROCIO CONTRERAS SARMIENTO</t>
  </si>
  <si>
    <t>CO0100000782</t>
  </si>
  <si>
    <t>COMERCIALIZADORA DE CARNES PALMIRA SAS - Palmira (Dicel)</t>
  </si>
  <si>
    <t>CO0200000732</t>
  </si>
  <si>
    <t>ALBATROSS INVERSIONES Y NEGOCIOS SAS</t>
  </si>
  <si>
    <t>CO0800000863</t>
  </si>
  <si>
    <t>CO0800000864</t>
  </si>
  <si>
    <t>SUBWAY PACIFICO SAS</t>
  </si>
  <si>
    <t>CO0200000258</t>
  </si>
  <si>
    <t>ELMER SCHENEIDER CASA ANDINA SAS - Pasto (Dicel)</t>
  </si>
  <si>
    <t>CO0200000634</t>
  </si>
  <si>
    <t>DIVERTRONICA MEDELLIN SAS</t>
  </si>
  <si>
    <t>CO0200000650</t>
  </si>
  <si>
    <t>ALIMENTOS RODEO BBQ SAS</t>
  </si>
  <si>
    <t>CO0200000879</t>
  </si>
  <si>
    <t>MERCADOS FAMILIARES LTDA MERCAFAM LTDA</t>
  </si>
  <si>
    <t>CO0100000399</t>
  </si>
  <si>
    <t>MERCAFAM LTDA - SALVADOR CHACON</t>
  </si>
  <si>
    <t>CO0100000400</t>
  </si>
  <si>
    <t>ALFAPLAST E U</t>
  </si>
  <si>
    <t>CO0100000869</t>
  </si>
  <si>
    <t>HOTEL AMERICAN VISA</t>
  </si>
  <si>
    <t>CO0100000504</t>
  </si>
  <si>
    <t>CO0200000273</t>
  </si>
  <si>
    <t>CO0800000900</t>
  </si>
  <si>
    <t>REXICO SAS</t>
  </si>
  <si>
    <t>CO0800001154</t>
  </si>
  <si>
    <t>GUSTAVO ROJAS CARDOSO</t>
  </si>
  <si>
    <t>CO0800000544</t>
  </si>
  <si>
    <t>ESPANA TOBAR AGUSTIN FRANCO - INSUMOS Y ALIMENTOS DE IPIALES</t>
  </si>
  <si>
    <t>CO0200000596</t>
  </si>
  <si>
    <t>CHILCO DISTRIBUIDORA DE GAS Y ENERGIA SAS ESP</t>
  </si>
  <si>
    <t>CO0200000723</t>
  </si>
  <si>
    <t>INVERSIONES PAVA</t>
  </si>
  <si>
    <t>CO0200000540</t>
  </si>
  <si>
    <t>CONJUNTO RESIDENCIAL TORRES DE TEQUENDAMA PH</t>
  </si>
  <si>
    <t>CO0200000680</t>
  </si>
  <si>
    <t>APOLINAR BOLAÑOS</t>
  </si>
  <si>
    <t>CO0800000854</t>
  </si>
  <si>
    <t>ALTEA FARMACEUTICA S.A</t>
  </si>
  <si>
    <t>CO0100000848</t>
  </si>
  <si>
    <t>CO0100001125</t>
  </si>
  <si>
    <t>YESID - DIAZ CUELLAR</t>
  </si>
  <si>
    <t>CO0800000227</t>
  </si>
  <si>
    <t>JAVIER HERNAN VERA CADENA</t>
  </si>
  <si>
    <t>CO0800000450</t>
  </si>
  <si>
    <t>CO0200001158</t>
  </si>
  <si>
    <t>Humplast Investments Sas</t>
  </si>
  <si>
    <t>CO0100002526</t>
  </si>
  <si>
    <t>GRAFIFLEX S.A.S.</t>
  </si>
  <si>
    <t>CO0200002527</t>
  </si>
  <si>
    <t>CO0400002528</t>
  </si>
  <si>
    <t>CO0500002529</t>
  </si>
  <si>
    <t>ECO GREEN RECYCLING S.A.S ESP</t>
  </si>
  <si>
    <t>CO0500002550</t>
  </si>
  <si>
    <t>Classic Jeans</t>
  </si>
  <si>
    <t>CO0500002547</t>
  </si>
  <si>
    <t>CO0500002546</t>
  </si>
  <si>
    <t>CO0500002545</t>
  </si>
  <si>
    <t>CO0500002544</t>
  </si>
  <si>
    <t>CO0400002543</t>
  </si>
  <si>
    <t>CO0500002542</t>
  </si>
  <si>
    <t>CO0500002541</t>
  </si>
  <si>
    <t>CO0500002539</t>
  </si>
  <si>
    <t>CO0100002538</t>
  </si>
  <si>
    <t>CO0500002537</t>
  </si>
  <si>
    <t>CO0800002536</t>
  </si>
  <si>
    <t>CO0500002535</t>
  </si>
  <si>
    <t>CO0400002534</t>
  </si>
  <si>
    <t>CO0500002533</t>
  </si>
  <si>
    <t>CO0400002532</t>
  </si>
  <si>
    <t>CO0200002531</t>
  </si>
  <si>
    <t>CO0500002530</t>
  </si>
  <si>
    <t>CO0500002540</t>
  </si>
  <si>
    <t>CO0500002549</t>
  </si>
  <si>
    <t>CO0200002548</t>
  </si>
  <si>
    <t>ALIMENTOS MANBU SAS</t>
  </si>
  <si>
    <t>CO0500002551</t>
  </si>
  <si>
    <t>CO0400002555</t>
  </si>
  <si>
    <t>NOCABO SAS</t>
  </si>
  <si>
    <t>CO0100002552</t>
  </si>
  <si>
    <t>CO0400002553</t>
  </si>
  <si>
    <t>CO0400002554</t>
  </si>
  <si>
    <t>LOBO MSM SAS</t>
  </si>
  <si>
    <t>CO0500002556</t>
  </si>
  <si>
    <t>CO0400002560</t>
  </si>
  <si>
    <t>CO0400002559</t>
  </si>
  <si>
    <t>CO0400002558</t>
  </si>
  <si>
    <t>CO0400002557</t>
  </si>
  <si>
    <t>CO0400002562</t>
  </si>
  <si>
    <t>CO0400002561</t>
  </si>
  <si>
    <t>TAPIA HERNANDEZ EDWIN ALEXIS</t>
  </si>
  <si>
    <t>CO0500002563</t>
  </si>
  <si>
    <t>PLASTICOS DE COLOMBIA CB S.A.S.</t>
  </si>
  <si>
    <t>CO0100002564</t>
  </si>
  <si>
    <t>REPOSTERIA ELY S.A.S.</t>
  </si>
  <si>
    <t>CO0100002569</t>
  </si>
  <si>
    <t>CO0100002568</t>
  </si>
  <si>
    <t>CO0100002567</t>
  </si>
  <si>
    <t>CO0100002566</t>
  </si>
  <si>
    <t>CO0500002565</t>
  </si>
  <si>
    <t>CO0100002573</t>
  </si>
  <si>
    <t>CO0100002572</t>
  </si>
  <si>
    <t>CO0100002571</t>
  </si>
  <si>
    <t>CO0100002570</t>
  </si>
  <si>
    <t>BESPOKE COLOMBIA S.A.S.</t>
  </si>
  <si>
    <t>CO0100002576</t>
  </si>
  <si>
    <t>MAIDOOL ASTRID ARREDONDO HENRIQUEZ</t>
  </si>
  <si>
    <t>CO0500002577</t>
  </si>
  <si>
    <t>CO0100002574</t>
  </si>
  <si>
    <t>CO0100002575</t>
  </si>
  <si>
    <t>Altipal SAS</t>
  </si>
  <si>
    <t>CO0500002591</t>
  </si>
  <si>
    <t>CO0600002590</t>
  </si>
  <si>
    <t>CO0400002589</t>
  </si>
  <si>
    <t>CO0200002599</t>
  </si>
  <si>
    <t>CO0800002598</t>
  </si>
  <si>
    <t>CO0800002597</t>
  </si>
  <si>
    <t>CO0800002596</t>
  </si>
  <si>
    <t>CO0400002595</t>
  </si>
  <si>
    <t>CO0200002594</t>
  </si>
  <si>
    <t>CO0800002593</t>
  </si>
  <si>
    <t>CO0100002592</t>
  </si>
  <si>
    <t>CO0800002601</t>
  </si>
  <si>
    <t>CO0800002602</t>
  </si>
  <si>
    <t>CO0600002600</t>
  </si>
  <si>
    <t>JAIRO ALFONSO SUAREZ OROZCO</t>
  </si>
  <si>
    <t>CO0500002588</t>
  </si>
  <si>
    <t>TECNYPOL LTDA</t>
  </si>
  <si>
    <t>CO0100002583</t>
  </si>
  <si>
    <t>GASES Y SUMINISTROS DEL CARIBE S.A.S.</t>
  </si>
  <si>
    <t>CO0500002578</t>
  </si>
  <si>
    <t>GASES INDUSTRIALES DEL NORTE S.A.S.</t>
  </si>
  <si>
    <t>CO0500002579</t>
  </si>
  <si>
    <t>CO0500002580</t>
  </si>
  <si>
    <t>CO0100002581</t>
  </si>
  <si>
    <t>CO0100002582</t>
  </si>
  <si>
    <t>ICE CREAM HOUSE S A S</t>
  </si>
  <si>
    <t>CO0100002587</t>
  </si>
  <si>
    <t>INDUSTRIA AVICOLA INDUAVES SAS</t>
  </si>
  <si>
    <t>CO0100002586</t>
  </si>
  <si>
    <t>ECOBOX SAS</t>
  </si>
  <si>
    <t>CO0200002584</t>
  </si>
  <si>
    <t>CO0100002585</t>
  </si>
  <si>
    <t>INDUSTRIAS ALIMENTICIAS PINAR DEL RIO S.A.S.</t>
  </si>
  <si>
    <t>CO0500002608</t>
  </si>
  <si>
    <t>CO0500002603</t>
  </si>
  <si>
    <t>Gladys Esther Gualdron</t>
  </si>
  <si>
    <t>CO0500002609</t>
  </si>
  <si>
    <t>Mes</t>
  </si>
  <si>
    <t>Días</t>
  </si>
  <si>
    <t>ABRIL</t>
  </si>
  <si>
    <t>MAYO</t>
  </si>
  <si>
    <t>JUNIO</t>
  </si>
  <si>
    <t>JULIO</t>
  </si>
  <si>
    <t>AGOSTO</t>
  </si>
  <si>
    <t>SEPTIEMBRE</t>
  </si>
  <si>
    <t>OCTUBRE</t>
  </si>
  <si>
    <t>Solo necesitamos de las columnas presentes en la imagen</t>
  </si>
  <si>
    <t>Total</t>
  </si>
  <si>
    <t>GWh/mes</t>
  </si>
  <si>
    <t>en proceso</t>
  </si>
  <si>
    <t>facturando</t>
  </si>
  <si>
    <t>Resgistrados</t>
  </si>
  <si>
    <t>No tendremos en cuenta los que tienen estado anulado</t>
  </si>
  <si>
    <t>Se debe tener en cuenta los estado facturando y en proceso</t>
  </si>
  <si>
    <t>Para las fechas de activación solo tener en cuenta del mes en curso hacia adelante</t>
  </si>
  <si>
    <t>No tener en cuenta el estado anulado y stand by</t>
  </si>
  <si>
    <t>En programación</t>
  </si>
  <si>
    <t>anulado: Desistido</t>
  </si>
  <si>
    <t>Estado: En proceso, NUEVAS</t>
  </si>
  <si>
    <t>Se activó en 2022</t>
  </si>
  <si>
    <t>Se activó en 2023</t>
  </si>
  <si>
    <t>stand by: Devolver Sales</t>
  </si>
  <si>
    <t>Validación aeropuerto</t>
  </si>
  <si>
    <t>Fecha de activación</t>
  </si>
  <si>
    <t>En programación Frcst.</t>
  </si>
  <si>
    <t>Sin Registro</t>
  </si>
  <si>
    <t>Error</t>
  </si>
  <si>
    <t>Fronteras</t>
  </si>
  <si>
    <t>Por revisar</t>
  </si>
  <si>
    <t>Activaciones programadas (+)</t>
  </si>
  <si>
    <t>Activaciones no programadas (+)</t>
  </si>
  <si>
    <t>Activaciones totales (=)</t>
  </si>
  <si>
    <t>Consumo mes activación</t>
  </si>
  <si>
    <t>Consumo promedio mes</t>
  </si>
  <si>
    <t>Fecha</t>
  </si>
  <si>
    <t>Demanda facturada MR</t>
  </si>
  <si>
    <t>Demanda facturada MNR</t>
  </si>
  <si>
    <t>demanda total por activar MR</t>
  </si>
  <si>
    <t>demanda total por activar MNR</t>
  </si>
  <si>
    <t>Demanda activable MR</t>
  </si>
  <si>
    <t>Demanda activable MNR</t>
  </si>
  <si>
    <t>Ventas Derivex MR</t>
  </si>
  <si>
    <t>Ventas Derivex MNR</t>
  </si>
  <si>
    <t>Deficit MR</t>
  </si>
  <si>
    <t>Energía Disponible MR</t>
  </si>
  <si>
    <t>Energía Disponible MNR</t>
  </si>
  <si>
    <t>Deficit MNR</t>
  </si>
  <si>
    <t>Activaciones nuevas MNR</t>
  </si>
  <si>
    <t>Activaciones nuevas MR</t>
  </si>
  <si>
    <t>Año/mes activación</t>
  </si>
  <si>
    <t>Activaciones promedio mes MR</t>
  </si>
  <si>
    <t>Activaciones promedio mes MNR</t>
  </si>
  <si>
    <t>MR</t>
  </si>
  <si>
    <t>MNR</t>
  </si>
  <si>
    <t>MINISO COLOMBIA S A S</t>
  </si>
  <si>
    <t>CO0800002662</t>
  </si>
  <si>
    <t>CO0600002682</t>
  </si>
  <si>
    <t>CO0500002663</t>
  </si>
  <si>
    <t>CO0200002664</t>
  </si>
  <si>
    <t>CO0200002665</t>
  </si>
  <si>
    <t>CO0200002666</t>
  </si>
  <si>
    <t>CO0500002667</t>
  </si>
  <si>
    <t>CO0800002668</t>
  </si>
  <si>
    <t>CO0500002669</t>
  </si>
  <si>
    <t>CO0500002670</t>
  </si>
  <si>
    <t>CO0500002671</t>
  </si>
  <si>
    <t>CO0200002672</t>
  </si>
  <si>
    <t>CO0500002673</t>
  </si>
  <si>
    <t>CO0800002674</t>
  </si>
  <si>
    <t>CO0100002647</t>
  </si>
  <si>
    <t>CO0200002675</t>
  </si>
  <si>
    <t>CO0100002676</t>
  </si>
  <si>
    <t>CO0500002683</t>
  </si>
  <si>
    <t>CO0500002659</t>
  </si>
  <si>
    <t>CO0100002658</t>
  </si>
  <si>
    <t>CO0100002648</t>
  </si>
  <si>
    <t>CO0100002657</t>
  </si>
  <si>
    <t>CO0100002656</t>
  </si>
  <si>
    <t>CO0100002655</t>
  </si>
  <si>
    <t>CO0400002619</t>
  </si>
  <si>
    <t>CO0100002654</t>
  </si>
  <si>
    <t>CO0200002653</t>
  </si>
  <si>
    <t>CO0200002652</t>
  </si>
  <si>
    <t>CO0100002651</t>
  </si>
  <si>
    <t>CO0400002617</t>
  </si>
  <si>
    <t>CO0800002678</t>
  </si>
  <si>
    <t>CO0400002660</t>
  </si>
  <si>
    <t>CO0500002661</t>
  </si>
  <si>
    <t>CO0400002646</t>
  </si>
  <si>
    <t>CO0100002645</t>
  </si>
  <si>
    <t>CO0100002644</t>
  </si>
  <si>
    <t>CO0500002677</t>
  </si>
  <si>
    <t>CO0100002643</t>
  </si>
  <si>
    <t>CO0100002642</t>
  </si>
  <si>
    <t>CO0100002679</t>
  </si>
  <si>
    <t>CO0400002680</t>
  </si>
  <si>
    <t>CO0200002681</t>
  </si>
  <si>
    <t>CO0400002641</t>
  </si>
  <si>
    <t>CO0400002620</t>
  </si>
  <si>
    <t>CO0400002618</t>
  </si>
  <si>
    <t>CO0100002650</t>
  </si>
  <si>
    <t>CO0100002649</t>
  </si>
  <si>
    <t>MADISLAV DEKO S A S</t>
  </si>
  <si>
    <t>CO0100002616</t>
  </si>
  <si>
    <t>IL BAMBINO KITCHEN S.A.S</t>
  </si>
  <si>
    <t>CO0500002610</t>
  </si>
  <si>
    <t>CO0500002611</t>
  </si>
  <si>
    <t>SYNTOFARMA S A</t>
  </si>
  <si>
    <t>CO0100002612</t>
  </si>
  <si>
    <t>CO0100002613</t>
  </si>
  <si>
    <t>CO0100002614</t>
  </si>
  <si>
    <t>CO0100002615</t>
  </si>
  <si>
    <t>CO0200001812</t>
  </si>
  <si>
    <t xml:space="preserve"> Activo Pendiente Instalación</t>
  </si>
  <si>
    <t xml:space="preserve">	CAV AUTOMOTORES S.A.S</t>
  </si>
  <si>
    <t xml:space="preserve">	COMPRA DE CAFE WILFREDO ROJAS</t>
  </si>
  <si>
    <t xml:space="preserve">	SUB LAT SAS</t>
  </si>
  <si>
    <t>ORLANDO  CALDERON FIERRO</t>
  </si>
  <si>
    <t>5.,290.00</t>
  </si>
  <si>
    <t>inversiones  santa ines sa</t>
  </si>
  <si>
    <t>Demanda activable no vendida MR</t>
  </si>
  <si>
    <t>Demanda activable no vendida MNR</t>
  </si>
  <si>
    <t>Activaciones en revisión MR</t>
  </si>
  <si>
    <t>Activaciones en revisión MNR</t>
  </si>
  <si>
    <t>SPORT CLUB BAQ S.A.S.</t>
  </si>
  <si>
    <t>CO0500002685</t>
  </si>
  <si>
    <t>CDA ANSERMA ZOMAC S.A.S</t>
  </si>
  <si>
    <t>CO0800002684</t>
  </si>
  <si>
    <t>En fecha de activación eliminar los 0s y poner las celdas vacías</t>
  </si>
  <si>
    <t>Revisar los errores</t>
  </si>
  <si>
    <t>No tengo consumo</t>
  </si>
  <si>
    <t xml:space="preserve">Desistido </t>
  </si>
  <si>
    <t>PLURA SAS</t>
  </si>
  <si>
    <t>CO0100002686</t>
  </si>
  <si>
    <t>YELLOW CLUB S.A.S</t>
  </si>
  <si>
    <t>CO0500002689</t>
  </si>
  <si>
    <t>Fundación Don Tito</t>
  </si>
  <si>
    <t>CO0500002691</t>
  </si>
  <si>
    <t>CO0500002690</t>
  </si>
  <si>
    <t>CO0500002688</t>
  </si>
  <si>
    <t>Base Poperty Group</t>
  </si>
  <si>
    <t>CO0100002687</t>
  </si>
  <si>
    <t>CO0100001674</t>
  </si>
  <si>
    <t>CO0100001191 - AGPE</t>
  </si>
  <si>
    <t>CO0500001334</t>
  </si>
  <si>
    <t>CO5754039 - AGPE</t>
  </si>
  <si>
    <t>R&amp;B INVESTMENTS S.A.S</t>
  </si>
  <si>
    <t>Frutos del mar pym, HECTOR HUGO CASTRO RADRIGUEZ</t>
  </si>
  <si>
    <t>CO0800002713</t>
  </si>
  <si>
    <t>CO0800002709</t>
  </si>
  <si>
    <t>CO0800002710</t>
  </si>
  <si>
    <t>INDUSTRIAS ALIMENTICIAS LAWI S.A.S.</t>
  </si>
  <si>
    <t>CO0500002708</t>
  </si>
  <si>
    <t>CO0500002707</t>
  </si>
  <si>
    <t>CO0800002711</t>
  </si>
  <si>
    <t>CO0800002712</t>
  </si>
  <si>
    <t>PROTECHOS PVC SAS</t>
  </si>
  <si>
    <t>CO0100002714</t>
  </si>
  <si>
    <t>NINANIA SAS</t>
  </si>
  <si>
    <t>CO0500002699</t>
  </si>
  <si>
    <t>CO0500002700</t>
  </si>
  <si>
    <t>CO0500002701</t>
  </si>
  <si>
    <t>CO0500002702</t>
  </si>
  <si>
    <t>CO0500002692</t>
  </si>
  <si>
    <t>CO0500002693</t>
  </si>
  <si>
    <t>CO0500002694</t>
  </si>
  <si>
    <t>CO0500002695</t>
  </si>
  <si>
    <t>CO0500002696</t>
  </si>
  <si>
    <t>CO0500002697</t>
  </si>
  <si>
    <t>CO0500002698</t>
  </si>
  <si>
    <t>CO0500002703</t>
  </si>
  <si>
    <t>Claudia Posada de Mancini</t>
  </si>
  <si>
    <t>CO0500002706</t>
  </si>
  <si>
    <t>MORIONES RENGIFO ALEXANDER</t>
  </si>
  <si>
    <t>CO0200002705</t>
  </si>
  <si>
    <t>AMICRESPA SALON ACADEMIA S.A.S.</t>
  </si>
  <si>
    <t>CO0500002704</t>
  </si>
  <si>
    <t>ACI PROYECTOS SAS</t>
  </si>
  <si>
    <t>CO0100002715</t>
  </si>
  <si>
    <t>CO0100002720</t>
  </si>
  <si>
    <t>CLINICA FUNDACION IPS</t>
  </si>
  <si>
    <t>CO0500002721</t>
  </si>
  <si>
    <t>inversiones ogavi</t>
  </si>
  <si>
    <t>CO0400002722</t>
  </si>
  <si>
    <t>C.I COL ZIPPER LTDA</t>
  </si>
  <si>
    <t>CO0400002723</t>
  </si>
  <si>
    <t>CO0100002719</t>
  </si>
  <si>
    <t>CO0100002718</t>
  </si>
  <si>
    <t>CO0100002717</t>
  </si>
  <si>
    <t>CO0100002716</t>
  </si>
  <si>
    <t>Clinica Higea IPS SA</t>
  </si>
  <si>
    <t>VALENTINA AZUL COLOMBIA S.A.S.</t>
  </si>
  <si>
    <t>CO0500002724</t>
  </si>
  <si>
    <t>Empresas Lopez SAS</t>
  </si>
  <si>
    <t>CO0500002725</t>
  </si>
  <si>
    <t>CO0500002730</t>
  </si>
  <si>
    <t>CO0500002729</t>
  </si>
  <si>
    <t>CO0500002728</t>
  </si>
  <si>
    <t>CO0500002727</t>
  </si>
  <si>
    <t>CO0500002726</t>
  </si>
  <si>
    <t>CO0500002731</t>
  </si>
  <si>
    <t>CO0100000996</t>
  </si>
  <si>
    <t>CO0800000885</t>
  </si>
  <si>
    <t>CO0500000755</t>
  </si>
  <si>
    <t>CO0800000382</t>
  </si>
  <si>
    <t>CO0400000296</t>
  </si>
  <si>
    <t>CO0500000756</t>
  </si>
  <si>
    <t>CO0800000436</t>
  </si>
  <si>
    <t>CO0100000809</t>
  </si>
  <si>
    <t>CO0500000303</t>
  </si>
  <si>
    <t>CO0100000811</t>
  </si>
  <si>
    <t>CO0100000188</t>
  </si>
  <si>
    <t>CO0800000851</t>
  </si>
  <si>
    <t>CO0800000643</t>
  </si>
  <si>
    <t>CO0800000644</t>
  </si>
  <si>
    <t>CO0800000645</t>
  </si>
  <si>
    <t>CO0800000647</t>
  </si>
  <si>
    <t>CO0800000648</t>
  </si>
  <si>
    <t>CO0800000649</t>
  </si>
  <si>
    <t>CO0800000646</t>
  </si>
  <si>
    <t>CO0100000467</t>
  </si>
  <si>
    <t>CO0800000312</t>
  </si>
  <si>
    <t>CO0400000153</t>
  </si>
  <si>
    <t>CO0400000154</t>
  </si>
  <si>
    <t>CO0100000206</t>
  </si>
  <si>
    <t>CO0200000897</t>
  </si>
  <si>
    <t>CO0800000915</t>
  </si>
  <si>
    <t>CO0800000667</t>
  </si>
  <si>
    <t>CO0800000452</t>
  </si>
  <si>
    <t>CO0800000417</t>
  </si>
  <si>
    <t>CO0800000299</t>
  </si>
  <si>
    <t>CO0800000301</t>
  </si>
  <si>
    <t>CO0200000898</t>
  </si>
  <si>
    <t>CO0200000899</t>
  </si>
  <si>
    <t>CO0500000435</t>
  </si>
  <si>
    <t>CO0800000371</t>
  </si>
  <si>
    <t>CO0200000361</t>
  </si>
  <si>
    <t>CO0100000314</t>
  </si>
  <si>
    <t>CO0800000460</t>
  </si>
  <si>
    <t>CO0800000461</t>
  </si>
  <si>
    <t>CO0500000354</t>
  </si>
  <si>
    <t>CO0500000189</t>
  </si>
  <si>
    <t>CO0400000760</t>
  </si>
  <si>
    <t>CO0200000705</t>
  </si>
  <si>
    <t>CO0200000594</t>
  </si>
  <si>
    <t>CO0200000481</t>
  </si>
  <si>
    <t>CO0800000457</t>
  </si>
  <si>
    <t>CO0200000373</t>
  </si>
  <si>
    <t>CO0100000220</t>
  </si>
  <si>
    <t>CO0400000221</t>
  </si>
  <si>
    <t>CO0400000853</t>
  </si>
  <si>
    <t>CO0800000612</t>
  </si>
  <si>
    <t>CO0800000211</t>
  </si>
  <si>
    <t>CO0800000212</t>
  </si>
  <si>
    <t>CO0200000917</t>
  </si>
  <si>
    <t>CO0100000662</t>
  </si>
  <si>
    <t>CO0200000431</t>
  </si>
  <si>
    <t>CO0400000432</t>
  </si>
  <si>
    <t>CO0200000329</t>
  </si>
  <si>
    <t>CO0200000876</t>
  </si>
  <si>
    <t>CO0500000576</t>
  </si>
  <si>
    <t>CO0800000328</t>
  </si>
  <si>
    <t>CO0200001140</t>
  </si>
  <si>
    <t>CO0800000861</t>
  </si>
  <si>
    <t>CO0100000490</t>
  </si>
  <si>
    <t>CO0800000307</t>
  </si>
  <si>
    <t>CO0200000213</t>
  </si>
  <si>
    <t>CO0800000216</t>
  </si>
  <si>
    <t>CO0200000717</t>
  </si>
  <si>
    <t>CO0400000600</t>
  </si>
  <si>
    <t>CO0100000519</t>
  </si>
  <si>
    <t>CO0200000453</t>
  </si>
  <si>
    <t>CO0200000427</t>
  </si>
  <si>
    <t>CO0800000415</t>
  </si>
  <si>
    <t>CO0800000416</t>
  </si>
  <si>
    <t>CO0200000372</t>
  </si>
  <si>
    <t>CO0800000358</t>
  </si>
  <si>
    <t>CO0800000305</t>
  </si>
  <si>
    <t>CO0800000849</t>
  </si>
  <si>
    <t>CO0800000850</t>
  </si>
  <si>
    <t>CO0100000766</t>
  </si>
  <si>
    <t>CO0100000743</t>
  </si>
  <si>
    <t>CO0100000744</t>
  </si>
  <si>
    <t>CO0100000745</t>
  </si>
  <si>
    <t>CO0100000746</t>
  </si>
  <si>
    <t>CO0800000697</t>
  </si>
  <si>
    <t>CO0800000661</t>
  </si>
  <si>
    <t>CO0200000673</t>
  </si>
  <si>
    <t>CO0400000595</t>
  </si>
  <si>
    <t>CO0200000552</t>
  </si>
  <si>
    <t>CO0200000553</t>
  </si>
  <si>
    <t>CO0200000554</t>
  </si>
  <si>
    <t>CO0800000515</t>
  </si>
  <si>
    <t>CO0100000410</t>
  </si>
  <si>
    <t>CO0200001143</t>
  </si>
  <si>
    <t>CO0200000294</t>
  </si>
  <si>
    <t>CO0800000340</t>
  </si>
  <si>
    <t>CO0800000245</t>
  </si>
  <si>
    <t>CO0800000246</t>
  </si>
  <si>
    <t>CO0800000360</t>
  </si>
  <si>
    <t>CO0200000251</t>
  </si>
  <si>
    <t>CO0200000871</t>
  </si>
  <si>
    <t>CO0200000872</t>
  </si>
  <si>
    <t>CO0200000873</t>
  </si>
  <si>
    <t>CO0800000730</t>
  </si>
  <si>
    <t>CO0500000703</t>
  </si>
  <si>
    <t>CO0200000670</t>
  </si>
  <si>
    <t>CO0200000671</t>
  </si>
  <si>
    <t>CO0200000672</t>
  </si>
  <si>
    <t>CO0200001142</t>
  </si>
  <si>
    <t>CO0800000631</t>
  </si>
  <si>
    <t>CO0200000632</t>
  </si>
  <si>
    <t>CO0600000633</t>
  </si>
  <si>
    <t>CO0100000591</t>
  </si>
  <si>
    <t>CO0400000518</t>
  </si>
  <si>
    <t>CO0800000462</t>
  </si>
  <si>
    <t>CO0100000252</t>
  </si>
  <si>
    <t>CO0200001122</t>
  </si>
  <si>
    <t>CO0800000753</t>
  </si>
  <si>
    <t>CAMARA DE COMERCIO DE HONDA GUADUAS Y NORTE DEL TOLIMA - Honda (Dicel)</t>
  </si>
  <si>
    <t>CO0500000529</t>
  </si>
  <si>
    <t>CO0100000496</t>
  </si>
  <si>
    <t>CO0100000215</t>
  </si>
  <si>
    <t>CO0800000217</t>
  </si>
  <si>
    <t>CO0200000741</t>
  </si>
  <si>
    <t>CO0500000720</t>
  </si>
  <si>
    <t>CO0800000580</t>
  </si>
  <si>
    <t>CO0800000590</t>
  </si>
  <si>
    <t>CO0800000414</t>
  </si>
  <si>
    <t>CO0800000810</t>
  </si>
  <si>
    <t>CO0100000298</t>
  </si>
  <si>
    <t>CO0200001120</t>
  </si>
  <si>
    <t>CO0200001115</t>
  </si>
  <si>
    <t>CO0800000765</t>
  </si>
  <si>
    <t>CO0800000658</t>
  </si>
  <si>
    <t>CO0800000659</t>
  </si>
  <si>
    <t>CO0800000785</t>
  </si>
  <si>
    <t>CO0200000523</t>
  </si>
  <si>
    <t>CO0600000525</t>
  </si>
  <si>
    <t>CO0800000527</t>
  </si>
  <si>
    <t>CO0800000497</t>
  </si>
  <si>
    <t>CO0100000287</t>
  </si>
  <si>
    <t>CO0200001099</t>
  </si>
  <si>
    <t>CO0200000256</t>
  </si>
  <si>
    <t>CO0200000877</t>
  </si>
  <si>
    <t>CO0200000878</t>
  </si>
  <si>
    <t>CO0200000838</t>
  </si>
  <si>
    <t>CO0200000874</t>
  </si>
  <si>
    <t>CO0200000875</t>
  </si>
  <si>
    <t>CO0200001164</t>
  </si>
  <si>
    <t>CO0200000541</t>
  </si>
  <si>
    <t>CO0200000542</t>
  </si>
  <si>
    <t>CO0500000240</t>
  </si>
  <si>
    <t>CO0100000242</t>
  </si>
  <si>
    <t>CO0200001100</t>
  </si>
  <si>
    <t>CO0100000413</t>
  </si>
  <si>
    <t>CO0100000219</t>
  </si>
  <si>
    <t>CO0400000586</t>
  </si>
  <si>
    <t>AXIONLOG SAS CTA1</t>
  </si>
  <si>
    <t>CO0800000707</t>
  </si>
  <si>
    <t>CO0100000492</t>
  </si>
  <si>
    <t>CO0100000322</t>
  </si>
  <si>
    <t>CO0100000323</t>
  </si>
  <si>
    <t>CO0800000335</t>
  </si>
  <si>
    <t>CO0200000619</t>
  </si>
  <si>
    <t>CO0200000575</t>
  </si>
  <si>
    <t>CO0200000578</t>
  </si>
  <si>
    <t>CO0800000547</t>
  </si>
  <si>
    <t>CO0400000731</t>
  </si>
  <si>
    <t>CO0100000679</t>
  </si>
  <si>
    <t>CO0200000780</t>
  </si>
  <si>
    <t>CO0200001128</t>
  </si>
  <si>
    <t>CO0200001130</t>
  </si>
  <si>
    <t>CO0200000405</t>
  </si>
  <si>
    <t>CO0200000712</t>
  </si>
  <si>
    <t>CO0200000507</t>
  </si>
  <si>
    <t>CO0200000508</t>
  </si>
  <si>
    <t>CO0800000868</t>
  </si>
  <si>
    <t>CO0800000605</t>
  </si>
  <si>
    <t>CO0800000865</t>
  </si>
  <si>
    <t>CO0800000767</t>
  </si>
  <si>
    <t>CO0200000787</t>
  </si>
  <si>
    <t>CO0200000786</t>
  </si>
  <si>
    <t>CO0200001148</t>
  </si>
  <si>
    <t>CO0400000493</t>
  </si>
  <si>
    <t>CO0100000494</t>
  </si>
  <si>
    <t>CO0400000495</t>
  </si>
  <si>
    <t>CO0100000433</t>
  </si>
  <si>
    <t>CO0100000241</t>
  </si>
  <si>
    <t>CO0200000668</t>
  </si>
  <si>
    <t>CO0200000708</t>
  </si>
  <si>
    <t>CO0200000709</t>
  </si>
  <si>
    <t>CO0200000710</t>
  </si>
  <si>
    <t>CO0200000711</t>
  </si>
  <si>
    <t>CO0200000718</t>
  </si>
  <si>
    <t>CO0800000603</t>
  </si>
  <si>
    <t>CO0800000604</t>
  </si>
  <si>
    <t>CO0200001136</t>
  </si>
  <si>
    <t>CO0200001134</t>
  </si>
  <si>
    <t>CO0100001127</t>
  </si>
  <si>
    <t>CO0800001071</t>
  </si>
  <si>
    <t>CO0200001124</t>
  </si>
  <si>
    <t>CO0100000841</t>
  </si>
  <si>
    <t>CO0100000842</t>
  </si>
  <si>
    <t>CO0100000844</t>
  </si>
  <si>
    <t>CO0200000845</t>
  </si>
  <si>
    <t>CO0200000846</t>
  </si>
  <si>
    <t>CO0200000852</t>
  </si>
  <si>
    <t>CO0500000747</t>
  </si>
  <si>
    <t>CO0200000695</t>
  </si>
  <si>
    <t>CO0200001101</t>
  </si>
  <si>
    <t>CO0800000348</t>
  </si>
  <si>
    <t>CO0800000350</t>
  </si>
  <si>
    <t>CO0100000208</t>
  </si>
  <si>
    <t>CO0800000485</t>
  </si>
  <si>
    <t>CO0500000295</t>
  </si>
  <si>
    <t>CO0800000194</t>
  </si>
  <si>
    <t>CO0800000229</t>
  </si>
  <si>
    <t>CO0200000555</t>
  </si>
  <si>
    <t>CO0100000489</t>
  </si>
  <si>
    <t>CO0100000376</t>
  </si>
  <si>
    <t>CO0200000343</t>
  </si>
  <si>
    <t>CO0200000344</t>
  </si>
  <si>
    <t>CO0200000345</t>
  </si>
  <si>
    <t>CO0200000346</t>
  </si>
  <si>
    <t>CO0200000347</t>
  </si>
  <si>
    <t>CO0800000349</t>
  </si>
  <si>
    <t>CO0800000351</t>
  </si>
  <si>
    <t>CO0800000352</t>
  </si>
  <si>
    <t>CO0200000338</t>
  </si>
  <si>
    <t>CO0200000866</t>
  </si>
  <si>
    <t>CO0200001141</t>
  </si>
  <si>
    <t>CO0800000339</t>
  </si>
  <si>
    <t>CO0800000867</t>
  </si>
  <si>
    <t>CO0100001159</t>
  </si>
  <si>
    <t>CO0200001162</t>
  </si>
  <si>
    <t>CO0200001163</t>
  </si>
  <si>
    <t>CO0200001102</t>
  </si>
  <si>
    <t>CO0200001103</t>
  </si>
  <si>
    <t>CO0500000704</t>
  </si>
  <si>
    <t>CO0800000664</t>
  </si>
  <si>
    <t>CO0500000458</t>
  </si>
  <si>
    <t>CO0800000438</t>
  </si>
  <si>
    <t>CO0800000439</t>
  </si>
  <si>
    <t>CO0800000379</t>
  </si>
  <si>
    <t>CO0100000331</t>
  </si>
  <si>
    <t>CO0100000883</t>
  </si>
  <si>
    <t>CO0200000253</t>
  </si>
  <si>
    <t>MOTEL PARADISE</t>
  </si>
  <si>
    <t>CO0800000359</t>
  </si>
  <si>
    <t>CO0100000306</t>
  </si>
  <si>
    <t>CO0200000333</t>
  </si>
  <si>
    <t>CO0800000334</t>
  </si>
  <si>
    <t>CO0800000887</t>
  </si>
  <si>
    <t>CO0100000754</t>
  </si>
  <si>
    <t>CO0200000722</t>
  </si>
  <si>
    <t>CO0200000656</t>
  </si>
  <si>
    <t>CO0100000625</t>
  </si>
  <si>
    <t>CO0100000630</t>
  </si>
  <si>
    <t>CO0800000610</t>
  </si>
  <si>
    <t>CO0100000472</t>
  </si>
  <si>
    <t>CO0200000412</t>
  </si>
  <si>
    <t>CO0800000424</t>
  </si>
  <si>
    <t>CO0500000369</t>
  </si>
  <si>
    <t>CO0100000923</t>
  </si>
  <si>
    <t>CO0200001165</t>
  </si>
  <si>
    <t>CO0800001156</t>
  </si>
  <si>
    <t>CO0200000254</t>
  </si>
  <si>
    <t>CO0200000255</t>
  </si>
  <si>
    <t>CO0200001123</t>
  </si>
  <si>
    <t>CO0100000261</t>
  </si>
  <si>
    <t>CO0100000262</t>
  </si>
  <si>
    <t>CO0100000263</t>
  </si>
  <si>
    <t>CO0100000264</t>
  </si>
  <si>
    <t>CO0100000265</t>
  </si>
  <si>
    <t>CO0100000266</t>
  </si>
  <si>
    <t>CO0600000267</t>
  </si>
  <si>
    <t>CO0200000222</t>
  </si>
  <si>
    <t>CO0200000224</t>
  </si>
  <si>
    <t>CO0200000225</t>
  </si>
  <si>
    <t>CO0200000226</t>
  </si>
  <si>
    <t>CO0100000748</t>
  </si>
  <si>
    <t>CO0800000749</t>
  </si>
  <si>
    <t>CO0800000750</t>
  </si>
  <si>
    <t>CO0800000751</t>
  </si>
  <si>
    <t>CO0400000752</t>
  </si>
  <si>
    <t>CO0200000505</t>
  </si>
  <si>
    <t>CO0800000454</t>
  </si>
  <si>
    <t>CO0800000401</t>
  </si>
  <si>
    <t>CO0800000190</t>
  </si>
  <si>
    <t>CO0800000191</t>
  </si>
  <si>
    <t>CO0200000684</t>
  </si>
  <si>
    <t>CO0200000685</t>
  </si>
  <si>
    <t>CO0200000686</t>
  </si>
  <si>
    <t>CO0200000688</t>
  </si>
  <si>
    <t>CO0200000689</t>
  </si>
  <si>
    <t>CO0800000691</t>
  </si>
  <si>
    <t>CO0800000692</t>
  </si>
  <si>
    <t>CO0200000693</t>
  </si>
  <si>
    <t>CO0200000694</t>
  </si>
  <si>
    <t>CO0200000592</t>
  </si>
  <si>
    <t>CO0200000187</t>
  </si>
  <si>
    <t>CO0100000315</t>
  </si>
  <si>
    <t>CO0200000317</t>
  </si>
  <si>
    <t>CO0200000862</t>
  </si>
  <si>
    <t>CO0200000259</t>
  </si>
  <si>
    <t>CO0200000260</t>
  </si>
  <si>
    <t>CO0100000884</t>
  </si>
  <si>
    <t>CO0200000629</t>
  </si>
  <si>
    <t>CO0800000321</t>
  </si>
  <si>
    <t>CO0200000271</t>
  </si>
  <si>
    <t>CO0200000272</t>
  </si>
  <si>
    <t>CO0200000274</t>
  </si>
  <si>
    <t>CO0600000275</t>
  </si>
  <si>
    <t>CO0200000277</t>
  </si>
  <si>
    <t>CO0800000902</t>
  </si>
  <si>
    <t>CO0200000904</t>
  </si>
  <si>
    <t>CO0200000905</t>
  </si>
  <si>
    <t>CO0200000906</t>
  </si>
  <si>
    <t>CO0600000907</t>
  </si>
  <si>
    <t>CO0600000908</t>
  </si>
  <si>
    <t>CO0600000909</t>
  </si>
  <si>
    <t>CO0800000931</t>
  </si>
  <si>
    <t>CO0800000185</t>
  </si>
  <si>
    <t>CO0800000186</t>
  </si>
  <si>
    <t>CO0200000636</t>
  </si>
  <si>
    <t>CO0200000637</t>
  </si>
  <si>
    <t>CO0200000638</t>
  </si>
  <si>
    <t>CO0500000919</t>
  </si>
  <si>
    <t>CO0800000545</t>
  </si>
  <si>
    <t>CO0200001112</t>
  </si>
  <si>
    <t>CO0200001109</t>
  </si>
  <si>
    <t>CO0800000870</t>
  </si>
  <si>
    <t>CO0500000721</t>
  </si>
  <si>
    <t>CO0800000584</t>
  </si>
  <si>
    <t>CO0100000597</t>
  </si>
  <si>
    <t>CO0500000918</t>
  </si>
  <si>
    <t>CO0800001070</t>
  </si>
  <si>
    <t>CO0800001077</t>
  </si>
  <si>
    <t>CO0200000445</t>
  </si>
  <si>
    <t>CO0200000675</t>
  </si>
  <si>
    <t>CO0800000676</t>
  </si>
  <si>
    <t>CO0100000316</t>
  </si>
  <si>
    <t>CO0200000579</t>
  </si>
  <si>
    <t>CO0400000816</t>
  </si>
  <si>
    <t>ECOLIMPIA SAS ESP</t>
  </si>
  <si>
    <t>CO0200002732</t>
  </si>
  <si>
    <t>EUROTECKNICA S.L. S.A.S</t>
  </si>
  <si>
    <t>CO0400002734</t>
  </si>
  <si>
    <t>CO0400002733</t>
  </si>
  <si>
    <t>Pastelitos Pipo</t>
  </si>
  <si>
    <t>CO0200002737</t>
  </si>
  <si>
    <t>LOGISTICA DE DISTRIBUCION SANCHEZ POLO S A</t>
  </si>
  <si>
    <t>CO0500002736</t>
  </si>
  <si>
    <t>Spinning Center Gym SAS</t>
  </si>
  <si>
    <t>CO0100002735</t>
  </si>
  <si>
    <t>CO0100002738</t>
  </si>
  <si>
    <t>Firmados Sales</t>
  </si>
  <si>
    <t>Firmados inorganico</t>
  </si>
  <si>
    <t>Tarifa promedio</t>
  </si>
  <si>
    <t>USD</t>
  </si>
  <si>
    <t>Límite GMV MUSD MR</t>
  </si>
  <si>
    <t>Límite GMV MUSD MNR</t>
  </si>
  <si>
    <t>Demanda GMV GWh MR</t>
  </si>
  <si>
    <t>Demanda GMV GWh MNR</t>
  </si>
  <si>
    <t>Demanda GMV MUSD MR</t>
  </si>
  <si>
    <t>Demanda GMV MUSD MNR</t>
  </si>
  <si>
    <t>CO0100001503A</t>
  </si>
  <si>
    <t>CO0100001042</t>
  </si>
  <si>
    <t>ESTRELLA ANDINA</t>
  </si>
  <si>
    <t>Rnr asociados sas</t>
  </si>
  <si>
    <t>CO0500002739</t>
  </si>
  <si>
    <t>CO0500002740</t>
  </si>
  <si>
    <t>JULIETH ELENA FONTALVO PERTUZ</t>
  </si>
  <si>
    <t>CO0500002741</t>
  </si>
  <si>
    <t>DIANA PATRICIA TORRES GONZALEZ</t>
  </si>
  <si>
    <t>CO0200002742</t>
  </si>
  <si>
    <t>DECATHLON COLOMBIA SAS</t>
  </si>
  <si>
    <t>CO0100002744</t>
  </si>
  <si>
    <t>CO0100002743</t>
  </si>
  <si>
    <t>CO0400002745</t>
  </si>
  <si>
    <t>CO0800002748</t>
  </si>
  <si>
    <t>CO0100002753</t>
  </si>
  <si>
    <t>CO0600002747</t>
  </si>
  <si>
    <t>THYMS COLOMBIA S A S</t>
  </si>
  <si>
    <t>CO0100002749</t>
  </si>
  <si>
    <t>CO0100002750</t>
  </si>
  <si>
    <t>CO0400002752</t>
  </si>
  <si>
    <t>CO0400002751</t>
  </si>
  <si>
    <t>CO0100002746</t>
  </si>
  <si>
    <t>INVERPLASC S.A.S</t>
  </si>
  <si>
    <t>CO0400002754</t>
  </si>
  <si>
    <t>COMBUSTIBLES LA GRANJA S.A.S</t>
  </si>
  <si>
    <t>CO0500002758</t>
  </si>
  <si>
    <t>SERVICONI LIMITADA</t>
  </si>
  <si>
    <t>CO0500002755</t>
  </si>
  <si>
    <t>CO0500002756</t>
  </si>
  <si>
    <t>CO0500002757</t>
  </si>
  <si>
    <t>Demanda Límite GMV GWh MR</t>
  </si>
  <si>
    <t>Demanda Límite GMV GWh MNR</t>
  </si>
  <si>
    <t>Demanda Activable GMV MUSD MR</t>
  </si>
  <si>
    <t>Demanda Activable GMV MUSD MNR</t>
  </si>
  <si>
    <t>SEM 2 - ABR</t>
  </si>
  <si>
    <t>SEM 2 - MAY</t>
  </si>
  <si>
    <t>SEM 2 - AGO</t>
  </si>
  <si>
    <t>SEM 1 - JUL</t>
  </si>
  <si>
    <t>SEM 3 - AGO</t>
  </si>
  <si>
    <t>SEM 4 - AGO</t>
  </si>
  <si>
    <t>SEM 1 - OCT</t>
  </si>
  <si>
    <t>SEM 3 - SEPT</t>
  </si>
  <si>
    <t>SEM 2 - SEP</t>
  </si>
  <si>
    <t>SEM 1 - SEP</t>
  </si>
  <si>
    <t>SEM 3 - SEP</t>
  </si>
  <si>
    <t>Estacion de Servicio Virgen del Carmen</t>
  </si>
  <si>
    <t>CO0500002759</t>
  </si>
  <si>
    <t>CO0500002760</t>
  </si>
  <si>
    <t>CO0500002761</t>
  </si>
  <si>
    <t>JARDIN BABYGYM</t>
  </si>
  <si>
    <t>CO0500002763</t>
  </si>
  <si>
    <t>MONPLAST S.A.S.</t>
  </si>
  <si>
    <t>CO0400002762</t>
  </si>
  <si>
    <t>Karina</t>
  </si>
  <si>
    <t>CO0100002764</t>
  </si>
  <si>
    <t>Etapa 3 (previo activación c/instalación programada)</t>
  </si>
  <si>
    <t>Etapa 2 (solicitud P&amp;S)</t>
  </si>
  <si>
    <t>Etapa 3 (previo activación s/instalación)</t>
  </si>
  <si>
    <t>Demanda activable GWh MR qc100</t>
  </si>
  <si>
    <t>Demanda activable GWh MNR qc100</t>
  </si>
  <si>
    <t>Instalado pendiente Activación</t>
  </si>
  <si>
    <t>CASA CAMACHO</t>
  </si>
  <si>
    <t>AGREGADOS Y SERVICIOS FENIX SAS</t>
  </si>
  <si>
    <t>CARBONES TERMICOS DE TASCO SAS</t>
  </si>
  <si>
    <t>OLVER - ANTURY CARVAJAL</t>
  </si>
  <si>
    <t>PRODUCTOS INDUSTRIALES DE EXPORTACIÓN SAS</t>
  </si>
  <si>
    <t>CARMEN ROSA TOSCANO DE MOJICA</t>
  </si>
  <si>
    <t>LADRILLERA LOS LABOYOS SAS</t>
  </si>
  <si>
    <t>MEZ PLASTIC SAS</t>
  </si>
  <si>
    <t>PEGAMASTER SAS</t>
  </si>
  <si>
    <t xml:space="preserve">POLIPACK SAS </t>
  </si>
  <si>
    <t>TECNICAS METALURGICAS LIMITADA</t>
  </si>
  <si>
    <t>ANA ELIA FUENTES BARRERA</t>
  </si>
  <si>
    <t>DIVERSIONES ALIANZA SAS</t>
  </si>
  <si>
    <t>DIVERSIONES ALIANZAS SAS</t>
  </si>
  <si>
    <t>DIVERSIONES UNIVERSAL SAS</t>
  </si>
  <si>
    <t>INVERSIONES MONTECARLO SAS</t>
  </si>
  <si>
    <t>PLANTA EL BOSQUE Y HUEVO SAN PAO SAS</t>
  </si>
  <si>
    <t>TEUCALI FLOWERS S A</t>
  </si>
  <si>
    <t>TROQUELES RC SAS</t>
  </si>
  <si>
    <t>AGROPECUARIA EL CALLEJON SAS</t>
  </si>
  <si>
    <t>ASOCIACION DE USUARIOS DEL DISTRITO ADECUACION DE TIERRAS DE PEQUE?A ESCALA EL TRIANGULO</t>
  </si>
  <si>
    <t>CRIMARPEZ SAS</t>
  </si>
  <si>
    <t>JESUS ANTONIO CARDOSO MURCIA</t>
  </si>
  <si>
    <t>MAXIM &amp; FISHING SOLUTIONS PROVIDE SAS</t>
  </si>
  <si>
    <t>PECUARIA SAN MIGUEL SAS</t>
  </si>
  <si>
    <t>AGROPECUARIA LA GUAQUITA SAS</t>
  </si>
  <si>
    <t>LADRILLERA FENIX TUNJA SAS</t>
  </si>
  <si>
    <t>MILVIA - ROJAS GUTIERREZ</t>
  </si>
  <si>
    <t xml:space="preserve">PAREDES DAVID ENRIQUE </t>
  </si>
  <si>
    <t>PLASTICOS P Y C SAS</t>
  </si>
  <si>
    <t>JUAN DIEGO RAMIREZ GOMEZ</t>
  </si>
  <si>
    <t>OYL INVERSIONES SAS</t>
  </si>
  <si>
    <t>TECNIVIERA LTDA</t>
  </si>
  <si>
    <t>CENTRO COMERCIAL EL PORTICO PH</t>
  </si>
  <si>
    <t>COMPANIA PALMASECA SA</t>
  </si>
  <si>
    <t>EME RECREATIVOS SAS</t>
  </si>
  <si>
    <t>IVAN ANDRES CHAVEZ MONCAYO</t>
  </si>
  <si>
    <t>JOSE CLEMENTE CUESTA GUTIERREZ</t>
  </si>
  <si>
    <t>MOLDES &amp; ENVASES SAS</t>
  </si>
  <si>
    <t>WIRE COL SAS - CONDUCTORES ELECTRICOS DE COLOMBIA</t>
  </si>
  <si>
    <t xml:space="preserve">WIRE COL SAS - CONDUCTORES ELECTRICOS DE COLOMBIA </t>
  </si>
  <si>
    <t>ANKARA MODA GIRARDOT SAS</t>
  </si>
  <si>
    <t>FRIGORIFICO FLOREZ SAS</t>
  </si>
  <si>
    <t>URQUINA Y DUSSAN COMPANIA SAS</t>
  </si>
  <si>
    <t>ASOCIACION PARA LA ENSENANZA ASPAEN</t>
  </si>
  <si>
    <t>ECOLAMINADOS SAS</t>
  </si>
  <si>
    <t xml:space="preserve">LA GRAN ESTANCIA HOTEL CAMPESTRE </t>
  </si>
  <si>
    <t>LA GRANJA TENJO SAS</t>
  </si>
  <si>
    <t>RAMIREZ JIMENEZ Y CIA SAS</t>
  </si>
  <si>
    <t>ALIMENTOS LACTEOS BELLAVISTA SAS</t>
  </si>
  <si>
    <t>FUNDICION HERMANOS SANCHEZ Y PARRA SAS</t>
  </si>
  <si>
    <t>QUINTERO NARVAEZ SAS</t>
  </si>
  <si>
    <t>SEGUNDO MARCO TULIO CASTRO MENESES</t>
  </si>
  <si>
    <t>ALBA - NEVITO MARTINEZ</t>
  </si>
  <si>
    <t>INDUSTRIAS SANTA CLARA SAS</t>
  </si>
  <si>
    <t>PISCICOLA GRANPEZ JISAME SAS</t>
  </si>
  <si>
    <t>VANAT SAS</t>
  </si>
  <si>
    <t>WILLIAM - MORENO</t>
  </si>
  <si>
    <t>CONJUNTO RESIDENCIAL FIRENZE PH</t>
  </si>
  <si>
    <t>ETIQUETAS Y CAPSULAS DE COLOMBIA ETICAP SAS</t>
  </si>
  <si>
    <t>IMPRESOS PANZZER SAS</t>
  </si>
  <si>
    <t>JESUS ANTONIO GARCIA HENAO</t>
  </si>
  <si>
    <t>MARTIN EMILIO GOMEZ VILLEGAS</t>
  </si>
  <si>
    <t>MINCOP ENTREPRENEURS SAS- FABRICA DE HELADOS MI CANITA</t>
  </si>
  <si>
    <t>PALMALLANO SA</t>
  </si>
  <si>
    <t>PESQUERA DISMARSUR SAS</t>
  </si>
  <si>
    <t>ALVARO JOSE PAREDES GOMEZ</t>
  </si>
  <si>
    <t>AVS COLOMBIA SAS</t>
  </si>
  <si>
    <t>CAJA DE RETIRO DE LAS FUERZAS MILITARES - Bogota DC</t>
  </si>
  <si>
    <t>CONSUELO - FIERRO</t>
  </si>
  <si>
    <t>COOPERATIVA DE TRANSPORTADORES DEL HUILA LIMITADA</t>
  </si>
  <si>
    <t>EMPOLLADORA COLOMBIANA SA</t>
  </si>
  <si>
    <t xml:space="preserve">GRUPO BONANZA SAS </t>
  </si>
  <si>
    <t>GRUPO BONANZA SAS</t>
  </si>
  <si>
    <t>HUINAGRO SAS</t>
  </si>
  <si>
    <t>MACRO POLLO L &amp; A SAS</t>
  </si>
  <si>
    <t xml:space="preserve">PROCESOS DE MANUFACTURAS SAS </t>
  </si>
  <si>
    <t>PROCESOS DE MANUFACTURAS SAS</t>
  </si>
  <si>
    <t>RIVERA Y CIA SAS</t>
  </si>
  <si>
    <t>SERTENQUE SAS</t>
  </si>
  <si>
    <t>SIGA LA GRANJA SAS</t>
  </si>
  <si>
    <t>ALIMENTARIAS SIGLO XXI SAS</t>
  </si>
  <si>
    <t>COLOMBIA FREE COFFEE SAS</t>
  </si>
  <si>
    <t>COMPANIA DE ALIMENTOS BIFF SAS</t>
  </si>
  <si>
    <t>EDS TERPEL EL CANEY SAS</t>
  </si>
  <si>
    <t>EL TEMPLO DE LA MODA SAS</t>
  </si>
  <si>
    <t>GRANPLAST DE COLOMBIA SAS</t>
  </si>
  <si>
    <t>IGLESIA CENTRAL DENOMINACION CENTRO MISIONERO BETHESDA</t>
  </si>
  <si>
    <t>JUAN PABLO CAMACHO TAMAYO</t>
  </si>
  <si>
    <t>SILVATRIM DE COLOMBIA SAS</t>
  </si>
  <si>
    <t>TEXTILES Y CREACIONES EL UNIVERSO SAS</t>
  </si>
  <si>
    <t>INDUSTRIAS EXPLORER INGENIERIA SOCIEDAD POR ACCIONES SIMPLIFICADA</t>
  </si>
  <si>
    <t>INTROQUEL SAS</t>
  </si>
  <si>
    <t>VIFARES SAS</t>
  </si>
  <si>
    <t>WILLIAN FERNANDO TORRES CUELLAR</t>
  </si>
  <si>
    <t>CENTRO COMERCIAL Y DE OFICINAS INNOVO PLAZA PH</t>
  </si>
  <si>
    <t>GAMBLER GROUP SAS</t>
  </si>
  <si>
    <t>GONZALEZ ARCILA SAS</t>
  </si>
  <si>
    <t>MARIA DEL SOCORRO SANCHEZ</t>
  </si>
  <si>
    <t>OSCAR FAVIAN RAMON TRUJILLO</t>
  </si>
  <si>
    <t>PRONEXT SAS</t>
  </si>
  <si>
    <t>RESTAURANTE TORTELLI SAS</t>
  </si>
  <si>
    <t>AVICOLA LA IBAGUERENA &amp; CIA S EN C S</t>
  </si>
  <si>
    <t>COOPERATIVA AGROCOMERCIALIZADORA SAN MATEO LTDA</t>
  </si>
  <si>
    <t>GABRIEL - IBARRA BOLANOS</t>
  </si>
  <si>
    <t>INVERDIVERSIONES SAS</t>
  </si>
  <si>
    <t>PRACOL SAS</t>
  </si>
  <si>
    <t>SUBWAY CALI SAS</t>
  </si>
  <si>
    <t>ALIMENTOS LA CALI SAS</t>
  </si>
  <si>
    <t>GRUPO SURTIPANES</t>
  </si>
  <si>
    <t>GRUPO SURTIPANES - TECNIPAN SAS</t>
  </si>
  <si>
    <t>SABANALAC SA</t>
  </si>
  <si>
    <t>SARASTI &amp; CIA SAS</t>
  </si>
  <si>
    <t>SOS YUBARTA SAS</t>
  </si>
  <si>
    <t>MAREAZ LIMITADA</t>
  </si>
  <si>
    <t>WINLON SAS</t>
  </si>
  <si>
    <t>CONCRETOS Y AGREGADOS SAS</t>
  </si>
  <si>
    <t>INGENIERIA PLASTICA SAS</t>
  </si>
  <si>
    <t>PROSERPLAST SAS</t>
  </si>
  <si>
    <t>REINALDO - VEGA BERMEO</t>
  </si>
  <si>
    <t>DUQUE RAMIREZ SAS - PAN Y MAS PAOLA</t>
  </si>
  <si>
    <t>FUNDACION OFTALMOLOGICA DE NARINO</t>
  </si>
  <si>
    <t>GAMA LE COSTURE SASGAMA LE COSTURE SAS</t>
  </si>
  <si>
    <t>HENRY - MUNARES BERMEO</t>
  </si>
  <si>
    <t>COLOMBIANA DE ENVASES INDUSTRIALES SA</t>
  </si>
  <si>
    <t>CONJUNTO RESIDENCIAL SOLARIUM DE PONTEVEDRA - PROPIEDAD HORIZONTAL</t>
  </si>
  <si>
    <t>DALI &amp; CIA</t>
  </si>
  <si>
    <t>DALI &amp; CIA SAS</t>
  </si>
  <si>
    <t>LE GRAND FRANCES</t>
  </si>
  <si>
    <t>LUBRYCO &amp; CIA SAS</t>
  </si>
  <si>
    <t>CONJUNTO MULTIFAMILIAR EL ARADO</t>
  </si>
  <si>
    <t>INVERSIONES MERCA Z S</t>
  </si>
  <si>
    <t>INVERSIONES MERCA Z SA</t>
  </si>
  <si>
    <t>ALEVINERA BONANZA SAS</t>
  </si>
  <si>
    <t>FABRICA DE LADRILLOS TAYRONA SAS</t>
  </si>
  <si>
    <t>ALBERTO - PALMA HERNANDEZ</t>
  </si>
  <si>
    <t>BAMBU CONJUNTO RESIDENCIAL PRIMERA ETAPA</t>
  </si>
  <si>
    <t>HOTELES MS SAS</t>
  </si>
  <si>
    <t>INMACULADA GUADALUPE Y AMIGOS EN CIA LTDA (ANDRES 2)</t>
  </si>
  <si>
    <t>INMACULADA GUADALUPE Y AMIGOS EN CIA SA</t>
  </si>
  <si>
    <t>LA IMPRENTA EDITORES S A</t>
  </si>
  <si>
    <t>SABANILLA SAS</t>
  </si>
  <si>
    <t>CRUCERO DAPA SAS</t>
  </si>
  <si>
    <t>CONDOMINIO GUADUALES DE LAS MERCEDES</t>
  </si>
  <si>
    <t>CONJUNTO RESIDENCIAL MONTERREY CONDOMINIO PH</t>
  </si>
  <si>
    <t>FABIO LEON MUNOZ CORREA</t>
  </si>
  <si>
    <t>SOF SUB COLOMBIA SAS</t>
  </si>
  <si>
    <t>ALMACENES MAXIMO SAS</t>
  </si>
  <si>
    <t>ANCLA Y VIENTO SAS</t>
  </si>
  <si>
    <t>CALIZAS Y MINERALES DE COLOMBIA SAS</t>
  </si>
  <si>
    <t>CONSTRUCTORA E INMOBILIARIA ROMANA SA</t>
  </si>
  <si>
    <t>POSQUI SAS</t>
  </si>
  <si>
    <t>UNICASINOS DE COLOMBIA SA</t>
  </si>
  <si>
    <t>UNIPERFILES SAS</t>
  </si>
  <si>
    <t>JAIRO ALBERTO JARAMILLO ESPINOSA</t>
  </si>
  <si>
    <t>PRODUCTOS COMESTIBLES TOLIBOY SAS</t>
  </si>
  <si>
    <t>TIENDAS 1A J.R S.A.STIENDAS 1A J.R S.A.S</t>
  </si>
  <si>
    <t>YONATAN - GONZALEZ MUNOZ</t>
  </si>
  <si>
    <t>GRUPO CBC SAS</t>
  </si>
  <si>
    <t>INDUSTRIAS PLASTICAS AMERICA SAS</t>
  </si>
  <si>
    <t>MULTIPLASTICOS CASAS SAS</t>
  </si>
  <si>
    <t>ORGANIZACION PALACIO SATIZABAL SAS</t>
  </si>
  <si>
    <t>REXICO SAS - CC ALFAGUARA</t>
  </si>
  <si>
    <t>ASOCIACION DEPORTIVO CALI</t>
  </si>
  <si>
    <t>COMPANIA INTEGRAL DE ALIMENTOS SAS CIAL SAS</t>
  </si>
  <si>
    <t>COOPERATIVA TRANSPORTADORA GANADERA DEL HUILA</t>
  </si>
  <si>
    <t>JOSE GUSTAVO QUESADA RODRIGUEZ</t>
  </si>
  <si>
    <t>LEANDRO EFRAIN ARISTIZABAL VARGAS</t>
  </si>
  <si>
    <t>NICOLAS EFRAIN ARISTIZABAL GARCIA</t>
  </si>
  <si>
    <t>RC REFRIGERACION INDUSTRIAL SAS</t>
  </si>
  <si>
    <t>ACOPLES CARDENAS Y CIA LTDA</t>
  </si>
  <si>
    <t xml:space="preserve">PANADERIA MAXIPAN VARIANTE </t>
  </si>
  <si>
    <t>PETROLENE LTDA</t>
  </si>
  <si>
    <t>RED SONORA SAS</t>
  </si>
  <si>
    <t>AGROAVICOLA ANDINA SAS</t>
  </si>
  <si>
    <t>CAMARPLAST Y CIA LTDA</t>
  </si>
  <si>
    <t>CHEVRON PETROLEUM COMPANY</t>
  </si>
  <si>
    <t>COODETRANS PALMIRA</t>
  </si>
  <si>
    <t>EDIFICIO TEQUENDAMA PH</t>
  </si>
  <si>
    <t>EGASA COLOMBIA SAS</t>
  </si>
  <si>
    <t>FOSFATOS DE COLOMBIA FC SAS</t>
  </si>
  <si>
    <t>INVERSIONES SUPER ROYAL CARIBE SA</t>
  </si>
  <si>
    <t>MAQUINPRO DE COLOMBIA SAS</t>
  </si>
  <si>
    <t>MEJICO LTDA</t>
  </si>
  <si>
    <t xml:space="preserve">METROGAS DE COLOMBIA SA ESP </t>
  </si>
  <si>
    <t>REPRESENTACIONES SANTAMARIA</t>
  </si>
  <si>
    <t>SUBVALLE SAS</t>
  </si>
  <si>
    <t>YANERY - ERASO CABRERA</t>
  </si>
  <si>
    <t>YASMID ELIANA ECHVERRY CAICEDO</t>
  </si>
  <si>
    <t>CALYPSO DEL CARIBE SA</t>
  </si>
  <si>
    <t>INVERSIONES INT COLOMBIA SAS</t>
  </si>
  <si>
    <t>JESUS HERMES GOMEZ ROBLES</t>
  </si>
  <si>
    <t>MERCAMIGO POPAYAN SAS</t>
  </si>
  <si>
    <t>TERMINAL DE TRANSPORTE DE NEIVA S.A</t>
  </si>
  <si>
    <t>SURAMERICANA DE GUANTES S.A.S.</t>
  </si>
  <si>
    <t>UV DISEÑOS SAS</t>
  </si>
  <si>
    <t>PLUS SA ESP</t>
  </si>
  <si>
    <t>ALBA GROUP SAS</t>
  </si>
  <si>
    <t>SUCROAGRO SAS</t>
  </si>
  <si>
    <t>AEROVIAS DE INTEGRACION REGIONAL SA</t>
  </si>
  <si>
    <t>EFICACIA SA</t>
  </si>
  <si>
    <t>PROPIEDAD HORIZONTAL TERMINAL DE TRANSPORTES DE HONDA</t>
  </si>
  <si>
    <t xml:space="preserve">COMERCIALIZADORA INTERNACIONAL DE MARISCOS OLAS DEL MAR </t>
  </si>
  <si>
    <t>MICROCIRCUITOS SAS</t>
  </si>
  <si>
    <t>DIEGO FERNANDO JOVEN ROJAS</t>
  </si>
  <si>
    <t>COLCLEAN JAGAR S.A.S</t>
  </si>
  <si>
    <t xml:space="preserve">GUSTAVO - ROJAS CARDOSO </t>
  </si>
  <si>
    <t xml:space="preserve">ALGOHUILA SAS </t>
  </si>
  <si>
    <t xml:space="preserve">CENTRO IND COOPERATIVO DE TRABAJO ASOC ALFAREROS </t>
  </si>
  <si>
    <t>ORGANIZACION DE DESARROLLO AUTOMOTRIZ S.A.S</t>
  </si>
  <si>
    <t xml:space="preserve">LLANTAS Y REENCAUCHE NARI?O SAS </t>
  </si>
  <si>
    <t xml:space="preserve">DIAZ Y RESTREPO SAS </t>
  </si>
  <si>
    <t>DIAZ Y RESTREPO SAS</t>
  </si>
  <si>
    <t>PLASTICOS Y DISTRIBUCIONES AGUILAR S A S</t>
  </si>
  <si>
    <t xml:space="preserve">GAMANUCLEAR LTDA </t>
  </si>
  <si>
    <t>PRIMAX COLOMBIA SA</t>
  </si>
  <si>
    <t>HOTEL PUERTO VIGIA S.A.S.</t>
  </si>
  <si>
    <t>CO0100002771</t>
  </si>
  <si>
    <t>Hotel Casa Franco</t>
  </si>
  <si>
    <t>CO0100002772</t>
  </si>
  <si>
    <t>CO0100002773</t>
  </si>
  <si>
    <t>CO0100002774</t>
  </si>
  <si>
    <t>CORPORACION MATIMBA CLUB &amp; SPA</t>
  </si>
  <si>
    <t>CO0100002780</t>
  </si>
  <si>
    <t>Distribuidora Sensación</t>
  </si>
  <si>
    <t>CO0500002765</t>
  </si>
  <si>
    <t>AUTO TROPICAL CARTAGENA SAS</t>
  </si>
  <si>
    <t>CO0100002775</t>
  </si>
  <si>
    <t>GAK GROUP SAS</t>
  </si>
  <si>
    <t>CO0400002776</t>
  </si>
  <si>
    <t>Cartagena Dubái Beach resort y spa SAS</t>
  </si>
  <si>
    <t>CO0100002778</t>
  </si>
  <si>
    <t>CO0800002777</t>
  </si>
  <si>
    <t>Inversiones hoteleras WG Cartagena SAS.</t>
  </si>
  <si>
    <t>CO0100002779</t>
  </si>
  <si>
    <t>CO0500002766</t>
  </si>
  <si>
    <t>CO0500002767</t>
  </si>
  <si>
    <t>CO0500002768</t>
  </si>
  <si>
    <t>CO0500002769</t>
  </si>
  <si>
    <t xml:space="preserve">	Lulo Bank S.A.</t>
  </si>
  <si>
    <t>CO0100001469</t>
  </si>
  <si>
    <t xml:space="preserve">	COLOMBIANA DE COMERCIO SA's</t>
  </si>
  <si>
    <t>CO0600001470</t>
  </si>
  <si>
    <t>CO0800000690</t>
  </si>
  <si>
    <t>GILBERTO - COLLAZOS HERNANDEZ</t>
  </si>
  <si>
    <t>CO0800000588</t>
  </si>
  <si>
    <t>HOTEL MACONDO MAG</t>
  </si>
  <si>
    <t>CO0500001056</t>
  </si>
  <si>
    <t>LADY PAOLA ALVAREZ JIMENO</t>
  </si>
  <si>
    <t>CO0200000789</t>
  </si>
  <si>
    <t>LUIS ALFONSO TAQUEZ CHAMORRO</t>
  </si>
  <si>
    <t>CO0200000406</t>
  </si>
  <si>
    <t>MIMI BODEGA 2 BAQ</t>
  </si>
  <si>
    <t>CO0850000278</t>
  </si>
  <si>
    <t>NELSON ORLANDO MELO ROMERO</t>
  </si>
  <si>
    <t>CO0200000378</t>
  </si>
  <si>
    <t>SERVISUR SA</t>
  </si>
  <si>
    <t>CO0200000249</t>
  </si>
  <si>
    <t>CO0200000903</t>
  </si>
  <si>
    <t>CO0500002770</t>
  </si>
  <si>
    <t>AIRE CARIBE_SOL</t>
  </si>
  <si>
    <t>FECHA ACTIVACIÓN PROY</t>
  </si>
  <si>
    <t>JUANAUTOS EL CERRO S.A.S</t>
  </si>
  <si>
    <t>AFINIA CARIBE_MAR</t>
  </si>
  <si>
    <t>CO0100002785</t>
  </si>
  <si>
    <t>CO0100002783</t>
  </si>
  <si>
    <t>CO0100002782</t>
  </si>
  <si>
    <t>CO0100002781</t>
  </si>
  <si>
    <t>CO0100002784</t>
  </si>
  <si>
    <t>INSTINTO ALIMENTO VITAL SAS</t>
  </si>
  <si>
    <t>CO0100002786</t>
  </si>
  <si>
    <t>ENEL CUNDINAMARCA</t>
  </si>
  <si>
    <t>CO0100002787</t>
  </si>
  <si>
    <t>FRUPULPAS S A S</t>
  </si>
  <si>
    <t>CO0400002788</t>
  </si>
  <si>
    <t>MAYA FOODS S.A.S.</t>
  </si>
  <si>
    <t>CO0500002791</t>
  </si>
  <si>
    <t>CO0500002790</t>
  </si>
  <si>
    <t>CO0500002789</t>
  </si>
  <si>
    <t>CO0500002792</t>
  </si>
  <si>
    <t>BINGO CLUB LA CAFETERIA S.A.S</t>
  </si>
  <si>
    <t>CO0500002793</t>
  </si>
  <si>
    <t>COMERCIALIZADORA ROXIMAR S.A.S</t>
  </si>
  <si>
    <t>CO0500002794</t>
  </si>
  <si>
    <t>Copservir ltda.</t>
  </si>
  <si>
    <t>CO0500002849</t>
  </si>
  <si>
    <t>CO0100002824</t>
  </si>
  <si>
    <t>CO0400002795</t>
  </si>
  <si>
    <t>CO0500002796</t>
  </si>
  <si>
    <t>CO0100002797</t>
  </si>
  <si>
    <t>CO0500002798</t>
  </si>
  <si>
    <t>CO0100002799</t>
  </si>
  <si>
    <t>CO0400002800</t>
  </si>
  <si>
    <t>CO0100002801</t>
  </si>
  <si>
    <t>CO0500002802</t>
  </si>
  <si>
    <t>CO0100002803</t>
  </si>
  <si>
    <t>CO0200002804</t>
  </si>
  <si>
    <t>CO0200002805</t>
  </si>
  <si>
    <t>CO0500002806</t>
  </si>
  <si>
    <t>CO0500002807</t>
  </si>
  <si>
    <t>CO0500002808</t>
  </si>
  <si>
    <t>CO0500002809</t>
  </si>
  <si>
    <t>CO0100002810</t>
  </si>
  <si>
    <t>CO0400002811</t>
  </si>
  <si>
    <t>CO0500002812</t>
  </si>
  <si>
    <t>CO0400002813</t>
  </si>
  <si>
    <t>CO0200002814</t>
  </si>
  <si>
    <t>CO0500002815</t>
  </si>
  <si>
    <t>CO0500002816</t>
  </si>
  <si>
    <t>CO0100002817</t>
  </si>
  <si>
    <t>CO0500002818</t>
  </si>
  <si>
    <t>CO0100002819</t>
  </si>
  <si>
    <t>CO0100002820</t>
  </si>
  <si>
    <t>CO0400002821</t>
  </si>
  <si>
    <t>CO0100002822</t>
  </si>
  <si>
    <t>CO0100002823</t>
  </si>
  <si>
    <t>CO0500002825</t>
  </si>
  <si>
    <t>CO0100002826</t>
  </si>
  <si>
    <t>CO0500002827</t>
  </si>
  <si>
    <t>CO0500002828</t>
  </si>
  <si>
    <t>CO0100002829</t>
  </si>
  <si>
    <t>CO0200002830</t>
  </si>
  <si>
    <t>CO0100002831</t>
  </si>
  <si>
    <t>CO0500002832</t>
  </si>
  <si>
    <t>CO0500002833</t>
  </si>
  <si>
    <t>CO0400002834</t>
  </si>
  <si>
    <t>CO0500002835</t>
  </si>
  <si>
    <t>CO0500002836</t>
  </si>
  <si>
    <t>CO0500002837</t>
  </si>
  <si>
    <t>CO0500002838</t>
  </si>
  <si>
    <t>CO0500002851</t>
  </si>
  <si>
    <t>CO0100002853</t>
  </si>
  <si>
    <t>CO0500002854</t>
  </si>
  <si>
    <t>CO0100002855</t>
  </si>
  <si>
    <t>CO0200002856</t>
  </si>
  <si>
    <t>CO0100002857</t>
  </si>
  <si>
    <t>CO0100002858</t>
  </si>
  <si>
    <t>CO0500002859</t>
  </si>
  <si>
    <t>CO0500002839</t>
  </si>
  <si>
    <t>CO0500002840</t>
  </si>
  <si>
    <t>CO0400002841</t>
  </si>
  <si>
    <t>CO0500002842</t>
  </si>
  <si>
    <t>CO0500002843</t>
  </si>
  <si>
    <t>CO0100002844</t>
  </si>
  <si>
    <t>CO0100002845</t>
  </si>
  <si>
    <t>CO0100002846</t>
  </si>
  <si>
    <t>CO0100002847</t>
  </si>
  <si>
    <t>CO0100002848</t>
  </si>
  <si>
    <t>CO0100002850</t>
  </si>
  <si>
    <t>CO0500002852</t>
  </si>
  <si>
    <t>GIGAZ SAS</t>
  </si>
  <si>
    <t>CO0100002878</t>
  </si>
  <si>
    <t>CO0100002880</t>
  </si>
  <si>
    <t>CO0100002879</t>
  </si>
  <si>
    <t>BAGUER S.A.S</t>
  </si>
  <si>
    <t>CO0500002874</t>
  </si>
  <si>
    <t>CO0500002875</t>
  </si>
  <si>
    <t>PLASTIC SMART S.A.S.</t>
  </si>
  <si>
    <t>CO0500002876</t>
  </si>
  <si>
    <t>Villa del Prado S.A.S.</t>
  </si>
  <si>
    <t>CO0500002877</t>
  </si>
  <si>
    <t>SOLGAST SAS</t>
  </si>
  <si>
    <t>CO0100002884</t>
  </si>
  <si>
    <t>SHIRLEY JURANY GALVIS GOMEZ</t>
  </si>
  <si>
    <t>CO0500002886</t>
  </si>
  <si>
    <t>CO0400002860</t>
  </si>
  <si>
    <t>CO0400002861</t>
  </si>
  <si>
    <t>CO0400002862</t>
  </si>
  <si>
    <t>BE Hospitality Group</t>
  </si>
  <si>
    <t>CO0500002887</t>
  </si>
  <si>
    <t>CO0100002885</t>
  </si>
  <si>
    <t>RETAIL ANDINO SAS</t>
  </si>
  <si>
    <t>CO0100002883</t>
  </si>
  <si>
    <t>NEGOCIOS MULTIDIMENCIONALES S.A.S</t>
  </si>
  <si>
    <t>CO0100002881</t>
  </si>
  <si>
    <t>CO0400002863</t>
  </si>
  <si>
    <t>CO0400002864</t>
  </si>
  <si>
    <t>CO0400002865</t>
  </si>
  <si>
    <t>CO0200002866</t>
  </si>
  <si>
    <t>CO0200002867</t>
  </si>
  <si>
    <t>CO0200002868</t>
  </si>
  <si>
    <t>CO0200002869</t>
  </si>
  <si>
    <t>CO0500002870</t>
  </si>
  <si>
    <t>CO0500002871</t>
  </si>
  <si>
    <t>CO0500002872</t>
  </si>
  <si>
    <t>CO0500002873</t>
  </si>
  <si>
    <t>Fronteras ya activas, no tienen fecha de registro</t>
  </si>
  <si>
    <t>SEM 2 - MAR</t>
  </si>
  <si>
    <t>SEM 3 - MAR</t>
  </si>
  <si>
    <t>#N/A</t>
  </si>
  <si>
    <t>Devolver Sales</t>
  </si>
  <si>
    <t>HM ENTERPRISES S.A.S.</t>
  </si>
  <si>
    <t>CO0100002890</t>
  </si>
  <si>
    <t>CO0100002888</t>
  </si>
  <si>
    <t>CO0100002889</t>
  </si>
  <si>
    <t>MANUFACTURAS PLASTICAS UFFO S.A.S</t>
  </si>
  <si>
    <t>CO0100002891</t>
  </si>
  <si>
    <t>NESTOR ADRIAN GIRALDO ZULUAGA</t>
  </si>
  <si>
    <t>CO0100002892</t>
  </si>
  <si>
    <t>AGROPECUARIA CH SAS</t>
  </si>
  <si>
    <t>CO0500002895</t>
  </si>
  <si>
    <t>CO0500002893</t>
  </si>
  <si>
    <t>CO0500002894</t>
  </si>
  <si>
    <t>SEM 4 - ABR</t>
  </si>
  <si>
    <t>SEM 1 - MAY</t>
  </si>
  <si>
    <t>SEM 3 - APR</t>
  </si>
  <si>
    <t>JOSE ALEJANDRO GIRALDO OJEDA</t>
  </si>
  <si>
    <t>CO0100002896</t>
  </si>
  <si>
    <t>HOJALDRES Y DELICIAS DIVALI SAS</t>
  </si>
  <si>
    <t>CO0100002902</t>
  </si>
  <si>
    <t>CO0100002901</t>
  </si>
  <si>
    <t>CO0100002900</t>
  </si>
  <si>
    <t>CO0100002899</t>
  </si>
  <si>
    <t>TOPPING BURGERS S.A.S.</t>
  </si>
  <si>
    <t>CO0500002898</t>
  </si>
  <si>
    <t>JAIME ADOLFO GIRALDO GOMEZ</t>
  </si>
  <si>
    <t>CO0100002897</t>
  </si>
  <si>
    <t>MINERALES Y CARBONES LAEL S.A.S</t>
  </si>
  <si>
    <t>CO0500002903</t>
  </si>
  <si>
    <t>CO0500002904</t>
  </si>
  <si>
    <t>LABORATORIOS BIOESTERIL SAS</t>
  </si>
  <si>
    <t>CO0400002905</t>
  </si>
  <si>
    <t>ALDABA CENTRO DE CONTACTO SAS</t>
  </si>
  <si>
    <t>CO0500002906</t>
  </si>
  <si>
    <t>CO0500002907</t>
  </si>
  <si>
    <t>CO0100002909</t>
  </si>
  <si>
    <t>CO0100002908</t>
  </si>
  <si>
    <t>CEMENTOS Y CARBONATOS S.A.S</t>
  </si>
  <si>
    <t>CO0500002910</t>
  </si>
  <si>
    <t>INMOTRES S.A.S</t>
  </si>
  <si>
    <t>CO0500002926</t>
  </si>
  <si>
    <t>UNIVERSIDAD SIMON BOLIVAR</t>
  </si>
  <si>
    <t>CO0500002911</t>
  </si>
  <si>
    <t>CO0500002912</t>
  </si>
  <si>
    <t>CO0500002913</t>
  </si>
  <si>
    <t>ACERSHOES LIMITADA</t>
  </si>
  <si>
    <t>CO0500002914</t>
  </si>
  <si>
    <t>CO0500002915</t>
  </si>
  <si>
    <t>CO0500002916</t>
  </si>
  <si>
    <t>CO0500002917</t>
  </si>
  <si>
    <t>CO0500002918</t>
  </si>
  <si>
    <t>COSTASHOES S.A.S</t>
  </si>
  <si>
    <t>CO0500002919</t>
  </si>
  <si>
    <t>CO0500002920</t>
  </si>
  <si>
    <t>INVERSIONES A ROJAS SAS</t>
  </si>
  <si>
    <t>CO0500002921</t>
  </si>
  <si>
    <t>INVERSIONES ACEVEDO Y ROJAS LIMITADA</t>
  </si>
  <si>
    <t>CO0500002923</t>
  </si>
  <si>
    <t>CO0500002924</t>
  </si>
  <si>
    <t>CO0500002925</t>
  </si>
  <si>
    <t>CO0500002927</t>
  </si>
  <si>
    <t>INVERSIONES ROJASHOES LTDA.</t>
  </si>
  <si>
    <t>CO0500002928</t>
  </si>
  <si>
    <t>CO0500002929</t>
  </si>
  <si>
    <t>SPORTVIP S.A.S.</t>
  </si>
  <si>
    <t>CO0500002930</t>
  </si>
  <si>
    <t>CO0500002931</t>
  </si>
  <si>
    <t>CO0500002932</t>
  </si>
  <si>
    <t>ACTIVETRES S.A.S.</t>
  </si>
  <si>
    <t>CO0500002933</t>
  </si>
  <si>
    <t>CO0500002934</t>
  </si>
  <si>
    <t>CALZADO COSTAMAR LIMITADA</t>
  </si>
  <si>
    <t>CO0500002935</t>
  </si>
  <si>
    <t>AQUAMAR S.A.</t>
  </si>
  <si>
    <t>CO0500002936</t>
  </si>
  <si>
    <t>NCS S.A.S.</t>
  </si>
  <si>
    <t>CO0200003008</t>
  </si>
  <si>
    <t>EMCALI CALI</t>
  </si>
  <si>
    <t>CO0100002938</t>
  </si>
  <si>
    <t>CO0100002939</t>
  </si>
  <si>
    <t>CO0200002940</t>
  </si>
  <si>
    <t>CO0200002941</t>
  </si>
  <si>
    <t>CO0500002942</t>
  </si>
  <si>
    <t>CO0200002943</t>
  </si>
  <si>
    <t>CO0200002944</t>
  </si>
  <si>
    <t>CO0500002945</t>
  </si>
  <si>
    <t>CO0500002946</t>
  </si>
  <si>
    <t>CO0500002947</t>
  </si>
  <si>
    <t>CO0500002948</t>
  </si>
  <si>
    <t>CO0200002949</t>
  </si>
  <si>
    <t>CEDENAR NARIÑO</t>
  </si>
  <si>
    <t>CO0200002950</t>
  </si>
  <si>
    <t>CO0200002951</t>
  </si>
  <si>
    <t>CO0200002952</t>
  </si>
  <si>
    <t>CO0200002953</t>
  </si>
  <si>
    <t>CO0200002954</t>
  </si>
  <si>
    <t>CO0800002955</t>
  </si>
  <si>
    <t>CELSIA_TOLIMA TOLIMA</t>
  </si>
  <si>
    <t>CO0800002956</t>
  </si>
  <si>
    <t>CO0800002957</t>
  </si>
  <si>
    <t>CO0200002958</t>
  </si>
  <si>
    <t>CELSIA_VALLE VALLE</t>
  </si>
  <si>
    <t>CO0200002959</t>
  </si>
  <si>
    <t>CO0200002960</t>
  </si>
  <si>
    <t>CO0200002961</t>
  </si>
  <si>
    <t>CO0200002962</t>
  </si>
  <si>
    <t>CO0200002963</t>
  </si>
  <si>
    <t>CO0200002964</t>
  </si>
  <si>
    <t>CO0200002965</t>
  </si>
  <si>
    <t>CO0700002966</t>
  </si>
  <si>
    <t>CENS NORTE_SANTANDER</t>
  </si>
  <si>
    <t>CO0700002967</t>
  </si>
  <si>
    <t>CO0700002968</t>
  </si>
  <si>
    <t>CO0800002969</t>
  </si>
  <si>
    <t>CEO CAUCA</t>
  </si>
  <si>
    <t>CO0800002970</t>
  </si>
  <si>
    <t>CO0800002971</t>
  </si>
  <si>
    <t>CO0800002972</t>
  </si>
  <si>
    <t>CHEC CALDAS</t>
  </si>
  <si>
    <t>CO0600002973</t>
  </si>
  <si>
    <t>EDEQ QUINDIO</t>
  </si>
  <si>
    <t>CO0600002974</t>
  </si>
  <si>
    <t>CO0600002975</t>
  </si>
  <si>
    <t>EEP Pereira</t>
  </si>
  <si>
    <t>CO0100002996</t>
  </si>
  <si>
    <t>CO0600002976</t>
  </si>
  <si>
    <t>CO0200002977</t>
  </si>
  <si>
    <t>CO0600002978</t>
  </si>
  <si>
    <t>CO0200002979</t>
  </si>
  <si>
    <t>CO0800002980</t>
  </si>
  <si>
    <t>ELECTROHUILA HUILA</t>
  </si>
  <si>
    <t>CO0800002981</t>
  </si>
  <si>
    <t>CO0800002982</t>
  </si>
  <si>
    <t>CO0200002983</t>
  </si>
  <si>
    <t>CO0100002984</t>
  </si>
  <si>
    <t>CO0200002985</t>
  </si>
  <si>
    <t>CO0200002986</t>
  </si>
  <si>
    <t>CO0200002987</t>
  </si>
  <si>
    <t>CO0400002988</t>
  </si>
  <si>
    <t>EPM ANTIOQUIA</t>
  </si>
  <si>
    <t>CO0400002989</t>
  </si>
  <si>
    <t>CO0400002990</t>
  </si>
  <si>
    <t>CO0400002991</t>
  </si>
  <si>
    <t>CO0400002992</t>
  </si>
  <si>
    <t>CO0400002993</t>
  </si>
  <si>
    <t>CO0800002994</t>
  </si>
  <si>
    <t>ESSA SANTANDER</t>
  </si>
  <si>
    <t>CO0800002995</t>
  </si>
  <si>
    <t>CO0100002997</t>
  </si>
  <si>
    <t>CO0800003021</t>
  </si>
  <si>
    <t>CO0800003024</t>
  </si>
  <si>
    <t>CO0400003023</t>
  </si>
  <si>
    <t>CO0400003022</t>
  </si>
  <si>
    <t>CO0200003020</t>
  </si>
  <si>
    <t>CO0200003019</t>
  </si>
  <si>
    <t>CO0600003018</t>
  </si>
  <si>
    <t>CO0700003017</t>
  </si>
  <si>
    <t>CO0200003016</t>
  </si>
  <si>
    <t>CO0200003015</t>
  </si>
  <si>
    <t>CO0200003014</t>
  </si>
  <si>
    <t>CO0200003013</t>
  </si>
  <si>
    <t>CO0200003012</t>
  </si>
  <si>
    <t>CO0600003011</t>
  </si>
  <si>
    <t>CO0600003010</t>
  </si>
  <si>
    <t>CO0200003009</t>
  </si>
  <si>
    <t>CO0200003007</t>
  </si>
  <si>
    <t>CO0800003006</t>
  </si>
  <si>
    <t>CO0800003005</t>
  </si>
  <si>
    <t>EMSA META</t>
  </si>
  <si>
    <t>CO0200003004</t>
  </si>
  <si>
    <t>CO0500003003</t>
  </si>
  <si>
    <t>CO0200003002</t>
  </si>
  <si>
    <t>CO0200003001</t>
  </si>
  <si>
    <t>CO0200003000</t>
  </si>
  <si>
    <t>CO0200002999</t>
  </si>
  <si>
    <t>CO0100002998</t>
  </si>
  <si>
    <t>CO0100002937</t>
  </si>
  <si>
    <t>22 MWh en MR a espera de P&amp;S, el resto entraron entre el 2023 y ene y feb del 2024</t>
  </si>
  <si>
    <t>600 MWh sin mercado asociado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</si>
</sst>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dd&quot;/&quot;m&quot;/&quot;yy"/>
    <numFmt numFmtId="165" formatCode="0.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3F3F3"/>
      <name val="Poppins"/>
    </font>
    <font>
      <b/>
      <sz val="8"/>
      <color rgb="FFF3F3F3"/>
      <name val="Poppins"/>
    </font>
    <font>
      <sz val="8"/>
      <color rgb="FF434343"/>
      <name val="Poppins"/>
    </font>
    <font>
      <sz val="10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9" fillId="0" borderId="0"/>
  </cellStyleXfs>
  <cellXfs count="61">
    <xf numFmtId="0" fontId="0" fillId="0" borderId="0" xfId="0"/>
    <xf numFmtId="0" fontId="3" fillId="0" borderId="0" xfId="0" applyFont="1"/>
    <xf numFmtId="164" fontId="3" fillId="0" borderId="0" xfId="0" applyNumberFormat="1" applyFont="1" applyAlignment="1">
      <alignment horizontal="right"/>
    </xf>
    <xf numFmtId="4" fontId="3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5" borderId="2" xfId="0" applyFont="1" applyFill="1" applyBorder="1" applyAlignment="1">
      <alignment horizontal="center" wrapText="1"/>
    </xf>
    <xf numFmtId="14" fontId="0" fillId="0" borderId="0" xfId="0" applyNumberFormat="1"/>
    <xf numFmtId="14" fontId="8" fillId="5" borderId="2" xfId="0" applyNumberFormat="1" applyFont="1" applyFill="1" applyBorder="1" applyAlignment="1">
      <alignment horizontal="center" wrapText="1"/>
    </xf>
    <xf numFmtId="0" fontId="5" fillId="0" borderId="0" xfId="2" applyFont="1" applyAlignment="1">
      <alignment horizontal="center"/>
    </xf>
    <xf numFmtId="0" fontId="2" fillId="0" borderId="0" xfId="2"/>
    <xf numFmtId="0" fontId="2" fillId="7" borderId="0" xfId="2" applyFill="1"/>
    <xf numFmtId="14" fontId="2" fillId="7" borderId="0" xfId="2" applyNumberFormat="1" applyFill="1"/>
    <xf numFmtId="14" fontId="2" fillId="0" borderId="0" xfId="2" applyNumberFormat="1"/>
    <xf numFmtId="0" fontId="2" fillId="0" borderId="0" xfId="0" applyFont="1"/>
    <xf numFmtId="43" fontId="7" fillId="2" borderId="1" xfId="1" applyFont="1" applyFill="1" applyBorder="1" applyAlignment="1">
      <alignment horizontal="center" vertical="center" wrapText="1"/>
    </xf>
    <xf numFmtId="43" fontId="3" fillId="0" borderId="0" xfId="1" applyFont="1" applyAlignment="1">
      <alignment horizontal="right"/>
    </xf>
    <xf numFmtId="43" fontId="0" fillId="0" borderId="0" xfId="1" applyFont="1"/>
    <xf numFmtId="43" fontId="0" fillId="0" borderId="0" xfId="0" applyNumberFormat="1"/>
    <xf numFmtId="0" fontId="5" fillId="0" borderId="0" xfId="0" applyFont="1"/>
    <xf numFmtId="43" fontId="5" fillId="0" borderId="0" xfId="1" applyFont="1"/>
    <xf numFmtId="14" fontId="2" fillId="0" borderId="0" xfId="1" applyNumberFormat="1" applyFont="1"/>
    <xf numFmtId="43" fontId="7" fillId="8" borderId="3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0" fontId="2" fillId="9" borderId="0" xfId="0" applyFont="1" applyFill="1"/>
    <xf numFmtId="43" fontId="0" fillId="9" borderId="0" xfId="1" applyFont="1" applyFill="1"/>
    <xf numFmtId="0" fontId="2" fillId="10" borderId="0" xfId="0" applyFont="1" applyFill="1"/>
    <xf numFmtId="43" fontId="0" fillId="10" borderId="0" xfId="1" applyFont="1" applyFill="1"/>
    <xf numFmtId="0" fontId="2" fillId="11" borderId="0" xfId="0" applyFont="1" applyFill="1"/>
    <xf numFmtId="43" fontId="0" fillId="11" borderId="0" xfId="1" applyFont="1" applyFill="1"/>
    <xf numFmtId="0" fontId="0" fillId="0" borderId="0" xfId="0" applyAlignment="1">
      <alignment vertical="center" wrapText="1"/>
    </xf>
    <xf numFmtId="43" fontId="5" fillId="0" borderId="4" xfId="1" applyFont="1" applyBorder="1" applyAlignment="1">
      <alignment horizontal="center" vertical="center" wrapText="1"/>
    </xf>
    <xf numFmtId="43" fontId="5" fillId="6" borderId="4" xfId="1" applyFont="1" applyFill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top"/>
    </xf>
    <xf numFmtId="43" fontId="0" fillId="12" borderId="0" xfId="1" applyFont="1" applyFill="1"/>
    <xf numFmtId="43" fontId="5" fillId="13" borderId="4" xfId="1" applyFont="1" applyFill="1" applyBorder="1" applyAlignment="1">
      <alignment horizontal="center" vertical="center" wrapText="1"/>
    </xf>
    <xf numFmtId="43" fontId="5" fillId="14" borderId="4" xfId="1" applyFont="1" applyFill="1" applyBorder="1" applyAlignment="1">
      <alignment horizontal="center" vertical="center" wrapText="1"/>
    </xf>
    <xf numFmtId="43" fontId="0" fillId="15" borderId="0" xfId="1" applyFont="1" applyFill="1"/>
    <xf numFmtId="43" fontId="0" fillId="16" borderId="0" xfId="1" applyFont="1" applyFill="1"/>
    <xf numFmtId="43" fontId="5" fillId="0" borderId="4" xfId="1" applyFont="1" applyFill="1" applyBorder="1" applyAlignment="1">
      <alignment horizontal="center" vertical="center" wrapText="1"/>
    </xf>
    <xf numFmtId="43" fontId="0" fillId="0" borderId="0" xfId="1" applyFont="1" applyFill="1"/>
    <xf numFmtId="165" fontId="0" fillId="0" borderId="0" xfId="0" applyNumberFormat="1" applyAlignment="1">
      <alignment horizontal="center"/>
    </xf>
    <xf numFmtId="165" fontId="0" fillId="17" borderId="0" xfId="1" applyNumberFormat="1" applyFont="1" applyFill="1" applyAlignment="1">
      <alignment horizontal="center"/>
    </xf>
    <xf numFmtId="43" fontId="0" fillId="18" borderId="0" xfId="1" applyFont="1" applyFill="1"/>
    <xf numFmtId="165" fontId="0" fillId="6" borderId="0" xfId="0" applyNumberFormat="1" applyFill="1" applyAlignment="1">
      <alignment horizontal="center"/>
    </xf>
    <xf numFmtId="43" fontId="5" fillId="12" borderId="4" xfId="1" applyFont="1" applyFill="1" applyBorder="1" applyAlignment="1">
      <alignment horizontal="center" vertical="center" wrapText="1"/>
    </xf>
    <xf numFmtId="43" fontId="5" fillId="19" borderId="4" xfId="1" applyFont="1" applyFill="1" applyBorder="1" applyAlignment="1">
      <alignment horizontal="center" vertical="center" wrapText="1"/>
    </xf>
    <xf numFmtId="43" fontId="5" fillId="20" borderId="4" xfId="1" applyFont="1" applyFill="1" applyBorder="1" applyAlignment="1">
      <alignment horizontal="center" vertical="center" wrapText="1"/>
    </xf>
    <xf numFmtId="165" fontId="0" fillId="12" borderId="0" xfId="0" applyNumberFormat="1" applyFill="1" applyAlignment="1">
      <alignment horizontal="center"/>
    </xf>
    <xf numFmtId="43" fontId="5" fillId="17" borderId="4" xfId="1" applyFont="1" applyFill="1" applyBorder="1" applyAlignment="1">
      <alignment horizontal="center" vertical="center" wrapText="1"/>
    </xf>
    <xf numFmtId="165" fontId="0" fillId="21" borderId="0" xfId="0" applyNumberFormat="1" applyFill="1" applyAlignment="1">
      <alignment horizontal="center"/>
    </xf>
    <xf numFmtId="43" fontId="5" fillId="22" borderId="4" xfId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" fillId="0" borderId="0" xfId="0" applyFont="1"/>
  </cellXfs>
  <cellStyles count="4">
    <cellStyle name="Millares" xfId="1" builtinId="3"/>
    <cellStyle name="Normal" xfId="0" builtinId="0"/>
    <cellStyle name="Normal 2" xfId="2" xr:uid="{01511C9A-73B5-4684-A133-030B71ABCF4F}"/>
    <cellStyle name="Normal 3" xfId="3" xr:uid="{A946ECB4-98A1-40AA-815F-2FEEC310DBAA}"/>
  </cellStyles>
  <dxfs count="36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77" defaultTableStyle="TableStyleMedium2" defaultPivotStyle="PivotStyleLight16">
    <tableStyle name="Instalaciones-style" pivot="0" count="3" xr9:uid="{763BE01E-187C-40E7-B979-D2B98C42A85E}">
      <tableStyleElement type="headerRow" dxfId="364"/>
      <tableStyleElement type="firstRowStripe" dxfId="363"/>
      <tableStyleElement type="secondRowStripe" dxfId="362"/>
    </tableStyle>
    <tableStyle name="Instalaciones-style 10" pivot="0" count="2" xr9:uid="{434D8E97-7391-42C6-AB2D-C150C0040CCB}">
      <tableStyleElement type="firstRowStripe" dxfId="361"/>
      <tableStyleElement type="secondRowStripe" dxfId="360"/>
    </tableStyle>
    <tableStyle name="Instalaciones-style 100" pivot="0" count="2" xr9:uid="{E4B7A54E-0E0F-4924-8287-65B85CA5E8B2}">
      <tableStyleElement type="firstRowStripe" dxfId="359"/>
      <tableStyleElement type="secondRowStripe" dxfId="358"/>
    </tableStyle>
    <tableStyle name="Instalaciones-style 101" pivot="0" count="2" xr9:uid="{73E7186B-62C5-4583-A1C8-C8AFE69E927E}">
      <tableStyleElement type="firstRowStripe" dxfId="357"/>
      <tableStyleElement type="secondRowStripe" dxfId="356"/>
    </tableStyle>
    <tableStyle name="Instalaciones-style 102" pivot="0" count="2" xr9:uid="{D8691E53-9DE9-4DA8-A050-FCA40F6C95DB}">
      <tableStyleElement type="firstRowStripe" dxfId="355"/>
      <tableStyleElement type="secondRowStripe" dxfId="354"/>
    </tableStyle>
    <tableStyle name="Instalaciones-style 103" pivot="0" count="2" xr9:uid="{8205DBF0-8B2B-4579-B284-73B62F5A6BE4}">
      <tableStyleElement type="firstRowStripe" dxfId="353"/>
      <tableStyleElement type="secondRowStripe" dxfId="352"/>
    </tableStyle>
    <tableStyle name="Instalaciones-style 104" pivot="0" count="2" xr9:uid="{E5790E04-7673-413A-A80D-AB6ABA3FDD6D}">
      <tableStyleElement type="firstRowStripe" dxfId="351"/>
      <tableStyleElement type="secondRowStripe" dxfId="350"/>
    </tableStyle>
    <tableStyle name="Instalaciones-style 105" pivot="0" count="2" xr9:uid="{9ACA2458-7CCE-4BBF-A360-E0EC57EA84C9}">
      <tableStyleElement type="firstRowStripe" dxfId="349"/>
      <tableStyleElement type="secondRowStripe" dxfId="348"/>
    </tableStyle>
    <tableStyle name="Instalaciones-style 106" pivot="0" count="2" xr9:uid="{FFA7C42B-3A4B-4678-9FC7-1E2AD67EEC00}">
      <tableStyleElement type="firstRowStripe" dxfId="347"/>
      <tableStyleElement type="secondRowStripe" dxfId="346"/>
    </tableStyle>
    <tableStyle name="Instalaciones-style 107" pivot="0" count="2" xr9:uid="{0CE81D73-A911-4705-A8B8-F486DD90BF5A}">
      <tableStyleElement type="firstRowStripe" dxfId="345"/>
      <tableStyleElement type="secondRowStripe" dxfId="344"/>
    </tableStyle>
    <tableStyle name="Instalaciones-style 108" pivot="0" count="2" xr9:uid="{9EC493E8-9593-4CD8-B740-34745276C21A}">
      <tableStyleElement type="firstRowStripe" dxfId="343"/>
      <tableStyleElement type="secondRowStripe" dxfId="342"/>
    </tableStyle>
    <tableStyle name="Instalaciones-style 109" pivot="0" count="2" xr9:uid="{F5A0B9E4-0FAF-47FC-A302-981AC9DF38D3}">
      <tableStyleElement type="firstRowStripe" dxfId="341"/>
      <tableStyleElement type="secondRowStripe" dxfId="340"/>
    </tableStyle>
    <tableStyle name="Instalaciones-style 11" pivot="0" count="2" xr9:uid="{1254F5B7-25B2-494E-8532-0F87B0E68A98}">
      <tableStyleElement type="firstRowStripe" dxfId="339"/>
      <tableStyleElement type="secondRowStripe" dxfId="338"/>
    </tableStyle>
    <tableStyle name="Instalaciones-style 110" pivot="0" count="2" xr9:uid="{82651528-2F1C-4720-AD69-8C7F5328BE7A}">
      <tableStyleElement type="firstRowStripe" dxfId="337"/>
      <tableStyleElement type="secondRowStripe" dxfId="336"/>
    </tableStyle>
    <tableStyle name="Instalaciones-style 111" pivot="0" count="2" xr9:uid="{BEFF7B55-E509-4D90-8E6A-7A7A7D911B80}">
      <tableStyleElement type="firstRowStripe" dxfId="335"/>
      <tableStyleElement type="secondRowStripe" dxfId="334"/>
    </tableStyle>
    <tableStyle name="Instalaciones-style 112" pivot="0" count="2" xr9:uid="{E5BF0555-C0B7-4523-9AB1-50418585195A}">
      <tableStyleElement type="firstRowStripe" dxfId="333"/>
      <tableStyleElement type="secondRowStripe" dxfId="332"/>
    </tableStyle>
    <tableStyle name="Instalaciones-style 113" pivot="0" count="2" xr9:uid="{0B5E8669-2C5C-4D22-8DBE-E51816E767B6}">
      <tableStyleElement type="firstRowStripe" dxfId="331"/>
      <tableStyleElement type="secondRowStripe" dxfId="330"/>
    </tableStyle>
    <tableStyle name="Instalaciones-style 114" pivot="0" count="2" xr9:uid="{A3A8ACB3-B103-4E08-9953-18FE0AC5ACC6}">
      <tableStyleElement type="firstRowStripe" dxfId="329"/>
      <tableStyleElement type="secondRowStripe" dxfId="328"/>
    </tableStyle>
    <tableStyle name="Instalaciones-style 115" pivot="0" count="2" xr9:uid="{1D32F0A4-BD79-48B4-9523-B2906E1267EB}">
      <tableStyleElement type="firstRowStripe" dxfId="327"/>
      <tableStyleElement type="secondRowStripe" dxfId="326"/>
    </tableStyle>
    <tableStyle name="Instalaciones-style 116" pivot="0" count="2" xr9:uid="{2F1A347A-D970-4E97-9B99-87178F11A686}">
      <tableStyleElement type="firstRowStripe" dxfId="325"/>
      <tableStyleElement type="secondRowStripe" dxfId="324"/>
    </tableStyle>
    <tableStyle name="Instalaciones-style 117" pivot="0" count="2" xr9:uid="{67A0ABA3-38D8-4694-8425-41518A4A1768}">
      <tableStyleElement type="firstRowStripe" dxfId="323"/>
      <tableStyleElement type="secondRowStripe" dxfId="322"/>
    </tableStyle>
    <tableStyle name="Instalaciones-style 118" pivot="0" count="2" xr9:uid="{6CDF8413-B0E0-4F7A-83B4-D25CCCFD4CB7}">
      <tableStyleElement type="firstRowStripe" dxfId="321"/>
      <tableStyleElement type="secondRowStripe" dxfId="320"/>
    </tableStyle>
    <tableStyle name="Instalaciones-style 119" pivot="0" count="2" xr9:uid="{5D2FB1CB-534F-4574-A0C5-0B96FEA2B2FB}">
      <tableStyleElement type="firstRowStripe" dxfId="319"/>
      <tableStyleElement type="secondRowStripe" dxfId="318"/>
    </tableStyle>
    <tableStyle name="Instalaciones-style 12" pivot="0" count="2" xr9:uid="{58C7BE56-47AE-44FE-A945-0C7BBA82C1AA}">
      <tableStyleElement type="firstRowStripe" dxfId="317"/>
      <tableStyleElement type="secondRowStripe" dxfId="316"/>
    </tableStyle>
    <tableStyle name="Instalaciones-style 120" pivot="0" count="2" xr9:uid="{2E2FB06E-5C06-40CF-9E4C-5F42208F7651}">
      <tableStyleElement type="firstRowStripe" dxfId="315"/>
      <tableStyleElement type="secondRowStripe" dxfId="314"/>
    </tableStyle>
    <tableStyle name="Instalaciones-style 121" pivot="0" count="2" xr9:uid="{50FE42D9-5A13-4DAE-87D4-AE9B285DDF72}">
      <tableStyleElement type="firstRowStripe" dxfId="313"/>
      <tableStyleElement type="secondRowStripe" dxfId="312"/>
    </tableStyle>
    <tableStyle name="Instalaciones-style 122" pivot="0" count="2" xr9:uid="{875F5D31-00B1-4430-BE98-A1F0E0B1E623}">
      <tableStyleElement type="firstRowStripe" dxfId="311"/>
      <tableStyleElement type="secondRowStripe" dxfId="310"/>
    </tableStyle>
    <tableStyle name="Instalaciones-style 123" pivot="0" count="2" xr9:uid="{DB42D7D4-78E5-4E43-ADCD-5E11D1732C68}">
      <tableStyleElement type="firstRowStripe" dxfId="309"/>
      <tableStyleElement type="secondRowStripe" dxfId="308"/>
    </tableStyle>
    <tableStyle name="Instalaciones-style 124" pivot="0" count="2" xr9:uid="{D395BD00-FFC4-4358-83D9-80A5D8E59A92}">
      <tableStyleElement type="firstRowStripe" dxfId="307"/>
      <tableStyleElement type="secondRowStripe" dxfId="306"/>
    </tableStyle>
    <tableStyle name="Instalaciones-style 125" pivot="0" count="2" xr9:uid="{2FA764B8-57ED-4B2B-BB38-FD415BC42F68}">
      <tableStyleElement type="firstRowStripe" dxfId="305"/>
      <tableStyleElement type="secondRowStripe" dxfId="304"/>
    </tableStyle>
    <tableStyle name="Instalaciones-style 126" pivot="0" count="2" xr9:uid="{C3192B2F-D73D-4AF7-A231-D4663B0D00E5}">
      <tableStyleElement type="firstRowStripe" dxfId="303"/>
      <tableStyleElement type="secondRowStripe" dxfId="302"/>
    </tableStyle>
    <tableStyle name="Instalaciones-style 127" pivot="0" count="2" xr9:uid="{33DE05B8-AAB7-4350-8E68-A12749CBAEE2}">
      <tableStyleElement type="firstRowStripe" dxfId="301"/>
      <tableStyleElement type="secondRowStripe" dxfId="300"/>
    </tableStyle>
    <tableStyle name="Instalaciones-style 128" pivot="0" count="2" xr9:uid="{71110BC6-BBB8-4653-A1AD-E7F6E8E1D1C9}">
      <tableStyleElement type="firstRowStripe" dxfId="299"/>
      <tableStyleElement type="secondRowStripe" dxfId="298"/>
    </tableStyle>
    <tableStyle name="Instalaciones-style 129" pivot="0" count="2" xr9:uid="{3BB29640-0836-45EF-A976-0312B19C500F}">
      <tableStyleElement type="firstRowStripe" dxfId="297"/>
      <tableStyleElement type="secondRowStripe" dxfId="296"/>
    </tableStyle>
    <tableStyle name="Instalaciones-style 13" pivot="0" count="2" xr9:uid="{7AADA102-8CDA-4BF2-8827-287936D4ACAC}">
      <tableStyleElement type="firstRowStripe" dxfId="295"/>
      <tableStyleElement type="secondRowStripe" dxfId="294"/>
    </tableStyle>
    <tableStyle name="Instalaciones-style 130" pivot="0" count="2" xr9:uid="{76515631-BF5A-4A1F-8858-D22245D1F09A}">
      <tableStyleElement type="firstRowStripe" dxfId="293"/>
      <tableStyleElement type="secondRowStripe" dxfId="292"/>
    </tableStyle>
    <tableStyle name="Instalaciones-style 131" pivot="0" count="2" xr9:uid="{1F154D35-AF31-41DE-B642-0966F8EF86DF}">
      <tableStyleElement type="firstRowStripe" dxfId="291"/>
      <tableStyleElement type="secondRowStripe" dxfId="290"/>
    </tableStyle>
    <tableStyle name="Instalaciones-style 132" pivot="0" count="2" xr9:uid="{9A0A0795-3D36-4B6D-92D9-740AF1D1226E}">
      <tableStyleElement type="firstRowStripe" dxfId="289"/>
      <tableStyleElement type="secondRowStripe" dxfId="288"/>
    </tableStyle>
    <tableStyle name="Instalaciones-style 133" pivot="0" count="2" xr9:uid="{2BE00DF4-3CAA-4F60-92B8-D030663DEA8B}">
      <tableStyleElement type="firstRowStripe" dxfId="287"/>
      <tableStyleElement type="secondRowStripe" dxfId="286"/>
    </tableStyle>
    <tableStyle name="Instalaciones-style 134" pivot="0" count="2" xr9:uid="{43FBF08F-1033-45BE-BC94-5E0912AF93F2}">
      <tableStyleElement type="firstRowStripe" dxfId="285"/>
      <tableStyleElement type="secondRowStripe" dxfId="284"/>
    </tableStyle>
    <tableStyle name="Instalaciones-style 135" pivot="0" count="2" xr9:uid="{E6DB67EE-98E6-46B7-A06D-25FC0B251C60}">
      <tableStyleElement type="firstRowStripe" dxfId="283"/>
      <tableStyleElement type="secondRowStripe" dxfId="282"/>
    </tableStyle>
    <tableStyle name="Instalaciones-style 136" pivot="0" count="2" xr9:uid="{C16168D5-ECAB-4BA6-9A2B-6E0E26A7E388}">
      <tableStyleElement type="firstRowStripe" dxfId="281"/>
      <tableStyleElement type="secondRowStripe" dxfId="280"/>
    </tableStyle>
    <tableStyle name="Instalaciones-style 14" pivot="0" count="2" xr9:uid="{53A0F122-37A9-4D5C-83CD-CD8B3CB5B666}">
      <tableStyleElement type="firstRowStripe" dxfId="279"/>
      <tableStyleElement type="secondRowStripe" dxfId="278"/>
    </tableStyle>
    <tableStyle name="Instalaciones-style 15" pivot="0" count="2" xr9:uid="{7218A76E-5670-447F-8A20-BDE97AF2A252}">
      <tableStyleElement type="firstRowStripe" dxfId="277"/>
      <tableStyleElement type="secondRowStripe" dxfId="276"/>
    </tableStyle>
    <tableStyle name="Instalaciones-style 16" pivot="0" count="2" xr9:uid="{48C2234F-D6E0-4ADD-8C58-40F5E2367D34}">
      <tableStyleElement type="firstRowStripe" dxfId="275"/>
      <tableStyleElement type="secondRowStripe" dxfId="274"/>
    </tableStyle>
    <tableStyle name="Instalaciones-style 17" pivot="0" count="2" xr9:uid="{E0049D53-164F-4C63-ABF0-CC322530BAE9}">
      <tableStyleElement type="firstRowStripe" dxfId="273"/>
      <tableStyleElement type="secondRowStripe" dxfId="272"/>
    </tableStyle>
    <tableStyle name="Instalaciones-style 18" pivot="0" count="2" xr9:uid="{37AEC8E8-BA53-4A0F-A592-29439BB950EB}">
      <tableStyleElement type="firstRowStripe" dxfId="271"/>
      <tableStyleElement type="secondRowStripe" dxfId="270"/>
    </tableStyle>
    <tableStyle name="Instalaciones-style 19" pivot="0" count="2" xr9:uid="{18476BD4-157E-43E9-A091-464DEF32FD91}">
      <tableStyleElement type="firstRowStripe" dxfId="269"/>
      <tableStyleElement type="secondRowStripe" dxfId="268"/>
    </tableStyle>
    <tableStyle name="Instalaciones-style 2" pivot="0" count="2" xr9:uid="{5F418FAF-E09B-4A29-BCD0-061D77A01614}">
      <tableStyleElement type="firstRowStripe" dxfId="267"/>
      <tableStyleElement type="secondRowStripe" dxfId="266"/>
    </tableStyle>
    <tableStyle name="Instalaciones-style 20" pivot="0" count="2" xr9:uid="{13FB965D-D828-47CF-80AB-0FA2A18AD20D}">
      <tableStyleElement type="firstRowStripe" dxfId="265"/>
      <tableStyleElement type="secondRowStripe" dxfId="264"/>
    </tableStyle>
    <tableStyle name="Instalaciones-style 21" pivot="0" count="2" xr9:uid="{4FEEE6D7-9942-47B7-81B3-31A87F8C775E}">
      <tableStyleElement type="firstRowStripe" dxfId="263"/>
      <tableStyleElement type="secondRowStripe" dxfId="262"/>
    </tableStyle>
    <tableStyle name="Instalaciones-style 22" pivot="0" count="2" xr9:uid="{0B557A97-83D6-4F7F-841F-A4DD165499CB}">
      <tableStyleElement type="firstRowStripe" dxfId="261"/>
      <tableStyleElement type="secondRowStripe" dxfId="260"/>
    </tableStyle>
    <tableStyle name="Instalaciones-style 23" pivot="0" count="2" xr9:uid="{5918EA03-0745-4DA5-9D27-1B50697CAE67}">
      <tableStyleElement type="firstRowStripe" dxfId="259"/>
      <tableStyleElement type="secondRowStripe" dxfId="258"/>
    </tableStyle>
    <tableStyle name="Instalaciones-style 24" pivot="0" count="2" xr9:uid="{A5842357-E99F-41F9-9378-2664A46BAB89}">
      <tableStyleElement type="firstRowStripe" dxfId="257"/>
      <tableStyleElement type="secondRowStripe" dxfId="256"/>
    </tableStyle>
    <tableStyle name="Instalaciones-style 25" pivot="0" count="2" xr9:uid="{EEDC3E20-5CCF-451A-9340-7898C75AA495}">
      <tableStyleElement type="firstRowStripe" dxfId="255"/>
      <tableStyleElement type="secondRowStripe" dxfId="254"/>
    </tableStyle>
    <tableStyle name="Instalaciones-style 26" pivot="0" count="2" xr9:uid="{7AE7EB38-0A40-4EB8-AC84-EF7C285E1E05}">
      <tableStyleElement type="firstRowStripe" dxfId="253"/>
      <tableStyleElement type="secondRowStripe" dxfId="252"/>
    </tableStyle>
    <tableStyle name="Instalaciones-style 27" pivot="0" count="2" xr9:uid="{2567E819-F643-477C-8E11-A10C0B0D5020}">
      <tableStyleElement type="firstRowStripe" dxfId="251"/>
      <tableStyleElement type="secondRowStripe" dxfId="250"/>
    </tableStyle>
    <tableStyle name="Instalaciones-style 28" pivot="0" count="2" xr9:uid="{76AD9E89-1201-4A87-BCE3-5EFDBC535FD9}">
      <tableStyleElement type="firstRowStripe" dxfId="249"/>
      <tableStyleElement type="secondRowStripe" dxfId="248"/>
    </tableStyle>
    <tableStyle name="Instalaciones-style 29" pivot="0" count="2" xr9:uid="{C3A8A5A4-6026-47F3-820D-36C0EA95CCF0}">
      <tableStyleElement type="firstRowStripe" dxfId="247"/>
      <tableStyleElement type="secondRowStripe" dxfId="246"/>
    </tableStyle>
    <tableStyle name="Instalaciones-style 3" pivot="0" count="2" xr9:uid="{667A34E1-00B8-4565-AA62-C81D6C258EE1}">
      <tableStyleElement type="firstRowStripe" dxfId="245"/>
      <tableStyleElement type="secondRowStripe" dxfId="244"/>
    </tableStyle>
    <tableStyle name="Instalaciones-style 30" pivot="0" count="2" xr9:uid="{3A74244D-88BF-47E7-BC6B-38E4751B2009}">
      <tableStyleElement type="firstRowStripe" dxfId="243"/>
      <tableStyleElement type="secondRowStripe" dxfId="242"/>
    </tableStyle>
    <tableStyle name="Instalaciones-style 31" pivot="0" count="2" xr9:uid="{FD7527D3-1E3D-4EC6-9904-C084DCE38DA5}">
      <tableStyleElement type="firstRowStripe" dxfId="241"/>
      <tableStyleElement type="secondRowStripe" dxfId="240"/>
    </tableStyle>
    <tableStyle name="Instalaciones-style 32" pivot="0" count="2" xr9:uid="{78BE8F97-833A-49E3-B3BF-C550B0FEFD3A}">
      <tableStyleElement type="firstRowStripe" dxfId="239"/>
      <tableStyleElement type="secondRowStripe" dxfId="238"/>
    </tableStyle>
    <tableStyle name="Instalaciones-style 33" pivot="0" count="2" xr9:uid="{17EFCC49-D2E8-4D64-9FB2-6EE9800CFF93}">
      <tableStyleElement type="firstRowStripe" dxfId="237"/>
      <tableStyleElement type="secondRowStripe" dxfId="236"/>
    </tableStyle>
    <tableStyle name="Instalaciones-style 34" pivot="0" count="2" xr9:uid="{89A4508E-1DA1-4BC9-B8E2-2BF97BAD59A3}">
      <tableStyleElement type="firstRowStripe" dxfId="235"/>
      <tableStyleElement type="secondRowStripe" dxfId="234"/>
    </tableStyle>
    <tableStyle name="Instalaciones-style 35" pivot="0" count="2" xr9:uid="{A6CB1CE7-E019-4E98-977D-14EF04D50358}">
      <tableStyleElement type="firstRowStripe" dxfId="233"/>
      <tableStyleElement type="secondRowStripe" dxfId="232"/>
    </tableStyle>
    <tableStyle name="Instalaciones-style 36" pivot="0" count="2" xr9:uid="{1CFF4135-DD50-4D95-8F07-2F41540A3CAF}">
      <tableStyleElement type="firstRowStripe" dxfId="231"/>
      <tableStyleElement type="secondRowStripe" dxfId="230"/>
    </tableStyle>
    <tableStyle name="Instalaciones-style 37" pivot="0" count="2" xr9:uid="{660D93C0-8472-4D86-BA15-2E4C8AD4AA19}">
      <tableStyleElement type="firstRowStripe" dxfId="229"/>
      <tableStyleElement type="secondRowStripe" dxfId="228"/>
    </tableStyle>
    <tableStyle name="Instalaciones-style 38" pivot="0" count="2" xr9:uid="{D32445A7-971E-4EDD-B2EA-794894B28B63}">
      <tableStyleElement type="firstRowStripe" dxfId="227"/>
      <tableStyleElement type="secondRowStripe" dxfId="226"/>
    </tableStyle>
    <tableStyle name="Instalaciones-style 39" pivot="0" count="2" xr9:uid="{6697F07E-A789-4BC7-8908-3B1FE18830CC}">
      <tableStyleElement type="firstRowStripe" dxfId="225"/>
      <tableStyleElement type="secondRowStripe" dxfId="224"/>
    </tableStyle>
    <tableStyle name="Instalaciones-style 4" pivot="0" count="2" xr9:uid="{6D0605F7-4F00-4BD2-B9F8-795291AE20EA}">
      <tableStyleElement type="firstRowStripe" dxfId="223"/>
      <tableStyleElement type="secondRowStripe" dxfId="222"/>
    </tableStyle>
    <tableStyle name="Instalaciones-style 40" pivot="0" count="2" xr9:uid="{B4110BBA-6296-4562-9819-46F522ABB946}">
      <tableStyleElement type="firstRowStripe" dxfId="221"/>
      <tableStyleElement type="secondRowStripe" dxfId="220"/>
    </tableStyle>
    <tableStyle name="Instalaciones-style 41" pivot="0" count="2" xr9:uid="{C56E3833-84C7-494C-952D-3C9DC488060B}">
      <tableStyleElement type="firstRowStripe" dxfId="219"/>
      <tableStyleElement type="secondRowStripe" dxfId="218"/>
    </tableStyle>
    <tableStyle name="Instalaciones-style 42" pivot="0" count="2" xr9:uid="{14A709CC-DA37-4139-B499-4E8E9CA92282}">
      <tableStyleElement type="firstRowStripe" dxfId="217"/>
      <tableStyleElement type="secondRowStripe" dxfId="216"/>
    </tableStyle>
    <tableStyle name="Instalaciones-style 43" pivot="0" count="2" xr9:uid="{2C938B73-8CFB-48D4-8261-96F34604599C}">
      <tableStyleElement type="firstRowStripe" dxfId="215"/>
      <tableStyleElement type="secondRowStripe" dxfId="214"/>
    </tableStyle>
    <tableStyle name="Instalaciones-style 44" pivot="0" count="2" xr9:uid="{F3357AE1-03C8-4E79-89D7-F74C6F6097CF}">
      <tableStyleElement type="firstRowStripe" dxfId="213"/>
      <tableStyleElement type="secondRowStripe" dxfId="212"/>
    </tableStyle>
    <tableStyle name="Instalaciones-style 45" pivot="0" count="2" xr9:uid="{13F61EB9-0E3B-406B-8177-BCD1F3A90E23}">
      <tableStyleElement type="firstRowStripe" dxfId="211"/>
      <tableStyleElement type="secondRowStripe" dxfId="210"/>
    </tableStyle>
    <tableStyle name="Instalaciones-style 46" pivot="0" count="2" xr9:uid="{55C40A0C-DDC1-4618-86BC-51176F0996D9}">
      <tableStyleElement type="firstRowStripe" dxfId="209"/>
      <tableStyleElement type="secondRowStripe" dxfId="208"/>
    </tableStyle>
    <tableStyle name="Instalaciones-style 47" pivot="0" count="2" xr9:uid="{0B501FAC-75D6-4ADA-B7ED-7652CBAFD6F4}">
      <tableStyleElement type="firstRowStripe" dxfId="207"/>
      <tableStyleElement type="secondRowStripe" dxfId="206"/>
    </tableStyle>
    <tableStyle name="Instalaciones-style 48" pivot="0" count="2" xr9:uid="{8B038ED3-6260-4975-B3BD-B9F25E8F5DB2}">
      <tableStyleElement type="firstRowStripe" dxfId="205"/>
      <tableStyleElement type="secondRowStripe" dxfId="204"/>
    </tableStyle>
    <tableStyle name="Instalaciones-style 49" pivot="0" count="2" xr9:uid="{7C4FC175-B9BB-49FF-883A-EAC549EC624D}">
      <tableStyleElement type="firstRowStripe" dxfId="203"/>
      <tableStyleElement type="secondRowStripe" dxfId="202"/>
    </tableStyle>
    <tableStyle name="Instalaciones-style 5" pivot="0" count="2" xr9:uid="{27DF894E-8BC3-4DB6-8BDA-E0D03A586247}">
      <tableStyleElement type="firstRowStripe" dxfId="201"/>
      <tableStyleElement type="secondRowStripe" dxfId="200"/>
    </tableStyle>
    <tableStyle name="Instalaciones-style 50" pivot="0" count="2" xr9:uid="{3007B805-5DC9-4E68-88E4-634CE044FD66}">
      <tableStyleElement type="firstRowStripe" dxfId="199"/>
      <tableStyleElement type="secondRowStripe" dxfId="198"/>
    </tableStyle>
    <tableStyle name="Instalaciones-style 51" pivot="0" count="2" xr9:uid="{CD5A9A46-26C5-4098-9D16-C9212355EB62}">
      <tableStyleElement type="firstRowStripe" dxfId="197"/>
      <tableStyleElement type="secondRowStripe" dxfId="196"/>
    </tableStyle>
    <tableStyle name="Instalaciones-style 52" pivot="0" count="2" xr9:uid="{5FB50337-8A2B-4642-9053-A3BC0548B436}">
      <tableStyleElement type="firstRowStripe" dxfId="195"/>
      <tableStyleElement type="secondRowStripe" dxfId="194"/>
    </tableStyle>
    <tableStyle name="Instalaciones-style 53" pivot="0" count="2" xr9:uid="{7590331E-6B30-4991-B0FA-B570A27579F4}">
      <tableStyleElement type="firstRowStripe" dxfId="193"/>
      <tableStyleElement type="secondRowStripe" dxfId="192"/>
    </tableStyle>
    <tableStyle name="Instalaciones-style 54" pivot="0" count="2" xr9:uid="{C90F2EFB-5961-4C78-ADF0-FC73A8B647E6}">
      <tableStyleElement type="firstRowStripe" dxfId="191"/>
      <tableStyleElement type="secondRowStripe" dxfId="190"/>
    </tableStyle>
    <tableStyle name="Instalaciones-style 55" pivot="0" count="2" xr9:uid="{EFC48473-C7B5-49D8-ADA7-FD309A0DE0B8}">
      <tableStyleElement type="firstRowStripe" dxfId="189"/>
      <tableStyleElement type="secondRowStripe" dxfId="188"/>
    </tableStyle>
    <tableStyle name="Instalaciones-style 56" pivot="0" count="2" xr9:uid="{38C71B0D-14EC-49A3-9399-CF9F8F4C2F36}">
      <tableStyleElement type="firstRowStripe" dxfId="187"/>
      <tableStyleElement type="secondRowStripe" dxfId="186"/>
    </tableStyle>
    <tableStyle name="Instalaciones-style 57" pivot="0" count="2" xr9:uid="{940185CE-091F-4742-8617-DC3ED09AAAA6}">
      <tableStyleElement type="firstRowStripe" dxfId="185"/>
      <tableStyleElement type="secondRowStripe" dxfId="184"/>
    </tableStyle>
    <tableStyle name="Instalaciones-style 58" pivot="0" count="2" xr9:uid="{853D4202-F5B8-4ECE-B472-6625AD854530}">
      <tableStyleElement type="firstRowStripe" dxfId="183"/>
      <tableStyleElement type="secondRowStripe" dxfId="182"/>
    </tableStyle>
    <tableStyle name="Instalaciones-style 59" pivot="0" count="2" xr9:uid="{35176F3A-F7B3-4DB7-9988-20BD4311336F}">
      <tableStyleElement type="firstRowStripe" dxfId="181"/>
      <tableStyleElement type="secondRowStripe" dxfId="180"/>
    </tableStyle>
    <tableStyle name="Instalaciones-style 6" pivot="0" count="2" xr9:uid="{EE1C1D92-A060-43AA-A0CD-1BD0996FEA39}">
      <tableStyleElement type="firstRowStripe" dxfId="179"/>
      <tableStyleElement type="secondRowStripe" dxfId="178"/>
    </tableStyle>
    <tableStyle name="Instalaciones-style 60" pivot="0" count="2" xr9:uid="{683FEBC3-8B43-4E2C-87C4-87F97731A95E}">
      <tableStyleElement type="firstRowStripe" dxfId="177"/>
      <tableStyleElement type="secondRowStripe" dxfId="176"/>
    </tableStyle>
    <tableStyle name="Instalaciones-style 61" pivot="0" count="2" xr9:uid="{29FA3DAC-9A3F-4F96-B7A9-E0F5AB8C2CCA}">
      <tableStyleElement type="firstRowStripe" dxfId="175"/>
      <tableStyleElement type="secondRowStripe" dxfId="174"/>
    </tableStyle>
    <tableStyle name="Instalaciones-style 62" pivot="0" count="2" xr9:uid="{36BA7241-2B7E-4821-9752-69F1EDE1960E}">
      <tableStyleElement type="firstRowStripe" dxfId="173"/>
      <tableStyleElement type="secondRowStripe" dxfId="172"/>
    </tableStyle>
    <tableStyle name="Instalaciones-style 63" pivot="0" count="2" xr9:uid="{E88C934B-0298-4072-B3DA-C475CE09BD2E}">
      <tableStyleElement type="firstRowStripe" dxfId="171"/>
      <tableStyleElement type="secondRowStripe" dxfId="170"/>
    </tableStyle>
    <tableStyle name="Instalaciones-style 64" pivot="0" count="2" xr9:uid="{194EAC43-E4CE-4960-8DB9-260D1225D031}">
      <tableStyleElement type="firstRowStripe" dxfId="169"/>
      <tableStyleElement type="secondRowStripe" dxfId="168"/>
    </tableStyle>
    <tableStyle name="Instalaciones-style 65" pivot="0" count="2" xr9:uid="{9676021F-4090-4EB6-941A-073B192D5009}">
      <tableStyleElement type="firstRowStripe" dxfId="167"/>
      <tableStyleElement type="secondRowStripe" dxfId="166"/>
    </tableStyle>
    <tableStyle name="Instalaciones-style 66" pivot="0" count="2" xr9:uid="{69319410-2811-497A-8A14-E69E81CAEF5E}">
      <tableStyleElement type="firstRowStripe" dxfId="165"/>
      <tableStyleElement type="secondRowStripe" dxfId="164"/>
    </tableStyle>
    <tableStyle name="Instalaciones-style 67" pivot="0" count="2" xr9:uid="{D057F9F3-35B4-4018-A071-EAC355C6BCF1}">
      <tableStyleElement type="firstRowStripe" dxfId="163"/>
      <tableStyleElement type="secondRowStripe" dxfId="162"/>
    </tableStyle>
    <tableStyle name="Instalaciones-style 68" pivot="0" count="2" xr9:uid="{A059DF94-89E0-4A84-B7AE-33E93D800ED2}">
      <tableStyleElement type="firstRowStripe" dxfId="161"/>
      <tableStyleElement type="secondRowStripe" dxfId="160"/>
    </tableStyle>
    <tableStyle name="Instalaciones-style 69" pivot="0" count="2" xr9:uid="{DB23E6F9-863E-4329-B633-5F1FB385A561}">
      <tableStyleElement type="firstRowStripe" dxfId="159"/>
      <tableStyleElement type="secondRowStripe" dxfId="158"/>
    </tableStyle>
    <tableStyle name="Instalaciones-style 7" pivot="0" count="2" xr9:uid="{46E172B6-782C-44E6-BF39-0247FF8DECDC}">
      <tableStyleElement type="firstRowStripe" dxfId="157"/>
      <tableStyleElement type="secondRowStripe" dxfId="156"/>
    </tableStyle>
    <tableStyle name="Instalaciones-style 70" pivot="0" count="2" xr9:uid="{453D1D76-5168-45C0-BF70-48EC08DE00F5}">
      <tableStyleElement type="firstRowStripe" dxfId="155"/>
      <tableStyleElement type="secondRowStripe" dxfId="154"/>
    </tableStyle>
    <tableStyle name="Instalaciones-style 71" pivot="0" count="2" xr9:uid="{297B2003-EEF5-4A85-941B-82BDE307D4A5}">
      <tableStyleElement type="firstRowStripe" dxfId="153"/>
      <tableStyleElement type="secondRowStripe" dxfId="152"/>
    </tableStyle>
    <tableStyle name="Instalaciones-style 72" pivot="0" count="2" xr9:uid="{3B70A03C-D60D-46AD-8EFB-FEA81A83F591}">
      <tableStyleElement type="firstRowStripe" dxfId="151"/>
      <tableStyleElement type="secondRowStripe" dxfId="150"/>
    </tableStyle>
    <tableStyle name="Instalaciones-style 73" pivot="0" count="2" xr9:uid="{3D75A36E-9DBF-42CB-800F-4E306044046F}">
      <tableStyleElement type="firstRowStripe" dxfId="149"/>
      <tableStyleElement type="secondRowStripe" dxfId="148"/>
    </tableStyle>
    <tableStyle name="Instalaciones-style 74" pivot="0" count="2" xr9:uid="{1BEB02F4-EC2F-41A1-94EA-E8EB294BCA48}">
      <tableStyleElement type="firstRowStripe" dxfId="147"/>
      <tableStyleElement type="secondRowStripe" dxfId="146"/>
    </tableStyle>
    <tableStyle name="Instalaciones-style 75" pivot="0" count="2" xr9:uid="{014CE25A-8CFA-4A58-BDDF-291FFC987BF9}">
      <tableStyleElement type="firstRowStripe" dxfId="145"/>
      <tableStyleElement type="secondRowStripe" dxfId="144"/>
    </tableStyle>
    <tableStyle name="Instalaciones-style 76" pivot="0" count="2" xr9:uid="{3A6CE3E1-7D9B-4834-BBAA-61D7B01D6519}">
      <tableStyleElement type="firstRowStripe" dxfId="143"/>
      <tableStyleElement type="secondRowStripe" dxfId="142"/>
    </tableStyle>
    <tableStyle name="Instalaciones-style 77" pivot="0" count="2" xr9:uid="{505FCD59-B5BB-4522-BEB7-BCE56C62A083}">
      <tableStyleElement type="firstRowStripe" dxfId="141"/>
      <tableStyleElement type="secondRowStripe" dxfId="140"/>
    </tableStyle>
    <tableStyle name="Instalaciones-style 78" pivot="0" count="2" xr9:uid="{0E32F1FE-AE71-49AF-8D63-4839E61F9F4E}">
      <tableStyleElement type="firstRowStripe" dxfId="139"/>
      <tableStyleElement type="secondRowStripe" dxfId="138"/>
    </tableStyle>
    <tableStyle name="Instalaciones-style 79" pivot="0" count="2" xr9:uid="{17C12E6F-EA56-4897-9D4B-8F49139BC193}">
      <tableStyleElement type="firstRowStripe" dxfId="137"/>
      <tableStyleElement type="secondRowStripe" dxfId="136"/>
    </tableStyle>
    <tableStyle name="Instalaciones-style 8" pivot="0" count="2" xr9:uid="{9CDC98DF-F8CA-4671-8564-E217F60326A0}">
      <tableStyleElement type="firstRowStripe" dxfId="135"/>
      <tableStyleElement type="secondRowStripe" dxfId="134"/>
    </tableStyle>
    <tableStyle name="Instalaciones-style 80" pivot="0" count="2" xr9:uid="{752FBAE0-D212-4A5D-96A6-16CB3E59D83E}">
      <tableStyleElement type="firstRowStripe" dxfId="133"/>
      <tableStyleElement type="secondRowStripe" dxfId="132"/>
    </tableStyle>
    <tableStyle name="Instalaciones-style 81" pivot="0" count="2" xr9:uid="{8659541C-EA96-4586-BA4A-7E045D50C87C}">
      <tableStyleElement type="firstRowStripe" dxfId="131"/>
      <tableStyleElement type="secondRowStripe" dxfId="130"/>
    </tableStyle>
    <tableStyle name="Instalaciones-style 82" pivot="0" count="2" xr9:uid="{C3BCD8F9-DCBC-4AE0-B2F7-BD197A502EEB}">
      <tableStyleElement type="firstRowStripe" dxfId="129"/>
      <tableStyleElement type="secondRowStripe" dxfId="128"/>
    </tableStyle>
    <tableStyle name="Instalaciones-style 83" pivot="0" count="2" xr9:uid="{64E0C423-CC91-43E2-A37E-DF0AEDD7BB5B}">
      <tableStyleElement type="firstRowStripe" dxfId="127"/>
      <tableStyleElement type="secondRowStripe" dxfId="126"/>
    </tableStyle>
    <tableStyle name="Instalaciones-style 84" pivot="0" count="2" xr9:uid="{F387DFD4-676C-4CAD-BC9E-279DC70A9291}">
      <tableStyleElement type="firstRowStripe" dxfId="125"/>
      <tableStyleElement type="secondRowStripe" dxfId="124"/>
    </tableStyle>
    <tableStyle name="Instalaciones-style 85" pivot="0" count="2" xr9:uid="{B55132C6-E84C-483C-8DD4-05EB28205FF7}">
      <tableStyleElement type="firstRowStripe" dxfId="123"/>
      <tableStyleElement type="secondRowStripe" dxfId="122"/>
    </tableStyle>
    <tableStyle name="Instalaciones-style 86" pivot="0" count="2" xr9:uid="{6BAF0A5A-C8FB-4E40-8B60-ACBF61B41CBF}">
      <tableStyleElement type="firstRowStripe" dxfId="121"/>
      <tableStyleElement type="secondRowStripe" dxfId="120"/>
    </tableStyle>
    <tableStyle name="Instalaciones-style 87" pivot="0" count="2" xr9:uid="{2BC5FA49-4983-46C0-9452-FBFC89D54832}">
      <tableStyleElement type="firstRowStripe" dxfId="119"/>
      <tableStyleElement type="secondRowStripe" dxfId="118"/>
    </tableStyle>
    <tableStyle name="Instalaciones-style 88" pivot="0" count="2" xr9:uid="{B354279A-EED6-43E7-B9D0-C90F511FAD63}">
      <tableStyleElement type="firstRowStripe" dxfId="117"/>
      <tableStyleElement type="secondRowStripe" dxfId="116"/>
    </tableStyle>
    <tableStyle name="Instalaciones-style 89" pivot="0" count="2" xr9:uid="{F822FC35-5D0B-428E-8FAA-066A5EBA3011}">
      <tableStyleElement type="firstRowStripe" dxfId="115"/>
      <tableStyleElement type="secondRowStripe" dxfId="114"/>
    </tableStyle>
    <tableStyle name="Instalaciones-style 9" pivot="0" count="2" xr9:uid="{CFD13CE2-6776-4CA8-BC3E-12F7145DF06E}">
      <tableStyleElement type="firstRowStripe" dxfId="113"/>
      <tableStyleElement type="secondRowStripe" dxfId="112"/>
    </tableStyle>
    <tableStyle name="Instalaciones-style 90" pivot="0" count="2" xr9:uid="{E6C532EA-101C-4BEA-9281-3C84F73BCE1A}">
      <tableStyleElement type="firstRowStripe" dxfId="111"/>
      <tableStyleElement type="secondRowStripe" dxfId="110"/>
    </tableStyle>
    <tableStyle name="Instalaciones-style 91" pivot="0" count="2" xr9:uid="{716D7F64-89F4-4CF0-A6C4-645246C47D34}">
      <tableStyleElement type="firstRowStripe" dxfId="109"/>
      <tableStyleElement type="secondRowStripe" dxfId="108"/>
    </tableStyle>
    <tableStyle name="Instalaciones-style 92" pivot="0" count="2" xr9:uid="{59E5EECB-647F-45F8-B282-95EE7A9E2FE2}">
      <tableStyleElement type="firstRowStripe" dxfId="107"/>
      <tableStyleElement type="secondRowStripe" dxfId="106"/>
    </tableStyle>
    <tableStyle name="Instalaciones-style 93" pivot="0" count="2" xr9:uid="{292E1854-4F9A-449D-9564-BDE04DE23891}">
      <tableStyleElement type="firstRowStripe" dxfId="105"/>
      <tableStyleElement type="secondRowStripe" dxfId="104"/>
    </tableStyle>
    <tableStyle name="Instalaciones-style 94" pivot="0" count="2" xr9:uid="{E677FC8A-0A8C-4E23-A209-A01270E5D388}">
      <tableStyleElement type="firstRowStripe" dxfId="103"/>
      <tableStyleElement type="secondRowStripe" dxfId="102"/>
    </tableStyle>
    <tableStyle name="Instalaciones-style 95" pivot="0" count="2" xr9:uid="{9817D132-1B6C-4F66-BAB5-F3459A05D3D4}">
      <tableStyleElement type="firstRowStripe" dxfId="101"/>
      <tableStyleElement type="secondRowStripe" dxfId="100"/>
    </tableStyle>
    <tableStyle name="Instalaciones-style 96" pivot="0" count="2" xr9:uid="{66D7D36F-C867-4261-9D65-4519DD43EF25}">
      <tableStyleElement type="firstRowStripe" dxfId="99"/>
      <tableStyleElement type="secondRowStripe" dxfId="98"/>
    </tableStyle>
    <tableStyle name="Instalaciones-style 97" pivot="0" count="2" xr9:uid="{27174C4B-F833-4155-875A-8F1B36E642D0}">
      <tableStyleElement type="firstRowStripe" dxfId="97"/>
      <tableStyleElement type="secondRowStripe" dxfId="96"/>
    </tableStyle>
    <tableStyle name="Instalaciones-style 98" pivot="0" count="2" xr9:uid="{FF19AE11-FAB7-43DC-80A2-C2A7F6CEA4CC}">
      <tableStyleElement type="firstRowStripe" dxfId="95"/>
      <tableStyleElement type="secondRowStripe" dxfId="94"/>
    </tableStyle>
    <tableStyle name="Instalaciones-style 99" pivot="0" count="2" xr9:uid="{252AF72A-873C-4EC9-A957-6190DEA04D4A}">
      <tableStyleElement type="firstRowStripe" dxfId="93"/>
      <tableStyleElement type="secondRowStripe" dxfId="92"/>
    </tableStyle>
    <tableStyle name="Instalaciones-style 137" pivot="0" count="2" xr9:uid="{9E7FCB02-F2B6-4625-9A97-C2B35381883A}">
      <tableStyleElement type="firstRowStripe" dxfId="91"/>
      <tableStyleElement type="secondRowStripe" dxfId="90"/>
    </tableStyle>
    <tableStyle name="MAESTRO-style" pivot="0" count="3" xr9:uid="{C1A933B0-4C41-4FBD-A1C6-6A6ADAB229F5}">
      <tableStyleElement type="headerRow" dxfId="89"/>
      <tableStyleElement type="firstRowStripe" dxfId="88"/>
      <tableStyleElement type="secondRowStripe" dxfId="87"/>
    </tableStyle>
    <tableStyle name="MAESTRO-style 2" pivot="0" count="3" xr9:uid="{D99721A8-37E6-4A72-B452-E7ED7C7E9859}">
      <tableStyleElement type="headerRow" dxfId="86"/>
      <tableStyleElement type="firstRowStripe" dxfId="85"/>
      <tableStyleElement type="secondRowStripe" dxfId="84"/>
    </tableStyle>
    <tableStyle name="MAESTRO-style 3" pivot="0" count="3" xr9:uid="{26488275-E452-4A35-A59E-2D91273A3F95}">
      <tableStyleElement type="headerRow" dxfId="83"/>
      <tableStyleElement type="firstRowStripe" dxfId="82"/>
      <tableStyleElement type="secondRowStripe" dxfId="81"/>
    </tableStyle>
    <tableStyle name="MAESTRO-style 4" pivot="0" count="2" xr9:uid="{D1F85CB0-8F4F-4410-A198-F87D16AAB60A}">
      <tableStyleElement type="firstRowStripe" dxfId="80"/>
      <tableStyleElement type="secondRowStripe" dxfId="79"/>
    </tableStyle>
    <tableStyle name="MAESTRO-style 5" pivot="0" count="2" xr9:uid="{F73CD2DD-5F02-4458-B0C0-A3F3B14F747F}">
      <tableStyleElement type="firstRowStripe" dxfId="78"/>
      <tableStyleElement type="secondRowStripe" dxfId="77"/>
    </tableStyle>
    <tableStyle name="MAESTRO-style 6" pivot="0" count="2" xr9:uid="{BB8C429B-08A2-44DD-A434-47A772BDED8F}">
      <tableStyleElement type="firstRowStripe" dxfId="76"/>
      <tableStyleElement type="secondRowStripe" dxfId="75"/>
    </tableStyle>
    <tableStyle name="MAESTRO-style 7" pivot="0" count="2" xr9:uid="{B91F440A-831D-44E7-8A86-69040D059A32}">
      <tableStyleElement type="firstRowStripe" dxfId="74"/>
      <tableStyleElement type="secondRowStripe" dxfId="73"/>
    </tableStyle>
    <tableStyle name="Datos52-DICIEMBRE-style" pivot="0" count="3" xr9:uid="{49891A70-46F2-4557-BD92-EC0538E67512}">
      <tableStyleElement type="headerRow" dxfId="72"/>
      <tableStyleElement type="firstRowStripe" dxfId="71"/>
      <tableStyleElement type="secondRowStripe" dxfId="70"/>
    </tableStyle>
    <tableStyle name="Datos49-DESISTIDO-Desistido-style" pivot="0" count="3" xr9:uid="{942E8056-0793-4D95-95FA-461E5AA99434}">
      <tableStyleElement type="headerRow" dxfId="69"/>
      <tableStyleElement type="firstRowStripe" dxfId="68"/>
      <tableStyleElement type="secondRowStripe" dxfId="67"/>
    </tableStyle>
    <tableStyle name="Datos50-DICIEMBRE-style" pivot="0" count="3" xr9:uid="{AA13B079-2988-4248-A16A-285731AC8795}">
      <tableStyleElement type="headerRow" dxfId="66"/>
      <tableStyleElement type="firstRowStripe" dxfId="65"/>
      <tableStyleElement type="secondRowStripe" dxfId="64"/>
    </tableStyle>
    <tableStyle name="instalaciones_automation_prueba-style" pivot="0" count="3" xr9:uid="{D08BA3C3-82D7-4BB5-884D-042D3DC62CB6}">
      <tableStyleElement type="headerRow" dxfId="63"/>
      <tableStyleElement type="firstRowStripe" dxfId="62"/>
      <tableStyleElement type="secondRowStripe" dxfId="61"/>
    </tableStyle>
    <tableStyle name="instalaciones_automation_prueba-style 2" pivot="0" count="2" xr9:uid="{F66464B0-8303-4CEC-A896-5D3C1D9077B0}">
      <tableStyleElement type="firstRowStripe" dxfId="60"/>
      <tableStyleElement type="secondRowStripe" dxfId="59"/>
    </tableStyle>
    <tableStyle name="instalaciones_automation_prueba-style 3" pivot="0" count="2" xr9:uid="{318B5FB6-C673-4CAE-B2D6-BEE418955118}">
      <tableStyleElement type="firstRowStripe" dxfId="58"/>
      <tableStyleElement type="secondRowStripe" dxfId="57"/>
    </tableStyle>
    <tableStyle name="instalaciones_automation_prueba-style 4" pivot="0" count="2" xr9:uid="{54B32B88-B84F-4D1A-874E-6E601FE1E7B5}">
      <tableStyleElement type="firstRowStripe" dxfId="56"/>
      <tableStyleElement type="secondRowStripe" dxfId="55"/>
    </tableStyle>
    <tableStyle name="instalaciones_automation_prueba-style 5" pivot="0" count="2" xr9:uid="{29337B63-B54F-4D65-B022-9076A64D28A1}">
      <tableStyleElement type="firstRowStripe" dxfId="54"/>
      <tableStyleElement type="secondRowStripe" dxfId="53"/>
    </tableStyle>
    <tableStyle name="instalaciones_automation_prueba-style 6" pivot="0" count="2" xr9:uid="{B1A30892-8A00-44A5-A8D0-E145928CAEAD}">
      <tableStyleElement type="firstRowStripe" dxfId="52"/>
      <tableStyleElement type="secondRowStripe" dxfId="51"/>
    </tableStyle>
    <tableStyle name="instalaciones_automation_prueba-style 7" pivot="0" count="2" xr9:uid="{3563BD43-B432-476C-A479-B55712505DA5}">
      <tableStyleElement type="firstRowStripe" dxfId="50"/>
      <tableStyleElement type="secondRowStripe" dxfId="49"/>
    </tableStyle>
    <tableStyle name="instalaciones_automation_prueba-style 8" pivot="0" count="2" xr9:uid="{E3BD1A1C-9957-441C-8B89-2FE3C7F699A7}">
      <tableStyleElement type="firstRowStripe" dxfId="48"/>
      <tableStyleElement type="secondRowStripe" dxfId="47"/>
    </tableStyle>
    <tableStyle name="instalaciones_automation_prueba-style 9" pivot="0" count="2" xr9:uid="{B968F78E-D31B-4C75-BF31-BA2A45403048}">
      <tableStyleElement type="firstRowStripe" dxfId="46"/>
      <tableStyleElement type="secondRowStripe" dxfId="45"/>
    </tableStyle>
    <tableStyle name="instalaciones_automation_prueba-style 10" pivot="0" count="2" xr9:uid="{0C248528-446F-4A8F-B354-7D3CF77F1A08}">
      <tableStyleElement type="firstRowStripe" dxfId="44"/>
      <tableStyleElement type="secondRowStripe" dxfId="43"/>
    </tableStyle>
    <tableStyle name="instalaciones_automation_prueba-style 11" pivot="0" count="2" xr9:uid="{3DFF9A60-32FE-4251-9DB3-7CF06F356EB2}">
      <tableStyleElement type="firstRowStripe" dxfId="42"/>
      <tableStyleElement type="secondRowStripe" dxfId="41"/>
    </tableStyle>
    <tableStyle name="instalaciones_automation_prueba-style 12" pivot="0" count="2" xr9:uid="{BE8CA4A7-1E3D-47C8-B1B2-1FA30B55B63D}">
      <tableStyleElement type="firstRowStripe" dxfId="40"/>
      <tableStyleElement type="secondRowStripe" dxfId="39"/>
    </tableStyle>
    <tableStyle name="instalaciones_automation_prueba-style 13" pivot="0" count="2" xr9:uid="{EEE85E76-CD81-4A53-B958-C253691897CD}">
      <tableStyleElement type="firstRowStripe" dxfId="38"/>
      <tableStyleElement type="secondRowStripe" dxfId="37"/>
    </tableStyle>
    <tableStyle name="instalaciones_automation_prueba-style 14" pivot="0" count="2" xr9:uid="{F5D6A6B8-45D7-4FB8-B932-E5F443FC6342}">
      <tableStyleElement type="firstRowStripe" dxfId="36"/>
      <tableStyleElement type="secondRowStripe" dxfId="35"/>
    </tableStyle>
    <tableStyle name="instalaciones_automation_prueba-style 15" pivot="0" count="2" xr9:uid="{FC61B62A-5AF1-40C1-B1C7-CC8C522D7A24}">
      <tableStyleElement type="firstRowStripe" dxfId="34"/>
      <tableStyleElement type="secondRowStripe" dxfId="33"/>
    </tableStyle>
    <tableStyle name="instalaciones_automation_prueba-style 16" pivot="0" count="2" xr9:uid="{AF34F4E9-9CB1-4566-BAC0-916BBAAA9FF4}">
      <tableStyleElement type="firstRowStripe" dxfId="32"/>
      <tableStyleElement type="secondRowStripe" dxfId="31"/>
    </tableStyle>
    <tableStyle name="instalaciones_automation_prueba-style 17" pivot="0" count="2" xr9:uid="{55FCE4E3-47E6-4048-BEE5-53A79751111E}">
      <tableStyleElement type="firstRowStripe" dxfId="30"/>
      <tableStyleElement type="secondRowStripe" dxfId="29"/>
    </tableStyle>
    <tableStyle name="instalaciones_automation_prueba-style 18" pivot="0" count="2" xr9:uid="{6DF978D1-CD07-4509-A87C-AF4A9B87578C}">
      <tableStyleElement type="firstRowStripe" dxfId="28"/>
      <tableStyleElement type="secondRowStripe" dxfId="27"/>
    </tableStyle>
    <tableStyle name="instalaciones_automation_prueba-style 19" pivot="0" count="2" xr9:uid="{9FB41BBF-F4FB-4040-9982-86F58EDFCC88}">
      <tableStyleElement type="firstRowStripe" dxfId="26"/>
      <tableStyleElement type="secondRowStripe" dxfId="25"/>
    </tableStyle>
    <tableStyle name="instalaciones_automation_prueba-style 20" pivot="0" count="2" xr9:uid="{BBDC52F9-0C25-412A-97D6-D15D2CFB4168}">
      <tableStyleElement type="firstRowStripe" dxfId="24"/>
      <tableStyleElement type="secondRowStripe" dxfId="23"/>
    </tableStyle>
    <tableStyle name="instalaciones_automation_prueba-style 21" pivot="0" count="2" xr9:uid="{D48E9E0C-E37D-4FE9-8C6D-957AB87C3E5A}">
      <tableStyleElement type="firstRowStripe" dxfId="22"/>
      <tableStyleElement type="secondRowStripe" dxfId="21"/>
    </tableStyle>
    <tableStyle name="instalaciones_automation_prueba-style 22" pivot="0" count="2" xr9:uid="{1A41AE92-5815-424E-9BC7-4EEC6CB7CD63}">
      <tableStyleElement type="firstRowStripe" dxfId="20"/>
      <tableStyleElement type="secondRowStripe" dxfId="19"/>
    </tableStyle>
    <tableStyle name="instalaciones_automation_prueba-style 23" pivot="0" count="2" xr9:uid="{104E9911-0FD2-4EC5-ACEF-75A1E528617E}">
      <tableStyleElement type="firstRowStripe" dxfId="18"/>
      <tableStyleElement type="secondRowStripe" dxfId="17"/>
    </tableStyle>
    <tableStyle name="Seguimiento Fechas Instalacione-style" pivot="0" count="3" xr9:uid="{EA0D5876-F3A2-4221-BEE0-884A545BC040}">
      <tableStyleElement type="headerRow" dxfId="16"/>
      <tableStyleElement type="firstRowStripe" dxfId="15"/>
      <tableStyleElement type="secondRowStripe" dxfId="14"/>
    </tableStyle>
    <tableStyle name="Seguimiento Fechas Instalacione-style 2" pivot="0" count="2" xr9:uid="{08094DD5-B536-4C7E-8D30-0906FEB3992C}">
      <tableStyleElement type="firstRowStripe" dxfId="13"/>
      <tableStyleElement type="secondRowStripe" dxfId="12"/>
    </tableStyle>
    <tableStyle name="Seguimiento Fechas Instalacione-style 3" pivot="0" count="3" xr9:uid="{DDC39332-BADE-4129-94E6-01EDFBB7BF6C}">
      <tableStyleElement type="headerRow" dxfId="11"/>
      <tableStyleElement type="firstRowStripe" dxfId="10"/>
      <tableStyleElement type="secondRowStripe" dxfId="9"/>
    </tableStyle>
    <tableStyle name="Seguimiento Fechas Instalacione-style 4" pivot="0" count="3" xr9:uid="{0A4CCDF9-6110-4E95-9B1A-A6AC728E5389}">
      <tableStyleElement type="headerRow" dxfId="8"/>
      <tableStyleElement type="firstRowStripe" dxfId="7"/>
      <tableStyleElement type="secondRowStripe" dxfId="6"/>
    </tableStyle>
    <tableStyle name="Seguimiento Fechas Instalacione-style 5" pivot="0" count="2" xr9:uid="{2F76EFD7-85DA-409B-BA4E-7846649F2B47}">
      <tableStyleElement type="firstRowStripe" dxfId="5"/>
      <tableStyleElement type="secondRowStripe" dxfId="4"/>
    </tableStyle>
    <tableStyle name="Seguimiento Fechas Instalacione-style 6" pivot="0" count="2" xr9:uid="{A72F3027-BF1E-44C4-ABF0-4EFD97088091}">
      <tableStyleElement type="firstRowStripe" dxfId="3"/>
      <tableStyleElement type="secondRowStripe" dxfId="2"/>
    </tableStyle>
    <tableStyle name="Seguimiento Fechas Instalacione-style 7" pivot="0" count="2" xr9:uid="{A1E7BF1B-1CB2-4814-8887-7E58838FC7A7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161779</xdr:colOff>
      <xdr:row>0</xdr:row>
      <xdr:rowOff>0</xdr:rowOff>
    </xdr:from>
    <xdr:to>
      <xdr:col>15</xdr:col>
      <xdr:colOff>745375</xdr:colOff>
      <xdr:row>9</xdr:row>
      <xdr:rowOff>95400</xdr:rowOff>
    </xdr:to>
    <xdr:pic>
      <xdr:nvPicPr>
        <xdr:cNvPr id="2" name="Imagen 1" descr="Interfaz de usuario gráfica, Tabla&#10;&#10;Descripción generada automáticamente">
          <a:extLst>
            <a:ext uri="{FF2B5EF4-FFF2-40B4-BE49-F238E27FC236}">
              <a16:creationId xmlns:a16="http://schemas.microsoft.com/office/drawing/2014/main" id="{D3A35635-8D6F-5DA9-2354-7C67D1F63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9625" y="0"/>
          <a:ext cx="7697745" cy="1743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626"/>
  <sheetViews>
    <sheetView topLeftCell="J1" zoomScale="85" zoomScaleNormal="85" workbookViewId="0">
      <selection activeCell="U1" sqref="U1:U1048576"/>
    </sheetView>
  </sheetViews>
  <sheetFormatPr baseColWidth="10" defaultColWidth="14.44140625" defaultRowHeight="14.4" x14ac:dyDescent="0.3"/>
  <cols>
    <col min="1" max="5" width="10.6640625" customWidth="1"/>
    <col min="6" max="6" width="10.6640625" style="21" customWidth="1"/>
    <col min="7" max="7" width="10.6640625" customWidth="1"/>
    <col min="8" max="8" width="42.6640625" bestFit="1" customWidth="1"/>
    <col min="9" max="12" width="10.6640625" customWidth="1"/>
    <col min="14" max="14" width="10.6640625" customWidth="1"/>
    <col min="16" max="16" width="47.109375" style="21" customWidth="1"/>
    <col min="17" max="17" width="62.6640625" style="9" customWidth="1"/>
    <col min="20" max="20" width="14.44140625" style="21"/>
  </cols>
  <sheetData>
    <row r="1" spans="1:21" ht="63" thickBot="1" x14ac:dyDescent="0.35">
      <c r="A1" s="4" t="s">
        <v>0</v>
      </c>
      <c r="B1" s="5" t="s">
        <v>1</v>
      </c>
      <c r="C1" s="7" t="s">
        <v>2</v>
      </c>
      <c r="D1" s="6" t="s">
        <v>3</v>
      </c>
      <c r="E1" s="6" t="s">
        <v>4</v>
      </c>
      <c r="F1" s="19" t="s">
        <v>6</v>
      </c>
      <c r="G1" s="8" t="s">
        <v>5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3183</v>
      </c>
      <c r="N1" s="8" t="s">
        <v>12</v>
      </c>
      <c r="O1" s="8" t="s">
        <v>2053</v>
      </c>
      <c r="P1" s="26" t="s">
        <v>2315</v>
      </c>
      <c r="Q1" s="26" t="s">
        <v>2321</v>
      </c>
      <c r="R1" s="26" t="s">
        <v>2316</v>
      </c>
      <c r="S1" s="26" t="s">
        <v>2342</v>
      </c>
      <c r="T1" s="26" t="s">
        <v>2325</v>
      </c>
      <c r="U1" s="26" t="s">
        <v>2326</v>
      </c>
    </row>
    <row r="2" spans="1:21" ht="32.4" hidden="1" thickBot="1" x14ac:dyDescent="0.6">
      <c r="A2" s="10" t="s">
        <v>13</v>
      </c>
      <c r="B2" s="10" t="s">
        <v>16</v>
      </c>
      <c r="C2" s="12">
        <v>44791</v>
      </c>
      <c r="D2" s="10" t="s">
        <v>14</v>
      </c>
      <c r="E2" s="10" t="s">
        <v>14</v>
      </c>
      <c r="F2" s="10">
        <v>1435</v>
      </c>
      <c r="G2" s="10" t="s">
        <v>15</v>
      </c>
      <c r="H2" s="10" t="s">
        <v>17</v>
      </c>
      <c r="I2" s="10" t="s">
        <v>18</v>
      </c>
      <c r="J2" s="10" t="s">
        <v>19</v>
      </c>
      <c r="K2" s="10" t="s">
        <v>19</v>
      </c>
      <c r="L2" s="10" t="s">
        <v>19</v>
      </c>
      <c r="M2" s="12"/>
      <c r="N2" s="10" t="s">
        <v>20</v>
      </c>
      <c r="O2" s="10" t="s">
        <v>2054</v>
      </c>
      <c r="P2" s="25" t="str">
        <f>IFERROR(
IF(OR(O2="anulado",O2="stand by"),CONCATENATE(O2,": ",H2),
IF(OR(YEAR(M2)=2022,YEAR(M2)=2023),CONCATENATE("Se activó en ",YEAR(M2)),
IF(AND(OR(O2="En proceso",O2="facturando"),AND(J2="-",M2="")),"Por revisar",
IF(M2="",IF(J2="NUEVAS",CONCATENATE("Estado: ",O2,", ",J2),
IF(L2=Meses!$A$3,"Por revisar",
IF(H2="","Sin registro","En programación Frcst."))),"En programación")))),
"Error")</f>
        <v>Por revisar</v>
      </c>
      <c r="Q2" s="9" t="str">
        <f t="shared" ref="Q2:Q65" si="0">IF(P2="Por revisar",CONCATENATE("programación de act. ",N2,", estado: ",O2,", Comercializador: ",D2,", Etapa: ",H2),"")</f>
        <v>programación de act. NO, estado: Facturando, Comercializador: ENEL, Etapa: Instalado y Activado</v>
      </c>
      <c r="R2" s="25" t="str">
        <f>IF(P2="En programación Frcst.",VLOOKUP(L2,Meses!$A$1:$H$14,3+HLOOKUP(Cronograma!J2,Meses!$D$1:$G$2,2,FALSE),FALSE),
IF(P2="En programación",M2,""))</f>
        <v/>
      </c>
      <c r="S2" s="25" t="str">
        <f>IFERROR(CONCATENATE(YEAR(R2),"/",MONTH(R2)),"")</f>
        <v/>
      </c>
      <c r="T2" s="21" t="str">
        <f>IFERROR(
(VLOOKUP(MONTH(R2),Meses!$B$3:$C$14,2,FALSE)-DAY(R2))/VLOOKUP(MONTH(R2),Meses!$B$3:$C$14,2,FALSE)*U2,
"")</f>
        <v/>
      </c>
      <c r="U2" s="22">
        <f t="shared" ref="U2:U65" si="1">F2</f>
        <v>1435</v>
      </c>
    </row>
    <row r="3" spans="1:21" ht="32.4" hidden="1" thickBot="1" x14ac:dyDescent="0.6">
      <c r="A3" s="10" t="s">
        <v>13</v>
      </c>
      <c r="B3" s="10" t="s">
        <v>21</v>
      </c>
      <c r="C3" s="12">
        <v>44791</v>
      </c>
      <c r="D3" s="10" t="s">
        <v>14</v>
      </c>
      <c r="E3" s="10" t="s">
        <v>14</v>
      </c>
      <c r="F3" s="10">
        <v>675</v>
      </c>
      <c r="G3" s="10" t="s">
        <v>15</v>
      </c>
      <c r="H3" s="10" t="s">
        <v>17</v>
      </c>
      <c r="I3" s="10" t="s">
        <v>18</v>
      </c>
      <c r="J3" s="10" t="s">
        <v>19</v>
      </c>
      <c r="K3" s="10" t="s">
        <v>19</v>
      </c>
      <c r="L3" s="10" t="s">
        <v>19</v>
      </c>
      <c r="M3" s="12"/>
      <c r="N3" s="10" t="s">
        <v>20</v>
      </c>
      <c r="O3" s="10" t="s">
        <v>2054</v>
      </c>
      <c r="P3" s="25" t="str">
        <f>IFERROR(
IF(OR(O3="anulado",O3="stand by"),CONCATENATE(O3,": ",H3),
IF(OR(YEAR(M3)=2022,YEAR(M3)=2023),CONCATENATE("Se activó en ",YEAR(M3)),
IF(AND(OR(O3="En proceso",O3="facturando"),AND(J3="-",M3="")),"Por revisar",
IF(M3="",IF(J3="NUEVAS",CONCATENATE("Estado: ",O3,", ",J3),
IF(L3=Meses!$A$3,"Por revisar",
IF(H3="","Sin registro","En programación Frcst."))),"En programación")))),
"Error")</f>
        <v>Por revisar</v>
      </c>
      <c r="Q3" s="9" t="str">
        <f t="shared" si="0"/>
        <v>programación de act. NO, estado: Facturando, Comercializador: ENEL, Etapa: Instalado y Activado</v>
      </c>
      <c r="R3" s="25" t="str">
        <f>IF(P3="En programación Frcst.",VLOOKUP(L3,Meses!$A$1:$H$14,3+HLOOKUP(Cronograma!J3,Meses!$D$1:$G$2,2,FALSE),FALSE),
IF(P3="En programación",M3,""))</f>
        <v/>
      </c>
      <c r="S3" s="25" t="str">
        <f t="shared" ref="S3:S66" si="2">IFERROR(CONCATENATE(YEAR(R3),"/",MONTH(R3)),"")</f>
        <v/>
      </c>
      <c r="T3" s="21" t="str">
        <f>IFERROR(
(VLOOKUP(MONTH(R3),Meses!$B$3:$C$14,2,FALSE)-DAY(R3))/VLOOKUP(MONTH(R3),Meses!$B$3:$C$14,2,FALSE)*U3,
"")</f>
        <v/>
      </c>
      <c r="U3" s="22">
        <f t="shared" si="1"/>
        <v>675</v>
      </c>
    </row>
    <row r="4" spans="1:21" ht="32.4" hidden="1" thickBot="1" x14ac:dyDescent="0.6">
      <c r="A4" s="10" t="s">
        <v>22</v>
      </c>
      <c r="B4" s="10" t="s">
        <v>24</v>
      </c>
      <c r="C4" s="12">
        <v>44805</v>
      </c>
      <c r="D4" s="10" t="s">
        <v>23</v>
      </c>
      <c r="E4" s="10" t="s">
        <v>23</v>
      </c>
      <c r="F4" s="10">
        <v>5160</v>
      </c>
      <c r="G4" s="10" t="s">
        <v>15</v>
      </c>
      <c r="H4" s="10" t="s">
        <v>17</v>
      </c>
      <c r="I4" s="10" t="s">
        <v>43</v>
      </c>
      <c r="J4" s="10" t="s">
        <v>19</v>
      </c>
      <c r="K4" s="10" t="s">
        <v>19</v>
      </c>
      <c r="L4" s="10" t="s">
        <v>19</v>
      </c>
      <c r="M4" s="12"/>
      <c r="N4" s="10" t="s">
        <v>20</v>
      </c>
      <c r="O4" s="10" t="s">
        <v>2054</v>
      </c>
      <c r="P4" s="25" t="str">
        <f>IFERROR(
IF(OR(O4="anulado",O4="stand by"),CONCATENATE(O4,": ",H4),
IF(OR(YEAR(M4)=2022,YEAR(M4)=2023),CONCATENATE("Se activó en ",YEAR(M4)),
IF(AND(OR(O4="En proceso",O4="facturando"),AND(J4="-",M4="")),"Por revisar",
IF(M4="",IF(J4="NUEVAS",CONCATENATE("Estado: ",O4,", ",J4),
IF(L4=Meses!$A$3,"Por revisar",
IF(H4="","Sin registro","En programación Frcst."))),"En programación")))),
"Error")</f>
        <v>Por revisar</v>
      </c>
      <c r="Q4" s="9" t="str">
        <f t="shared" si="0"/>
        <v>programación de act. NO, estado: Facturando, Comercializador: EMCALI, Etapa: Instalado y Activado</v>
      </c>
      <c r="R4" s="25" t="str">
        <f>IF(P4="En programación Frcst.",VLOOKUP(L4,Meses!$A$1:$H$14,3+HLOOKUP(Cronograma!J4,Meses!$D$1:$G$2,2,FALSE),FALSE),
IF(P4="En programación",M4,""))</f>
        <v/>
      </c>
      <c r="S4" s="25" t="str">
        <f t="shared" si="2"/>
        <v/>
      </c>
      <c r="T4" s="21" t="str">
        <f>IFERROR(
(VLOOKUP(MONTH(R4),Meses!$B$3:$C$14,2,FALSE)-DAY(R4))/VLOOKUP(MONTH(R4),Meses!$B$3:$C$14,2,FALSE)*U4,
"")</f>
        <v/>
      </c>
      <c r="U4" s="22">
        <f t="shared" si="1"/>
        <v>5160</v>
      </c>
    </row>
    <row r="5" spans="1:21" ht="32.4" hidden="1" thickBot="1" x14ac:dyDescent="0.6">
      <c r="A5" s="10" t="s">
        <v>25</v>
      </c>
      <c r="B5" s="10" t="s">
        <v>34</v>
      </c>
      <c r="C5" s="12">
        <v>44819</v>
      </c>
      <c r="D5" s="10" t="s">
        <v>14</v>
      </c>
      <c r="E5" s="10" t="s">
        <v>14</v>
      </c>
      <c r="F5" s="10">
        <v>1862</v>
      </c>
      <c r="G5" s="10" t="s">
        <v>15</v>
      </c>
      <c r="H5" s="10" t="s">
        <v>17</v>
      </c>
      <c r="I5" s="10" t="s">
        <v>18</v>
      </c>
      <c r="J5" s="10" t="s">
        <v>19</v>
      </c>
      <c r="K5" s="10" t="s">
        <v>19</v>
      </c>
      <c r="L5" s="10" t="s">
        <v>19</v>
      </c>
      <c r="M5" s="12"/>
      <c r="N5" s="10" t="s">
        <v>20</v>
      </c>
      <c r="O5" s="10" t="s">
        <v>2054</v>
      </c>
      <c r="P5" s="25" t="str">
        <f>IFERROR(
IF(OR(O5="anulado",O5="stand by"),CONCATENATE(O5,": ",H5),
IF(OR(YEAR(M5)=2022,YEAR(M5)=2023),CONCATENATE("Se activó en ",YEAR(M5)),
IF(AND(OR(O5="En proceso",O5="facturando"),AND(J5="-",M5="")),"Por revisar",
IF(M5="",IF(J5="NUEVAS",CONCATENATE("Estado: ",O5,", ",J5),
IF(L5=Meses!$A$3,"Por revisar",
IF(H5="","Sin registro","En programación Frcst."))),"En programación")))),
"Error")</f>
        <v>Por revisar</v>
      </c>
      <c r="Q5" s="9" t="str">
        <f t="shared" si="0"/>
        <v>programación de act. NO, estado: Facturando, Comercializador: ENEL, Etapa: Instalado y Activado</v>
      </c>
      <c r="R5" s="25" t="str">
        <f>IF(P5="En programación Frcst.",VLOOKUP(L5,Meses!$A$1:$H$14,3+HLOOKUP(Cronograma!J5,Meses!$D$1:$G$2,2,FALSE),FALSE),
IF(P5="En programación",M5,""))</f>
        <v/>
      </c>
      <c r="S5" s="25" t="str">
        <f t="shared" si="2"/>
        <v/>
      </c>
      <c r="T5" s="21" t="str">
        <f>IFERROR(
(VLOOKUP(MONTH(R5),Meses!$B$3:$C$14,2,FALSE)-DAY(R5))/VLOOKUP(MONTH(R5),Meses!$B$3:$C$14,2,FALSE)*U5,
"")</f>
        <v/>
      </c>
      <c r="U5" s="22">
        <f t="shared" si="1"/>
        <v>1862</v>
      </c>
    </row>
    <row r="6" spans="1:21" ht="32.4" hidden="1" thickBot="1" x14ac:dyDescent="0.6">
      <c r="A6" s="10" t="s">
        <v>25</v>
      </c>
      <c r="B6" s="10" t="s">
        <v>27</v>
      </c>
      <c r="C6" s="12">
        <v>44819</v>
      </c>
      <c r="D6" s="10" t="s">
        <v>14</v>
      </c>
      <c r="E6" s="10" t="s">
        <v>14</v>
      </c>
      <c r="F6" s="10">
        <v>7307</v>
      </c>
      <c r="G6" s="10" t="s">
        <v>15</v>
      </c>
      <c r="H6" s="10" t="s">
        <v>17</v>
      </c>
      <c r="I6" s="10" t="s">
        <v>18</v>
      </c>
      <c r="J6" s="10" t="s">
        <v>19</v>
      </c>
      <c r="K6" s="10" t="s">
        <v>19</v>
      </c>
      <c r="L6" s="10" t="s">
        <v>19</v>
      </c>
      <c r="M6" s="12"/>
      <c r="N6" s="10" t="s">
        <v>20</v>
      </c>
      <c r="O6" s="10" t="s">
        <v>2054</v>
      </c>
      <c r="P6" s="25" t="str">
        <f>IFERROR(
IF(OR(O6="anulado",O6="stand by"),CONCATENATE(O6,": ",H6),
IF(OR(YEAR(M6)=2022,YEAR(M6)=2023),CONCATENATE("Se activó en ",YEAR(M6)),
IF(AND(OR(O6="En proceso",O6="facturando"),AND(J6="-",M6="")),"Por revisar",
IF(M6="",IF(J6="NUEVAS",CONCATENATE("Estado: ",O6,", ",J6),
IF(L6=Meses!$A$3,"Por revisar",
IF(H6="","Sin registro","En programación Frcst."))),"En programación")))),
"Error")</f>
        <v>Por revisar</v>
      </c>
      <c r="Q6" s="9" t="str">
        <f t="shared" si="0"/>
        <v>programación de act. NO, estado: Facturando, Comercializador: ENEL, Etapa: Instalado y Activado</v>
      </c>
      <c r="R6" s="25" t="str">
        <f>IF(P6="En programación Frcst.",VLOOKUP(L6,Meses!$A$1:$H$14,3+HLOOKUP(Cronograma!J6,Meses!$D$1:$G$2,2,FALSE),FALSE),
IF(P6="En programación",M6,""))</f>
        <v/>
      </c>
      <c r="S6" s="25" t="str">
        <f t="shared" si="2"/>
        <v/>
      </c>
      <c r="T6" s="21" t="str">
        <f>IFERROR(
(VLOOKUP(MONTH(R6),Meses!$B$3:$C$14,2,FALSE)-DAY(R6))/VLOOKUP(MONTH(R6),Meses!$B$3:$C$14,2,FALSE)*U6,
"")</f>
        <v/>
      </c>
      <c r="U6" s="22">
        <f t="shared" si="1"/>
        <v>7307</v>
      </c>
    </row>
    <row r="7" spans="1:21" ht="32.4" hidden="1" thickBot="1" x14ac:dyDescent="0.6">
      <c r="A7" s="10" t="s">
        <v>25</v>
      </c>
      <c r="B7" s="10" t="s">
        <v>28</v>
      </c>
      <c r="C7" s="12">
        <v>44847</v>
      </c>
      <c r="D7" s="10" t="s">
        <v>14</v>
      </c>
      <c r="E7" s="10" t="s">
        <v>14</v>
      </c>
      <c r="F7" s="10">
        <v>4721</v>
      </c>
      <c r="G7" s="10" t="s">
        <v>15</v>
      </c>
      <c r="H7" s="10" t="s">
        <v>17</v>
      </c>
      <c r="I7" s="10" t="s">
        <v>18</v>
      </c>
      <c r="J7" s="10" t="s">
        <v>19</v>
      </c>
      <c r="K7" s="10" t="s">
        <v>19</v>
      </c>
      <c r="L7" s="10" t="s">
        <v>19</v>
      </c>
      <c r="M7" s="12"/>
      <c r="N7" s="10" t="s">
        <v>20</v>
      </c>
      <c r="O7" s="10" t="s">
        <v>2054</v>
      </c>
      <c r="P7" s="25" t="str">
        <f>IFERROR(
IF(OR(O7="anulado",O7="stand by"),CONCATENATE(O7,": ",H7),
IF(OR(YEAR(M7)=2022,YEAR(M7)=2023),CONCATENATE("Se activó en ",YEAR(M7)),
IF(AND(OR(O7="En proceso",O7="facturando"),AND(J7="-",M7="")),"Por revisar",
IF(M7="",IF(J7="NUEVAS",CONCATENATE("Estado: ",O7,", ",J7),
IF(L7=Meses!$A$3,"Por revisar",
IF(H7="","Sin registro","En programación Frcst."))),"En programación")))),
"Error")</f>
        <v>Por revisar</v>
      </c>
      <c r="Q7" s="9" t="str">
        <f t="shared" si="0"/>
        <v>programación de act. NO, estado: Facturando, Comercializador: ENEL, Etapa: Instalado y Activado</v>
      </c>
      <c r="R7" s="25" t="str">
        <f>IF(P7="En programación Frcst.",VLOOKUP(L7,Meses!$A$1:$H$14,3+HLOOKUP(Cronograma!J7,Meses!$D$1:$G$2,2,FALSE),FALSE),
IF(P7="En programación",M7,""))</f>
        <v/>
      </c>
      <c r="S7" s="25" t="str">
        <f t="shared" si="2"/>
        <v/>
      </c>
      <c r="T7" s="21" t="str">
        <f>IFERROR(
(VLOOKUP(MONTH(R7),Meses!$B$3:$C$14,2,FALSE)-DAY(R7))/VLOOKUP(MONTH(R7),Meses!$B$3:$C$14,2,FALSE)*U7,
"")</f>
        <v/>
      </c>
      <c r="U7" s="22">
        <f t="shared" si="1"/>
        <v>4721</v>
      </c>
    </row>
    <row r="8" spans="1:21" ht="32.4" hidden="1" thickBot="1" x14ac:dyDescent="0.6">
      <c r="A8" s="10" t="s">
        <v>25</v>
      </c>
      <c r="B8" s="10" t="s">
        <v>29</v>
      </c>
      <c r="C8" s="12">
        <v>44847</v>
      </c>
      <c r="D8" s="10" t="s">
        <v>14</v>
      </c>
      <c r="E8" s="10" t="s">
        <v>14</v>
      </c>
      <c r="F8" s="10">
        <v>3369</v>
      </c>
      <c r="G8" s="10" t="s">
        <v>15</v>
      </c>
      <c r="H8" s="10" t="s">
        <v>17</v>
      </c>
      <c r="I8" s="10" t="s">
        <v>18</v>
      </c>
      <c r="J8" s="10" t="s">
        <v>19</v>
      </c>
      <c r="K8" s="10" t="s">
        <v>19</v>
      </c>
      <c r="L8" s="10" t="s">
        <v>19</v>
      </c>
      <c r="M8" s="12"/>
      <c r="N8" s="10" t="s">
        <v>20</v>
      </c>
      <c r="O8" s="10" t="s">
        <v>2054</v>
      </c>
      <c r="P8" s="25" t="str">
        <f>IFERROR(
IF(OR(O8="anulado",O8="stand by"),CONCATENATE(O8,": ",H8),
IF(OR(YEAR(M8)=2022,YEAR(M8)=2023),CONCATENATE("Se activó en ",YEAR(M8)),
IF(AND(OR(O8="En proceso",O8="facturando"),AND(J8="-",M8="")),"Por revisar",
IF(M8="",IF(J8="NUEVAS",CONCATENATE("Estado: ",O8,", ",J8),
IF(L8=Meses!$A$3,"Por revisar",
IF(H8="","Sin registro","En programación Frcst."))),"En programación")))),
"Error")</f>
        <v>Por revisar</v>
      </c>
      <c r="Q8" s="9" t="str">
        <f t="shared" si="0"/>
        <v>programación de act. NO, estado: Facturando, Comercializador: ENEL, Etapa: Instalado y Activado</v>
      </c>
      <c r="R8" s="25" t="str">
        <f>IF(P8="En programación Frcst.",VLOOKUP(L8,Meses!$A$1:$H$14,3+HLOOKUP(Cronograma!J8,Meses!$D$1:$G$2,2,FALSE),FALSE),
IF(P8="En programación",M8,""))</f>
        <v/>
      </c>
      <c r="S8" s="25" t="str">
        <f t="shared" si="2"/>
        <v/>
      </c>
      <c r="T8" s="21" t="str">
        <f>IFERROR(
(VLOOKUP(MONTH(R8),Meses!$B$3:$C$14,2,FALSE)-DAY(R8))/VLOOKUP(MONTH(R8),Meses!$B$3:$C$14,2,FALSE)*U8,
"")</f>
        <v/>
      </c>
      <c r="U8" s="22">
        <f t="shared" si="1"/>
        <v>3369</v>
      </c>
    </row>
    <row r="9" spans="1:21" ht="32.4" hidden="1" thickBot="1" x14ac:dyDescent="0.6">
      <c r="A9" s="10" t="s">
        <v>25</v>
      </c>
      <c r="B9" s="10" t="s">
        <v>30</v>
      </c>
      <c r="C9" s="12">
        <v>44847</v>
      </c>
      <c r="D9" s="10" t="s">
        <v>14</v>
      </c>
      <c r="E9" s="10" t="s">
        <v>14</v>
      </c>
      <c r="F9" s="10">
        <v>16266</v>
      </c>
      <c r="G9" s="10" t="s">
        <v>15</v>
      </c>
      <c r="H9" s="10" t="s">
        <v>17</v>
      </c>
      <c r="I9" s="10" t="s">
        <v>18</v>
      </c>
      <c r="J9" s="10" t="s">
        <v>19</v>
      </c>
      <c r="K9" s="10" t="s">
        <v>19</v>
      </c>
      <c r="L9" s="10" t="s">
        <v>19</v>
      </c>
      <c r="M9" s="12"/>
      <c r="N9" s="10" t="s">
        <v>20</v>
      </c>
      <c r="O9" s="10" t="s">
        <v>2054</v>
      </c>
      <c r="P9" s="25" t="str">
        <f>IFERROR(
IF(OR(O9="anulado",O9="stand by"),CONCATENATE(O9,": ",H9),
IF(OR(YEAR(M9)=2022,YEAR(M9)=2023),CONCATENATE("Se activó en ",YEAR(M9)),
IF(AND(OR(O9="En proceso",O9="facturando"),AND(J9="-",M9="")),"Por revisar",
IF(M9="",IF(J9="NUEVAS",CONCATENATE("Estado: ",O9,", ",J9),
IF(L9=Meses!$A$3,"Por revisar",
IF(H9="","Sin registro","En programación Frcst."))),"En programación")))),
"Error")</f>
        <v>Por revisar</v>
      </c>
      <c r="Q9" s="9" t="str">
        <f t="shared" si="0"/>
        <v>programación de act. NO, estado: Facturando, Comercializador: ENEL, Etapa: Instalado y Activado</v>
      </c>
      <c r="R9" s="25" t="str">
        <f>IF(P9="En programación Frcst.",VLOOKUP(L9,Meses!$A$1:$H$14,3+HLOOKUP(Cronograma!J9,Meses!$D$1:$G$2,2,FALSE),FALSE),
IF(P9="En programación",M9,""))</f>
        <v/>
      </c>
      <c r="S9" s="25" t="str">
        <f t="shared" si="2"/>
        <v/>
      </c>
      <c r="T9" s="21" t="str">
        <f>IFERROR(
(VLOOKUP(MONTH(R9),Meses!$B$3:$C$14,2,FALSE)-DAY(R9))/VLOOKUP(MONTH(R9),Meses!$B$3:$C$14,2,FALSE)*U9,
"")</f>
        <v/>
      </c>
      <c r="U9" s="22">
        <f t="shared" si="1"/>
        <v>16266</v>
      </c>
    </row>
    <row r="10" spans="1:21" ht="32.4" hidden="1" thickBot="1" x14ac:dyDescent="0.6">
      <c r="A10" s="10" t="s">
        <v>25</v>
      </c>
      <c r="B10" s="10" t="s">
        <v>31</v>
      </c>
      <c r="C10" s="12">
        <v>44847</v>
      </c>
      <c r="D10" s="10" t="s">
        <v>14</v>
      </c>
      <c r="E10" s="10" t="s">
        <v>14</v>
      </c>
      <c r="F10" s="10">
        <v>2461</v>
      </c>
      <c r="G10" s="10" t="s">
        <v>15</v>
      </c>
      <c r="H10" s="10" t="s">
        <v>17</v>
      </c>
      <c r="I10" s="10" t="s">
        <v>18</v>
      </c>
      <c r="J10" s="10" t="s">
        <v>19</v>
      </c>
      <c r="K10" s="10" t="s">
        <v>19</v>
      </c>
      <c r="L10" s="10" t="s">
        <v>19</v>
      </c>
      <c r="M10" s="12"/>
      <c r="N10" s="10" t="s">
        <v>20</v>
      </c>
      <c r="O10" s="10" t="s">
        <v>2054</v>
      </c>
      <c r="P10" s="25" t="str">
        <f>IFERROR(
IF(OR(O10="anulado",O10="stand by"),CONCATENATE(O10,": ",H10),
IF(OR(YEAR(M10)=2022,YEAR(M10)=2023),CONCATENATE("Se activó en ",YEAR(M10)),
IF(AND(OR(O10="En proceso",O10="facturando"),AND(J10="-",M10="")),"Por revisar",
IF(M10="",IF(J10="NUEVAS",CONCATENATE("Estado: ",O10,", ",J10),
IF(L10=Meses!$A$3,"Por revisar",
IF(H10="","Sin registro","En programación Frcst."))),"En programación")))),
"Error")</f>
        <v>Por revisar</v>
      </c>
      <c r="Q10" s="9" t="str">
        <f t="shared" si="0"/>
        <v>programación de act. NO, estado: Facturando, Comercializador: ENEL, Etapa: Instalado y Activado</v>
      </c>
      <c r="R10" s="25" t="str">
        <f>IF(P10="En programación Frcst.",VLOOKUP(L10,Meses!$A$1:$H$14,3+HLOOKUP(Cronograma!J10,Meses!$D$1:$G$2,2,FALSE),FALSE),
IF(P10="En programación",M10,""))</f>
        <v/>
      </c>
      <c r="S10" s="25" t="str">
        <f t="shared" si="2"/>
        <v/>
      </c>
      <c r="T10" s="21" t="str">
        <f>IFERROR(
(VLOOKUP(MONTH(R10),Meses!$B$3:$C$14,2,FALSE)-DAY(R10))/VLOOKUP(MONTH(R10),Meses!$B$3:$C$14,2,FALSE)*U10,
"")</f>
        <v/>
      </c>
      <c r="U10" s="22">
        <f t="shared" si="1"/>
        <v>2461</v>
      </c>
    </row>
    <row r="11" spans="1:21" ht="32.4" hidden="1" thickBot="1" x14ac:dyDescent="0.6">
      <c r="A11" s="10" t="s">
        <v>25</v>
      </c>
      <c r="B11" s="10" t="s">
        <v>32</v>
      </c>
      <c r="C11" s="12">
        <v>44847</v>
      </c>
      <c r="D11" s="10" t="s">
        <v>14</v>
      </c>
      <c r="E11" s="10" t="s">
        <v>14</v>
      </c>
      <c r="F11" s="10">
        <v>6988</v>
      </c>
      <c r="G11" s="10" t="s">
        <v>15</v>
      </c>
      <c r="H11" s="10" t="s">
        <v>17</v>
      </c>
      <c r="I11" s="10" t="s">
        <v>18</v>
      </c>
      <c r="J11" s="10" t="s">
        <v>19</v>
      </c>
      <c r="K11" s="10" t="s">
        <v>19</v>
      </c>
      <c r="L11" s="10" t="s">
        <v>19</v>
      </c>
      <c r="M11" s="12"/>
      <c r="N11" s="10" t="s">
        <v>20</v>
      </c>
      <c r="O11" s="10" t="s">
        <v>2054</v>
      </c>
      <c r="P11" s="25" t="str">
        <f>IFERROR(
IF(OR(O11="anulado",O11="stand by"),CONCATENATE(O11,": ",H11),
IF(OR(YEAR(M11)=2022,YEAR(M11)=2023),CONCATENATE("Se activó en ",YEAR(M11)),
IF(AND(OR(O11="En proceso",O11="facturando"),AND(J11="-",M11="")),"Por revisar",
IF(M11="",IF(J11="NUEVAS",CONCATENATE("Estado: ",O11,", ",J11),
IF(L11=Meses!$A$3,"Por revisar",
IF(H11="","Sin registro","En programación Frcst."))),"En programación")))),
"Error")</f>
        <v>Por revisar</v>
      </c>
      <c r="Q11" s="9" t="str">
        <f t="shared" si="0"/>
        <v>programación de act. NO, estado: Facturando, Comercializador: ENEL, Etapa: Instalado y Activado</v>
      </c>
      <c r="R11" s="25" t="str">
        <f>IF(P11="En programación Frcst.",VLOOKUP(L11,Meses!$A$1:$H$14,3+HLOOKUP(Cronograma!J11,Meses!$D$1:$G$2,2,FALSE),FALSE),
IF(P11="En programación",M11,""))</f>
        <v/>
      </c>
      <c r="S11" s="25" t="str">
        <f t="shared" si="2"/>
        <v/>
      </c>
      <c r="T11" s="21" t="str">
        <f>IFERROR(
(VLOOKUP(MONTH(R11),Meses!$B$3:$C$14,2,FALSE)-DAY(R11))/VLOOKUP(MONTH(R11),Meses!$B$3:$C$14,2,FALSE)*U11,
"")</f>
        <v/>
      </c>
      <c r="U11" s="22">
        <f t="shared" si="1"/>
        <v>6988</v>
      </c>
    </row>
    <row r="12" spans="1:21" ht="32.4" hidden="1" thickBot="1" x14ac:dyDescent="0.6">
      <c r="A12" s="10" t="s">
        <v>25</v>
      </c>
      <c r="B12" s="10" t="s">
        <v>33</v>
      </c>
      <c r="C12" s="12">
        <v>44847</v>
      </c>
      <c r="D12" s="10" t="s">
        <v>14</v>
      </c>
      <c r="E12" s="10" t="s">
        <v>14</v>
      </c>
      <c r="F12" s="10">
        <v>3577</v>
      </c>
      <c r="G12" s="10" t="s">
        <v>15</v>
      </c>
      <c r="H12" s="10" t="s">
        <v>17</v>
      </c>
      <c r="I12" s="10" t="s">
        <v>18</v>
      </c>
      <c r="J12" s="10" t="s">
        <v>19</v>
      </c>
      <c r="K12" s="10" t="s">
        <v>19</v>
      </c>
      <c r="L12" s="10" t="s">
        <v>19</v>
      </c>
      <c r="M12" s="12"/>
      <c r="N12" s="10" t="s">
        <v>20</v>
      </c>
      <c r="O12" s="10" t="s">
        <v>2054</v>
      </c>
      <c r="P12" s="25" t="str">
        <f>IFERROR(
IF(OR(O12="anulado",O12="stand by"),CONCATENATE(O12,": ",H12),
IF(OR(YEAR(M12)=2022,YEAR(M12)=2023),CONCATENATE("Se activó en ",YEAR(M12)),
IF(AND(OR(O12="En proceso",O12="facturando"),AND(J12="-",M12="")),"Por revisar",
IF(M12="",IF(J12="NUEVAS",CONCATENATE("Estado: ",O12,", ",J12),
IF(L12=Meses!$A$3,"Por revisar",
IF(H12="","Sin registro","En programación Frcst."))),"En programación")))),
"Error")</f>
        <v>Por revisar</v>
      </c>
      <c r="Q12" s="9" t="str">
        <f t="shared" si="0"/>
        <v>programación de act. NO, estado: Facturando, Comercializador: ENEL, Etapa: Instalado y Activado</v>
      </c>
      <c r="R12" s="25" t="str">
        <f>IF(P12="En programación Frcst.",VLOOKUP(L12,Meses!$A$1:$H$14,3+HLOOKUP(Cronograma!J12,Meses!$D$1:$G$2,2,FALSE),FALSE),
IF(P12="En programación",M12,""))</f>
        <v/>
      </c>
      <c r="S12" s="25" t="str">
        <f t="shared" si="2"/>
        <v/>
      </c>
      <c r="T12" s="21" t="str">
        <f>IFERROR(
(VLOOKUP(MONTH(R12),Meses!$B$3:$C$14,2,FALSE)-DAY(R12))/VLOOKUP(MONTH(R12),Meses!$B$3:$C$14,2,FALSE)*U12,
"")</f>
        <v/>
      </c>
      <c r="U12" s="22">
        <f t="shared" si="1"/>
        <v>3577</v>
      </c>
    </row>
    <row r="13" spans="1:21" ht="32.4" hidden="1" thickBot="1" x14ac:dyDescent="0.6">
      <c r="A13" s="10" t="s">
        <v>25</v>
      </c>
      <c r="B13" s="10" t="s">
        <v>2435</v>
      </c>
      <c r="C13" s="12">
        <v>44847</v>
      </c>
      <c r="D13" s="10" t="s">
        <v>14</v>
      </c>
      <c r="E13" s="10" t="s">
        <v>14</v>
      </c>
      <c r="F13" s="10">
        <v>2657</v>
      </c>
      <c r="G13" s="10" t="s">
        <v>15</v>
      </c>
      <c r="H13" s="10" t="s">
        <v>17</v>
      </c>
      <c r="I13" s="10" t="s">
        <v>18</v>
      </c>
      <c r="J13" s="10" t="s">
        <v>19</v>
      </c>
      <c r="K13" s="10" t="s">
        <v>19</v>
      </c>
      <c r="L13" s="10" t="s">
        <v>19</v>
      </c>
      <c r="M13" s="12"/>
      <c r="N13" s="10" t="s">
        <v>20</v>
      </c>
      <c r="O13" s="10" t="s">
        <v>2054</v>
      </c>
      <c r="P13" s="25" t="str">
        <f>IFERROR(
IF(OR(O13="anulado",O13="stand by"),CONCATENATE(O13,": ",H13),
IF(OR(YEAR(M13)=2022,YEAR(M13)=2023),CONCATENATE("Se activó en ",YEAR(M13)),
IF(AND(OR(O13="En proceso",O13="facturando"),AND(J13="-",M13="")),"Por revisar",
IF(M13="",IF(J13="NUEVAS",CONCATENATE("Estado: ",O13,", ",J13),
IF(L13=Meses!$A$3,"Por revisar",
IF(H13="","Sin registro","En programación Frcst."))),"En programación")))),
"Error")</f>
        <v>Por revisar</v>
      </c>
      <c r="Q13" s="9" t="str">
        <f t="shared" si="0"/>
        <v>programación de act. NO, estado: Facturando, Comercializador: ENEL, Etapa: Instalado y Activado</v>
      </c>
      <c r="R13" s="25" t="str">
        <f>IF(P13="En programación Frcst.",VLOOKUP(L13,Meses!$A$1:$H$14,3+HLOOKUP(Cronograma!J13,Meses!$D$1:$G$2,2,FALSE),FALSE),
IF(P13="En programación",M13,""))</f>
        <v/>
      </c>
      <c r="S13" s="25" t="str">
        <f t="shared" si="2"/>
        <v/>
      </c>
      <c r="T13" s="21" t="str">
        <f>IFERROR(
(VLOOKUP(MONTH(R13),Meses!$B$3:$C$14,2,FALSE)-DAY(R13))/VLOOKUP(MONTH(R13),Meses!$B$3:$C$14,2,FALSE)*U13,
"")</f>
        <v/>
      </c>
      <c r="U13" s="22">
        <f t="shared" si="1"/>
        <v>2657</v>
      </c>
    </row>
    <row r="14" spans="1:21" ht="32.4" hidden="1" thickBot="1" x14ac:dyDescent="0.6">
      <c r="A14" s="10" t="s">
        <v>25</v>
      </c>
      <c r="B14" s="10" t="s">
        <v>35</v>
      </c>
      <c r="C14" s="12">
        <v>44847</v>
      </c>
      <c r="D14" s="10" t="s">
        <v>14</v>
      </c>
      <c r="E14" s="10" t="s">
        <v>14</v>
      </c>
      <c r="F14" s="10">
        <v>5770</v>
      </c>
      <c r="G14" s="10" t="s">
        <v>15</v>
      </c>
      <c r="H14" s="10" t="s">
        <v>17</v>
      </c>
      <c r="I14" s="10" t="s">
        <v>18</v>
      </c>
      <c r="J14" s="10" t="s">
        <v>19</v>
      </c>
      <c r="K14" s="10" t="s">
        <v>19</v>
      </c>
      <c r="L14" s="10" t="s">
        <v>19</v>
      </c>
      <c r="M14" s="12"/>
      <c r="N14" s="10" t="s">
        <v>20</v>
      </c>
      <c r="O14" s="10" t="s">
        <v>2054</v>
      </c>
      <c r="P14" s="25" t="str">
        <f>IFERROR(
IF(OR(O14="anulado",O14="stand by"),CONCATENATE(O14,": ",H14),
IF(OR(YEAR(M14)=2022,YEAR(M14)=2023),CONCATENATE("Se activó en ",YEAR(M14)),
IF(AND(OR(O14="En proceso",O14="facturando"),AND(J14="-",M14="")),"Por revisar",
IF(M14="",IF(J14="NUEVAS",CONCATENATE("Estado: ",O14,", ",J14),
IF(L14=Meses!$A$3,"Por revisar",
IF(H14="","Sin registro","En programación Frcst."))),"En programación")))),
"Error")</f>
        <v>Por revisar</v>
      </c>
      <c r="Q14" s="9" t="str">
        <f t="shared" si="0"/>
        <v>programación de act. NO, estado: Facturando, Comercializador: ENEL, Etapa: Instalado y Activado</v>
      </c>
      <c r="R14" s="25" t="str">
        <f>IF(P14="En programación Frcst.",VLOOKUP(L14,Meses!$A$1:$H$14,3+HLOOKUP(Cronograma!J14,Meses!$D$1:$G$2,2,FALSE),FALSE),
IF(P14="En programación",M14,""))</f>
        <v/>
      </c>
      <c r="S14" s="25" t="str">
        <f t="shared" si="2"/>
        <v/>
      </c>
      <c r="T14" s="21" t="str">
        <f>IFERROR(
(VLOOKUP(MONTH(R14),Meses!$B$3:$C$14,2,FALSE)-DAY(R14))/VLOOKUP(MONTH(R14),Meses!$B$3:$C$14,2,FALSE)*U14,
"")</f>
        <v/>
      </c>
      <c r="U14" s="22">
        <f t="shared" si="1"/>
        <v>5770</v>
      </c>
    </row>
    <row r="15" spans="1:21" ht="32.4" hidden="1" thickBot="1" x14ac:dyDescent="0.6">
      <c r="A15" s="10" t="s">
        <v>25</v>
      </c>
      <c r="B15" s="10" t="s">
        <v>36</v>
      </c>
      <c r="C15" s="12">
        <v>44847</v>
      </c>
      <c r="D15" s="10" t="s">
        <v>14</v>
      </c>
      <c r="E15" s="10" t="s">
        <v>14</v>
      </c>
      <c r="F15" s="10">
        <v>9648</v>
      </c>
      <c r="G15" s="10" t="s">
        <v>15</v>
      </c>
      <c r="H15" s="10" t="s">
        <v>17</v>
      </c>
      <c r="I15" s="10" t="s">
        <v>18</v>
      </c>
      <c r="J15" s="10" t="s">
        <v>19</v>
      </c>
      <c r="K15" s="10" t="s">
        <v>19</v>
      </c>
      <c r="L15" s="10" t="s">
        <v>19</v>
      </c>
      <c r="M15" s="12"/>
      <c r="N15" s="10" t="s">
        <v>20</v>
      </c>
      <c r="O15" s="10" t="s">
        <v>2054</v>
      </c>
      <c r="P15" s="25" t="str">
        <f>IFERROR(
IF(OR(O15="anulado",O15="stand by"),CONCATENATE(O15,": ",H15),
IF(OR(YEAR(M15)=2022,YEAR(M15)=2023),CONCATENATE("Se activó en ",YEAR(M15)),
IF(AND(OR(O15="En proceso",O15="facturando"),AND(J15="-",M15="")),"Por revisar",
IF(M15="",IF(J15="NUEVAS",CONCATENATE("Estado: ",O15,", ",J15),
IF(L15=Meses!$A$3,"Por revisar",
IF(H15="","Sin registro","En programación Frcst."))),"En programación")))),
"Error")</f>
        <v>Por revisar</v>
      </c>
      <c r="Q15" s="9" t="str">
        <f t="shared" si="0"/>
        <v>programación de act. NO, estado: Facturando, Comercializador: ENEL, Etapa: Instalado y Activado</v>
      </c>
      <c r="R15" s="25" t="str">
        <f>IF(P15="En programación Frcst.",VLOOKUP(L15,Meses!$A$1:$H$14,3+HLOOKUP(Cronograma!J15,Meses!$D$1:$G$2,2,FALSE),FALSE),
IF(P15="En programación",M15,""))</f>
        <v/>
      </c>
      <c r="S15" s="25" t="str">
        <f t="shared" si="2"/>
        <v/>
      </c>
      <c r="T15" s="21" t="str">
        <f>IFERROR(
(VLOOKUP(MONTH(R15),Meses!$B$3:$C$14,2,FALSE)-DAY(R15))/VLOOKUP(MONTH(R15),Meses!$B$3:$C$14,2,FALSE)*U15,
"")</f>
        <v/>
      </c>
      <c r="U15" s="22">
        <f t="shared" si="1"/>
        <v>9648</v>
      </c>
    </row>
    <row r="16" spans="1:21" ht="32.4" hidden="1" thickBot="1" x14ac:dyDescent="0.6">
      <c r="A16" s="10" t="s">
        <v>25</v>
      </c>
      <c r="B16" s="10" t="s">
        <v>37</v>
      </c>
      <c r="C16" s="12">
        <v>44847</v>
      </c>
      <c r="D16" s="10" t="s">
        <v>14</v>
      </c>
      <c r="E16" s="10" t="s">
        <v>14</v>
      </c>
      <c r="F16" s="10">
        <v>3635</v>
      </c>
      <c r="G16" s="10" t="s">
        <v>15</v>
      </c>
      <c r="H16" s="10" t="s">
        <v>17</v>
      </c>
      <c r="I16" s="10" t="s">
        <v>18</v>
      </c>
      <c r="J16" s="10" t="s">
        <v>19</v>
      </c>
      <c r="K16" s="10" t="s">
        <v>19</v>
      </c>
      <c r="L16" s="10" t="s">
        <v>19</v>
      </c>
      <c r="M16" s="12"/>
      <c r="N16" s="10" t="s">
        <v>20</v>
      </c>
      <c r="O16" s="10" t="s">
        <v>2054</v>
      </c>
      <c r="P16" s="25" t="str">
        <f>IFERROR(
IF(OR(O16="anulado",O16="stand by"),CONCATENATE(O16,": ",H16),
IF(OR(YEAR(M16)=2022,YEAR(M16)=2023),CONCATENATE("Se activó en ",YEAR(M16)),
IF(AND(OR(O16="En proceso",O16="facturando"),AND(J16="-",M16="")),"Por revisar",
IF(M16="",IF(J16="NUEVAS",CONCATENATE("Estado: ",O16,", ",J16),
IF(L16=Meses!$A$3,"Por revisar",
IF(H16="","Sin registro","En programación Frcst."))),"En programación")))),
"Error")</f>
        <v>Por revisar</v>
      </c>
      <c r="Q16" s="9" t="str">
        <f t="shared" si="0"/>
        <v>programación de act. NO, estado: Facturando, Comercializador: ENEL, Etapa: Instalado y Activado</v>
      </c>
      <c r="R16" s="25" t="str">
        <f>IF(P16="En programación Frcst.",VLOOKUP(L16,Meses!$A$1:$H$14,3+HLOOKUP(Cronograma!J16,Meses!$D$1:$G$2,2,FALSE),FALSE),
IF(P16="En programación",M16,""))</f>
        <v/>
      </c>
      <c r="S16" s="25" t="str">
        <f t="shared" si="2"/>
        <v/>
      </c>
      <c r="T16" s="21" t="str">
        <f>IFERROR(
(VLOOKUP(MONTH(R16),Meses!$B$3:$C$14,2,FALSE)-DAY(R16))/VLOOKUP(MONTH(R16),Meses!$B$3:$C$14,2,FALSE)*U16,
"")</f>
        <v/>
      </c>
      <c r="U16" s="22">
        <f t="shared" si="1"/>
        <v>3635</v>
      </c>
    </row>
    <row r="17" spans="1:21" ht="32.4" hidden="1" thickBot="1" x14ac:dyDescent="0.6">
      <c r="A17" s="10" t="s">
        <v>25</v>
      </c>
      <c r="B17" s="10" t="s">
        <v>38</v>
      </c>
      <c r="C17" s="12">
        <v>44847</v>
      </c>
      <c r="D17" s="10" t="s">
        <v>14</v>
      </c>
      <c r="E17" s="10" t="s">
        <v>14</v>
      </c>
      <c r="F17" s="10">
        <v>9094</v>
      </c>
      <c r="G17" s="10" t="s">
        <v>15</v>
      </c>
      <c r="H17" s="10" t="s">
        <v>17</v>
      </c>
      <c r="I17" s="10" t="s">
        <v>18</v>
      </c>
      <c r="J17" s="10" t="s">
        <v>19</v>
      </c>
      <c r="K17" s="10" t="s">
        <v>19</v>
      </c>
      <c r="L17" s="10" t="s">
        <v>19</v>
      </c>
      <c r="M17" s="12"/>
      <c r="N17" s="10" t="s">
        <v>20</v>
      </c>
      <c r="O17" s="10" t="s">
        <v>2054</v>
      </c>
      <c r="P17" s="25" t="str">
        <f>IFERROR(
IF(OR(O17="anulado",O17="stand by"),CONCATENATE(O17,": ",H17),
IF(OR(YEAR(M17)=2022,YEAR(M17)=2023),CONCATENATE("Se activó en ",YEAR(M17)),
IF(AND(OR(O17="En proceso",O17="facturando"),AND(J17="-",M17="")),"Por revisar",
IF(M17="",IF(J17="NUEVAS",CONCATENATE("Estado: ",O17,", ",J17),
IF(L17=Meses!$A$3,"Por revisar",
IF(H17="","Sin registro","En programación Frcst."))),"En programación")))),
"Error")</f>
        <v>Por revisar</v>
      </c>
      <c r="Q17" s="9" t="str">
        <f t="shared" si="0"/>
        <v>programación de act. NO, estado: Facturando, Comercializador: ENEL, Etapa: Instalado y Activado</v>
      </c>
      <c r="R17" s="25" t="str">
        <f>IF(P17="En programación Frcst.",VLOOKUP(L17,Meses!$A$1:$H$14,3+HLOOKUP(Cronograma!J17,Meses!$D$1:$G$2,2,FALSE),FALSE),
IF(P17="En programación",M17,""))</f>
        <v/>
      </c>
      <c r="S17" s="25" t="str">
        <f t="shared" si="2"/>
        <v/>
      </c>
      <c r="T17" s="21" t="str">
        <f>IFERROR(
(VLOOKUP(MONTH(R17),Meses!$B$3:$C$14,2,FALSE)-DAY(R17))/VLOOKUP(MONTH(R17),Meses!$B$3:$C$14,2,FALSE)*U17,
"")</f>
        <v/>
      </c>
      <c r="U17" s="22">
        <f t="shared" si="1"/>
        <v>9094</v>
      </c>
    </row>
    <row r="18" spans="1:21" ht="32.4" hidden="1" thickBot="1" x14ac:dyDescent="0.6">
      <c r="A18" s="10" t="s">
        <v>25</v>
      </c>
      <c r="B18" s="10" t="s">
        <v>26</v>
      </c>
      <c r="C18" s="12">
        <v>44847</v>
      </c>
      <c r="D18" s="10" t="s">
        <v>14</v>
      </c>
      <c r="E18" s="10" t="s">
        <v>14</v>
      </c>
      <c r="F18" s="10">
        <v>5188</v>
      </c>
      <c r="G18" s="10" t="s">
        <v>15</v>
      </c>
      <c r="H18" s="10" t="s">
        <v>17</v>
      </c>
      <c r="I18" s="10" t="s">
        <v>18</v>
      </c>
      <c r="J18" s="10" t="s">
        <v>19</v>
      </c>
      <c r="K18" s="10" t="s">
        <v>19</v>
      </c>
      <c r="L18" s="10" t="s">
        <v>19</v>
      </c>
      <c r="M18" s="12"/>
      <c r="N18" s="10" t="s">
        <v>20</v>
      </c>
      <c r="O18" s="10" t="s">
        <v>2054</v>
      </c>
      <c r="P18" s="25" t="str">
        <f>IFERROR(
IF(OR(O18="anulado",O18="stand by"),CONCATENATE(O18,": ",H18),
IF(OR(YEAR(M18)=2022,YEAR(M18)=2023),CONCATENATE("Se activó en ",YEAR(M18)),
IF(AND(OR(O18="En proceso",O18="facturando"),AND(J18="-",M18="")),"Por revisar",
IF(M18="",IF(J18="NUEVAS",CONCATENATE("Estado: ",O18,", ",J18),
IF(L18=Meses!$A$3,"Por revisar",
IF(H18="","Sin registro","En programación Frcst."))),"En programación")))),
"Error")</f>
        <v>Por revisar</v>
      </c>
      <c r="Q18" s="9" t="str">
        <f t="shared" si="0"/>
        <v>programación de act. NO, estado: Facturando, Comercializador: ENEL, Etapa: Instalado y Activado</v>
      </c>
      <c r="R18" s="25" t="str">
        <f>IF(P18="En programación Frcst.",VLOOKUP(L18,Meses!$A$1:$H$14,3+HLOOKUP(Cronograma!J18,Meses!$D$1:$G$2,2,FALSE),FALSE),
IF(P18="En programación",M18,""))</f>
        <v/>
      </c>
      <c r="S18" s="25" t="str">
        <f t="shared" si="2"/>
        <v/>
      </c>
      <c r="T18" s="21" t="str">
        <f>IFERROR(
(VLOOKUP(MONTH(R18),Meses!$B$3:$C$14,2,FALSE)-DAY(R18))/VLOOKUP(MONTH(R18),Meses!$B$3:$C$14,2,FALSE)*U18,
"")</f>
        <v/>
      </c>
      <c r="U18" s="22">
        <f t="shared" si="1"/>
        <v>5188</v>
      </c>
    </row>
    <row r="19" spans="1:21" ht="32.4" hidden="1" thickBot="1" x14ac:dyDescent="0.6">
      <c r="A19" s="10" t="s">
        <v>25</v>
      </c>
      <c r="B19" s="10" t="s">
        <v>39</v>
      </c>
      <c r="C19" s="12">
        <v>44847</v>
      </c>
      <c r="D19" s="10" t="s">
        <v>14</v>
      </c>
      <c r="E19" s="10" t="s">
        <v>14</v>
      </c>
      <c r="F19" s="10">
        <v>5854</v>
      </c>
      <c r="G19" s="10" t="s">
        <v>15</v>
      </c>
      <c r="H19" s="10" t="s">
        <v>17</v>
      </c>
      <c r="I19" s="10" t="s">
        <v>18</v>
      </c>
      <c r="J19" s="10" t="s">
        <v>19</v>
      </c>
      <c r="K19" s="10" t="s">
        <v>19</v>
      </c>
      <c r="L19" s="10" t="s">
        <v>19</v>
      </c>
      <c r="M19" s="12"/>
      <c r="N19" s="10" t="s">
        <v>20</v>
      </c>
      <c r="O19" s="10" t="s">
        <v>2054</v>
      </c>
      <c r="P19" s="25" t="str">
        <f>IFERROR(
IF(OR(O19="anulado",O19="stand by"),CONCATENATE(O19,": ",H19),
IF(OR(YEAR(M19)=2022,YEAR(M19)=2023),CONCATENATE("Se activó en ",YEAR(M19)),
IF(AND(OR(O19="En proceso",O19="facturando"),AND(J19="-",M19="")),"Por revisar",
IF(M19="",IF(J19="NUEVAS",CONCATENATE("Estado: ",O19,", ",J19),
IF(L19=Meses!$A$3,"Por revisar",
IF(H19="","Sin registro","En programación Frcst."))),"En programación")))),
"Error")</f>
        <v>Por revisar</v>
      </c>
      <c r="Q19" s="9" t="str">
        <f t="shared" si="0"/>
        <v>programación de act. NO, estado: Facturando, Comercializador: ENEL, Etapa: Instalado y Activado</v>
      </c>
      <c r="R19" s="25" t="str">
        <f>IF(P19="En programación Frcst.",VLOOKUP(L19,Meses!$A$1:$H$14,3+HLOOKUP(Cronograma!J19,Meses!$D$1:$G$2,2,FALSE),FALSE),
IF(P19="En programación",M19,""))</f>
        <v/>
      </c>
      <c r="S19" s="25" t="str">
        <f t="shared" si="2"/>
        <v/>
      </c>
      <c r="T19" s="21" t="str">
        <f>IFERROR(
(VLOOKUP(MONTH(R19),Meses!$B$3:$C$14,2,FALSE)-DAY(R19))/VLOOKUP(MONTH(R19),Meses!$B$3:$C$14,2,FALSE)*U19,
"")</f>
        <v/>
      </c>
      <c r="U19" s="22">
        <f t="shared" si="1"/>
        <v>5854</v>
      </c>
    </row>
    <row r="20" spans="1:21" ht="32.4" hidden="1" thickBot="1" x14ac:dyDescent="0.6">
      <c r="A20" s="10" t="s">
        <v>25</v>
      </c>
      <c r="B20" s="10" t="s">
        <v>40</v>
      </c>
      <c r="C20" s="12">
        <v>44861</v>
      </c>
      <c r="D20" s="10" t="s">
        <v>14</v>
      </c>
      <c r="E20" s="10" t="s">
        <v>14</v>
      </c>
      <c r="F20" s="10">
        <v>7858</v>
      </c>
      <c r="G20" s="10" t="s">
        <v>15</v>
      </c>
      <c r="H20" s="10" t="s">
        <v>17</v>
      </c>
      <c r="I20" s="10" t="s">
        <v>18</v>
      </c>
      <c r="J20" s="10" t="s">
        <v>19</v>
      </c>
      <c r="K20" s="10" t="s">
        <v>19</v>
      </c>
      <c r="L20" s="10" t="s">
        <v>19</v>
      </c>
      <c r="M20" s="12"/>
      <c r="N20" s="10" t="s">
        <v>20</v>
      </c>
      <c r="O20" s="10" t="s">
        <v>2054</v>
      </c>
      <c r="P20" s="25" t="str">
        <f>IFERROR(
IF(OR(O20="anulado",O20="stand by"),CONCATENATE(O20,": ",H20),
IF(OR(YEAR(M20)=2022,YEAR(M20)=2023),CONCATENATE("Se activó en ",YEAR(M20)),
IF(AND(OR(O20="En proceso",O20="facturando"),AND(J20="-",M20="")),"Por revisar",
IF(M20="",IF(J20="NUEVAS",CONCATENATE("Estado: ",O20,", ",J20),
IF(L20=Meses!$A$3,"Por revisar",
IF(H20="","Sin registro","En programación Frcst."))),"En programación")))),
"Error")</f>
        <v>Por revisar</v>
      </c>
      <c r="Q20" s="9" t="str">
        <f t="shared" si="0"/>
        <v>programación de act. NO, estado: Facturando, Comercializador: ENEL, Etapa: Instalado y Activado</v>
      </c>
      <c r="R20" s="25" t="str">
        <f>IF(P20="En programación Frcst.",VLOOKUP(L20,Meses!$A$1:$H$14,3+HLOOKUP(Cronograma!J20,Meses!$D$1:$G$2,2,FALSE),FALSE),
IF(P20="En programación",M20,""))</f>
        <v/>
      </c>
      <c r="S20" s="25" t="str">
        <f t="shared" si="2"/>
        <v/>
      </c>
      <c r="T20" s="21" t="str">
        <f>IFERROR(
(VLOOKUP(MONTH(R20),Meses!$B$3:$C$14,2,FALSE)-DAY(R20))/VLOOKUP(MONTH(R20),Meses!$B$3:$C$14,2,FALSE)*U20,
"")</f>
        <v/>
      </c>
      <c r="U20" s="22">
        <f t="shared" si="1"/>
        <v>7858</v>
      </c>
    </row>
    <row r="21" spans="1:21" ht="32.4" hidden="1" thickBot="1" x14ac:dyDescent="0.6">
      <c r="A21" s="10" t="s">
        <v>25</v>
      </c>
      <c r="B21" s="10" t="s">
        <v>42</v>
      </c>
      <c r="C21" s="12">
        <v>44868</v>
      </c>
      <c r="D21" s="10" t="s">
        <v>41</v>
      </c>
      <c r="E21" s="10" t="s">
        <v>41</v>
      </c>
      <c r="F21" s="10">
        <v>2850</v>
      </c>
      <c r="G21" s="10" t="s">
        <v>15</v>
      </c>
      <c r="H21" s="10" t="s">
        <v>17</v>
      </c>
      <c r="I21" s="10" t="s">
        <v>43</v>
      </c>
      <c r="J21" s="10" t="s">
        <v>19</v>
      </c>
      <c r="K21" s="10" t="s">
        <v>19</v>
      </c>
      <c r="L21" s="10" t="s">
        <v>19</v>
      </c>
      <c r="M21" s="12"/>
      <c r="N21" s="10" t="s">
        <v>20</v>
      </c>
      <c r="O21" s="10" t="s">
        <v>2054</v>
      </c>
      <c r="P21" s="25" t="str">
        <f>IFERROR(
IF(OR(O21="anulado",O21="stand by"),CONCATENATE(O21,": ",H21),
IF(OR(YEAR(M21)=2022,YEAR(M21)=2023),CONCATENATE("Se activó en ",YEAR(M21)),
IF(AND(OR(O21="En proceso",O21="facturando"),AND(J21="-",M21="")),"Por revisar",
IF(M21="",IF(J21="NUEVAS",CONCATENATE("Estado: ",O21,", ",J21),
IF(L21=Meses!$A$3,"Por revisar",
IF(H21="","Sin registro","En programación Frcst."))),"En programación")))),
"Error")</f>
        <v>Por revisar</v>
      </c>
      <c r="Q21" s="9" t="str">
        <f t="shared" si="0"/>
        <v>programación de act. NO, estado: Facturando, Comercializador: EPM, Etapa: Instalado y Activado</v>
      </c>
      <c r="R21" s="25" t="str">
        <f>IF(P21="En programación Frcst.",VLOOKUP(L21,Meses!$A$1:$H$14,3+HLOOKUP(Cronograma!J21,Meses!$D$1:$G$2,2,FALSE),FALSE),
IF(P21="En programación",M21,""))</f>
        <v/>
      </c>
      <c r="S21" s="25" t="str">
        <f t="shared" si="2"/>
        <v/>
      </c>
      <c r="T21" s="21" t="str">
        <f>IFERROR(
(VLOOKUP(MONTH(R21),Meses!$B$3:$C$14,2,FALSE)-DAY(R21))/VLOOKUP(MONTH(R21),Meses!$B$3:$C$14,2,FALSE)*U21,
"")</f>
        <v/>
      </c>
      <c r="U21" s="22">
        <f t="shared" si="1"/>
        <v>2850</v>
      </c>
    </row>
    <row r="22" spans="1:21" ht="32.4" hidden="1" thickBot="1" x14ac:dyDescent="0.6">
      <c r="A22" s="10" t="s">
        <v>25</v>
      </c>
      <c r="B22" s="10" t="s">
        <v>45</v>
      </c>
      <c r="C22" s="12">
        <v>44917</v>
      </c>
      <c r="D22" s="10" t="s">
        <v>44</v>
      </c>
      <c r="E22" s="10" t="s">
        <v>44</v>
      </c>
      <c r="F22" s="10">
        <v>14000</v>
      </c>
      <c r="G22" s="10" t="s">
        <v>15</v>
      </c>
      <c r="H22" s="10" t="s">
        <v>17</v>
      </c>
      <c r="I22" s="10" t="s">
        <v>43</v>
      </c>
      <c r="J22" s="10" t="s">
        <v>19</v>
      </c>
      <c r="K22" s="10" t="s">
        <v>19</v>
      </c>
      <c r="L22" s="10" t="s">
        <v>19</v>
      </c>
      <c r="M22" s="12"/>
      <c r="N22" s="10" t="s">
        <v>20</v>
      </c>
      <c r="O22" s="10" t="s">
        <v>2054</v>
      </c>
      <c r="P22" s="25" t="str">
        <f>IFERROR(
IF(OR(O22="anulado",O22="stand by"),CONCATENATE(O22,": ",H22),
IF(OR(YEAR(M22)=2022,YEAR(M22)=2023),CONCATENATE("Se activó en ",YEAR(M22)),
IF(AND(OR(O22="En proceso",O22="facturando"),AND(J22="-",M22="")),"Por revisar",
IF(M22="",IF(J22="NUEVAS",CONCATENATE("Estado: ",O22,", ",J22),
IF(L22=Meses!$A$3,"Por revisar",
IF(H22="","Sin registro","En programación Frcst."))),"En programación")))),
"Error")</f>
        <v>Por revisar</v>
      </c>
      <c r="Q22" s="9" t="str">
        <f t="shared" si="0"/>
        <v>programación de act. NO, estado: Facturando, Comercializador: AFINIA, Etapa: Instalado y Activado</v>
      </c>
      <c r="R22" s="25" t="str">
        <f>IF(P22="En programación Frcst.",VLOOKUP(L22,Meses!$A$1:$H$14,3+HLOOKUP(Cronograma!J22,Meses!$D$1:$G$2,2,FALSE),FALSE),
IF(P22="En programación",M22,""))</f>
        <v/>
      </c>
      <c r="S22" s="25" t="str">
        <f t="shared" si="2"/>
        <v/>
      </c>
      <c r="T22" s="21" t="str">
        <f>IFERROR(
(VLOOKUP(MONTH(R22),Meses!$B$3:$C$14,2,FALSE)-DAY(R22))/VLOOKUP(MONTH(R22),Meses!$B$3:$C$14,2,FALSE)*U22,
"")</f>
        <v/>
      </c>
      <c r="U22" s="22">
        <f t="shared" si="1"/>
        <v>14000</v>
      </c>
    </row>
    <row r="23" spans="1:21" ht="31.8" hidden="1" thickBot="1" x14ac:dyDescent="0.6">
      <c r="A23" s="10" t="s">
        <v>46</v>
      </c>
      <c r="B23" s="10" t="s">
        <v>47</v>
      </c>
      <c r="C23" s="12"/>
      <c r="D23" s="10" t="s">
        <v>14</v>
      </c>
      <c r="E23" s="10" t="s">
        <v>14</v>
      </c>
      <c r="F23" s="10">
        <v>4500</v>
      </c>
      <c r="G23" s="10" t="s">
        <v>15</v>
      </c>
      <c r="H23" s="10" t="s">
        <v>140</v>
      </c>
      <c r="I23" s="10" t="s">
        <v>18</v>
      </c>
      <c r="J23" s="10" t="s">
        <v>19</v>
      </c>
      <c r="K23" s="10" t="s">
        <v>19</v>
      </c>
      <c r="L23" s="10" t="s">
        <v>19</v>
      </c>
      <c r="M23" s="12"/>
      <c r="N23" s="10" t="s">
        <v>20</v>
      </c>
      <c r="O23" s="10" t="s">
        <v>2056</v>
      </c>
      <c r="P23" s="25" t="str">
        <f>IFERROR(
IF(OR(O23="anulado",O23="stand by"),CONCATENATE(O23,": ",H23),
IF(OR(YEAR(M23)=2022,YEAR(M23)=2023),CONCATENATE("Se activó en ",YEAR(M23)),
IF(AND(OR(O23="En proceso",O23="facturando"),AND(J23="-",M23="")),"Por revisar",
IF(M23="",IF(J23="NUEVAS",CONCATENATE("Estado: ",O23,", ",J23),
IF(L23=Meses!$A$3,"Por revisar",
IF(H23="","Sin registro","En programación Frcst."))),"En programación")))),
"Error")</f>
        <v>anulado: Desistido</v>
      </c>
      <c r="Q23" s="9" t="str">
        <f t="shared" si="0"/>
        <v/>
      </c>
      <c r="R23" s="25" t="str">
        <f>IF(P23="En programación Frcst.",VLOOKUP(L23,Meses!$A$1:$H$14,3+HLOOKUP(Cronograma!J23,Meses!$D$1:$G$2,2,FALSE),FALSE),
IF(P23="En programación",M23,""))</f>
        <v/>
      </c>
      <c r="S23" s="25" t="str">
        <f t="shared" si="2"/>
        <v/>
      </c>
      <c r="T23" s="21" t="str">
        <f>IFERROR(
(VLOOKUP(MONTH(R23),Meses!$B$3:$C$14,2,FALSE)-DAY(R23))/VLOOKUP(MONTH(R23),Meses!$B$3:$C$14,2,FALSE)*U23,
"")</f>
        <v/>
      </c>
      <c r="U23" s="22">
        <f t="shared" si="1"/>
        <v>4500</v>
      </c>
    </row>
    <row r="24" spans="1:21" ht="32.4" hidden="1" thickBot="1" x14ac:dyDescent="0.6">
      <c r="A24" s="10" t="s">
        <v>48</v>
      </c>
      <c r="B24" s="10" t="s">
        <v>49</v>
      </c>
      <c r="C24" s="12">
        <v>44847</v>
      </c>
      <c r="D24" s="10" t="s">
        <v>14</v>
      </c>
      <c r="E24" s="10" t="s">
        <v>14</v>
      </c>
      <c r="F24" s="10">
        <v>5250</v>
      </c>
      <c r="G24" s="10" t="s">
        <v>15</v>
      </c>
      <c r="H24" s="10" t="s">
        <v>17</v>
      </c>
      <c r="I24" s="10" t="s">
        <v>18</v>
      </c>
      <c r="J24" s="10" t="s">
        <v>19</v>
      </c>
      <c r="K24" s="10" t="s">
        <v>19</v>
      </c>
      <c r="L24" s="10" t="s">
        <v>19</v>
      </c>
      <c r="M24" s="12"/>
      <c r="N24" s="10" t="s">
        <v>20</v>
      </c>
      <c r="O24" s="10" t="s">
        <v>2054</v>
      </c>
      <c r="P24" s="25" t="str">
        <f>IFERROR(
IF(OR(O24="anulado",O24="stand by"),CONCATENATE(O24,": ",H24),
IF(OR(YEAR(M24)=2022,YEAR(M24)=2023),CONCATENATE("Se activó en ",YEAR(M24)),
IF(AND(OR(O24="En proceso",O24="facturando"),AND(J24="-",M24="")),"Por revisar",
IF(M24="",IF(J24="NUEVAS",CONCATENATE("Estado: ",O24,", ",J24),
IF(L24=Meses!$A$3,"Por revisar",
IF(H24="","Sin registro","En programación Frcst."))),"En programación")))),
"Error")</f>
        <v>Por revisar</v>
      </c>
      <c r="Q24" s="9" t="str">
        <f t="shared" si="0"/>
        <v>programación de act. NO, estado: Facturando, Comercializador: ENEL, Etapa: Instalado y Activado</v>
      </c>
      <c r="R24" s="25" t="str">
        <f>IF(P24="En programación Frcst.",VLOOKUP(L24,Meses!$A$1:$H$14,3+HLOOKUP(Cronograma!J24,Meses!$D$1:$G$2,2,FALSE),FALSE),
IF(P24="En programación",M24,""))</f>
        <v/>
      </c>
      <c r="S24" s="25" t="str">
        <f t="shared" si="2"/>
        <v/>
      </c>
      <c r="T24" s="21" t="str">
        <f>IFERROR(
(VLOOKUP(MONTH(R24),Meses!$B$3:$C$14,2,FALSE)-DAY(R24))/VLOOKUP(MONTH(R24),Meses!$B$3:$C$14,2,FALSE)*U24,
"")</f>
        <v/>
      </c>
      <c r="U24" s="22">
        <f t="shared" si="1"/>
        <v>5250</v>
      </c>
    </row>
    <row r="25" spans="1:21" ht="32.4" hidden="1" thickBot="1" x14ac:dyDescent="0.6">
      <c r="A25" s="10" t="s">
        <v>48</v>
      </c>
      <c r="B25" s="10" t="s">
        <v>50</v>
      </c>
      <c r="C25" s="12">
        <v>44847</v>
      </c>
      <c r="D25" s="10" t="s">
        <v>14</v>
      </c>
      <c r="E25" s="10" t="s">
        <v>14</v>
      </c>
      <c r="F25" s="10">
        <v>3700</v>
      </c>
      <c r="G25" s="10" t="s">
        <v>15</v>
      </c>
      <c r="H25" s="10" t="s">
        <v>17</v>
      </c>
      <c r="I25" s="10" t="s">
        <v>18</v>
      </c>
      <c r="J25" s="10" t="s">
        <v>19</v>
      </c>
      <c r="K25" s="10" t="s">
        <v>19</v>
      </c>
      <c r="L25" s="10" t="s">
        <v>19</v>
      </c>
      <c r="M25" s="12"/>
      <c r="N25" s="10" t="s">
        <v>20</v>
      </c>
      <c r="O25" s="10" t="s">
        <v>2054</v>
      </c>
      <c r="P25" s="25" t="str">
        <f>IFERROR(
IF(OR(O25="anulado",O25="stand by"),CONCATENATE(O25,": ",H25),
IF(OR(YEAR(M25)=2022,YEAR(M25)=2023),CONCATENATE("Se activó en ",YEAR(M25)),
IF(AND(OR(O25="En proceso",O25="facturando"),AND(J25="-",M25="")),"Por revisar",
IF(M25="",IF(J25="NUEVAS",CONCATENATE("Estado: ",O25,", ",J25),
IF(L25=Meses!$A$3,"Por revisar",
IF(H25="","Sin registro","En programación Frcst."))),"En programación")))),
"Error")</f>
        <v>Por revisar</v>
      </c>
      <c r="Q25" s="9" t="str">
        <f t="shared" si="0"/>
        <v>programación de act. NO, estado: Facturando, Comercializador: ENEL, Etapa: Instalado y Activado</v>
      </c>
      <c r="R25" s="25" t="str">
        <f>IF(P25="En programación Frcst.",VLOOKUP(L25,Meses!$A$1:$H$14,3+HLOOKUP(Cronograma!J25,Meses!$D$1:$G$2,2,FALSE),FALSE),
IF(P25="En programación",M25,""))</f>
        <v/>
      </c>
      <c r="S25" s="25" t="str">
        <f t="shared" si="2"/>
        <v/>
      </c>
      <c r="T25" s="21" t="str">
        <f>IFERROR(
(VLOOKUP(MONTH(R25),Meses!$B$3:$C$14,2,FALSE)-DAY(R25))/VLOOKUP(MONTH(R25),Meses!$B$3:$C$14,2,FALSE)*U25,
"")</f>
        <v/>
      </c>
      <c r="U25" s="22">
        <f t="shared" si="1"/>
        <v>3700</v>
      </c>
    </row>
    <row r="26" spans="1:21" ht="32.4" hidden="1" thickBot="1" x14ac:dyDescent="0.6">
      <c r="A26" s="10" t="s">
        <v>51</v>
      </c>
      <c r="B26" s="10" t="s">
        <v>52</v>
      </c>
      <c r="C26" s="12">
        <v>44854</v>
      </c>
      <c r="D26" s="10" t="s">
        <v>14</v>
      </c>
      <c r="E26" s="10" t="s">
        <v>14</v>
      </c>
      <c r="F26" s="10">
        <v>10693</v>
      </c>
      <c r="G26" s="10" t="s">
        <v>15</v>
      </c>
      <c r="H26" s="10" t="s">
        <v>17</v>
      </c>
      <c r="I26" s="10" t="s">
        <v>18</v>
      </c>
      <c r="J26" s="10" t="s">
        <v>19</v>
      </c>
      <c r="K26" s="10" t="s">
        <v>19</v>
      </c>
      <c r="L26" s="10" t="s">
        <v>19</v>
      </c>
      <c r="M26" s="12"/>
      <c r="N26" s="10" t="s">
        <v>20</v>
      </c>
      <c r="O26" s="10" t="s">
        <v>2054</v>
      </c>
      <c r="P26" s="25" t="str">
        <f>IFERROR(
IF(OR(O26="anulado",O26="stand by"),CONCATENATE(O26,": ",H26),
IF(OR(YEAR(M26)=2022,YEAR(M26)=2023),CONCATENATE("Se activó en ",YEAR(M26)),
IF(AND(OR(O26="En proceso",O26="facturando"),AND(J26="-",M26="")),"Por revisar",
IF(M26="",IF(J26="NUEVAS",CONCATENATE("Estado: ",O26,", ",J26),
IF(L26=Meses!$A$3,"Por revisar",
IF(H26="","Sin registro","En programación Frcst."))),"En programación")))),
"Error")</f>
        <v>Por revisar</v>
      </c>
      <c r="Q26" s="9" t="str">
        <f t="shared" si="0"/>
        <v>programación de act. NO, estado: Facturando, Comercializador: ENEL, Etapa: Instalado y Activado</v>
      </c>
      <c r="R26" s="25" t="str">
        <f>IF(P26="En programación Frcst.",VLOOKUP(L26,Meses!$A$1:$H$14,3+HLOOKUP(Cronograma!J26,Meses!$D$1:$G$2,2,FALSE),FALSE),
IF(P26="En programación",M26,""))</f>
        <v/>
      </c>
      <c r="S26" s="25" t="str">
        <f t="shared" si="2"/>
        <v/>
      </c>
      <c r="T26" s="21" t="str">
        <f>IFERROR(
(VLOOKUP(MONTH(R26),Meses!$B$3:$C$14,2,FALSE)-DAY(R26))/VLOOKUP(MONTH(R26),Meses!$B$3:$C$14,2,FALSE)*U26,
"")</f>
        <v/>
      </c>
      <c r="U26" s="22">
        <f t="shared" si="1"/>
        <v>10693</v>
      </c>
    </row>
    <row r="27" spans="1:21" ht="32.4" hidden="1" thickBot="1" x14ac:dyDescent="0.6">
      <c r="A27" s="10" t="s">
        <v>53</v>
      </c>
      <c r="B27" s="10" t="s">
        <v>54</v>
      </c>
      <c r="C27" s="12">
        <v>44861</v>
      </c>
      <c r="D27" s="10" t="s">
        <v>14</v>
      </c>
      <c r="E27" s="10" t="s">
        <v>14</v>
      </c>
      <c r="F27" s="10">
        <v>110971</v>
      </c>
      <c r="G27" s="10" t="s">
        <v>15</v>
      </c>
      <c r="H27" s="10" t="s">
        <v>17</v>
      </c>
      <c r="I27" s="10" t="s">
        <v>18</v>
      </c>
      <c r="J27" s="10" t="s">
        <v>19</v>
      </c>
      <c r="K27" s="10" t="s">
        <v>19</v>
      </c>
      <c r="L27" s="10" t="s">
        <v>19</v>
      </c>
      <c r="M27" s="12"/>
      <c r="N27" s="10" t="s">
        <v>20</v>
      </c>
      <c r="O27" s="10" t="s">
        <v>2054</v>
      </c>
      <c r="P27" s="25" t="str">
        <f>IFERROR(
IF(OR(O27="anulado",O27="stand by"),CONCATENATE(O27,": ",H27),
IF(OR(YEAR(M27)=2022,YEAR(M27)=2023),CONCATENATE("Se activó en ",YEAR(M27)),
IF(AND(OR(O27="En proceso",O27="facturando"),AND(J27="-",M27="")),"Por revisar",
IF(M27="",IF(J27="NUEVAS",CONCATENATE("Estado: ",O27,", ",J27),
IF(L27=Meses!$A$3,"Por revisar",
IF(H27="","Sin registro","En programación Frcst."))),"En programación")))),
"Error")</f>
        <v>Por revisar</v>
      </c>
      <c r="Q27" s="9" t="str">
        <f t="shared" si="0"/>
        <v>programación de act. NO, estado: Facturando, Comercializador: ENEL, Etapa: Instalado y Activado</v>
      </c>
      <c r="R27" s="25" t="str">
        <f>IF(P27="En programación Frcst.",VLOOKUP(L27,Meses!$A$1:$H$14,3+HLOOKUP(Cronograma!J27,Meses!$D$1:$G$2,2,FALSE),FALSE),
IF(P27="En programación",M27,""))</f>
        <v/>
      </c>
      <c r="S27" s="25" t="str">
        <f t="shared" si="2"/>
        <v/>
      </c>
      <c r="T27" s="21" t="str">
        <f>IFERROR(
(VLOOKUP(MONTH(R27),Meses!$B$3:$C$14,2,FALSE)-DAY(R27))/VLOOKUP(MONTH(R27),Meses!$B$3:$C$14,2,FALSE)*U27,
"")</f>
        <v/>
      </c>
      <c r="U27" s="22">
        <f t="shared" si="1"/>
        <v>110971</v>
      </c>
    </row>
    <row r="28" spans="1:21" ht="32.4" hidden="1" thickBot="1" x14ac:dyDescent="0.6">
      <c r="A28" s="10" t="s">
        <v>55</v>
      </c>
      <c r="B28" s="10" t="s">
        <v>56</v>
      </c>
      <c r="C28" s="12">
        <v>44861</v>
      </c>
      <c r="D28" s="10" t="s">
        <v>14</v>
      </c>
      <c r="E28" s="10" t="s">
        <v>14</v>
      </c>
      <c r="F28" s="10">
        <v>1942</v>
      </c>
      <c r="G28" s="10" t="s">
        <v>15</v>
      </c>
      <c r="H28" s="10" t="s">
        <v>17</v>
      </c>
      <c r="I28" s="10" t="s">
        <v>18</v>
      </c>
      <c r="J28" s="10" t="s">
        <v>19</v>
      </c>
      <c r="K28" s="10" t="s">
        <v>19</v>
      </c>
      <c r="L28" s="10" t="s">
        <v>19</v>
      </c>
      <c r="M28" s="12"/>
      <c r="N28" s="10" t="s">
        <v>20</v>
      </c>
      <c r="O28" s="10" t="s">
        <v>2054</v>
      </c>
      <c r="P28" s="25" t="str">
        <f>IFERROR(
IF(OR(O28="anulado",O28="stand by"),CONCATENATE(O28,": ",H28),
IF(OR(YEAR(M28)=2022,YEAR(M28)=2023),CONCATENATE("Se activó en ",YEAR(M28)),
IF(AND(OR(O28="En proceso",O28="facturando"),AND(J28="-",M28="")),"Por revisar",
IF(M28="",IF(J28="NUEVAS",CONCATENATE("Estado: ",O28,", ",J28),
IF(L28=Meses!$A$3,"Por revisar",
IF(H28="","Sin registro","En programación Frcst."))),"En programación")))),
"Error")</f>
        <v>Por revisar</v>
      </c>
      <c r="Q28" s="9" t="str">
        <f t="shared" si="0"/>
        <v>programación de act. NO, estado: Facturando, Comercializador: ENEL, Etapa: Instalado y Activado</v>
      </c>
      <c r="R28" s="25" t="str">
        <f>IF(P28="En programación Frcst.",VLOOKUP(L28,Meses!$A$1:$H$14,3+HLOOKUP(Cronograma!J28,Meses!$D$1:$G$2,2,FALSE),FALSE),
IF(P28="En programación",M28,""))</f>
        <v/>
      </c>
      <c r="S28" s="25" t="str">
        <f t="shared" si="2"/>
        <v/>
      </c>
      <c r="T28" s="21" t="str">
        <f>IFERROR(
(VLOOKUP(MONTH(R28),Meses!$B$3:$C$14,2,FALSE)-DAY(R28))/VLOOKUP(MONTH(R28),Meses!$B$3:$C$14,2,FALSE)*U28,
"")</f>
        <v/>
      </c>
      <c r="U28" s="22">
        <f t="shared" si="1"/>
        <v>1942</v>
      </c>
    </row>
    <row r="29" spans="1:21" ht="32.4" hidden="1" thickBot="1" x14ac:dyDescent="0.6">
      <c r="A29" s="10" t="s">
        <v>55</v>
      </c>
      <c r="B29" s="10" t="s">
        <v>57</v>
      </c>
      <c r="C29" s="12">
        <v>44861</v>
      </c>
      <c r="D29" s="10" t="s">
        <v>14</v>
      </c>
      <c r="E29" s="10" t="s">
        <v>14</v>
      </c>
      <c r="F29" s="10">
        <v>4091</v>
      </c>
      <c r="G29" s="10" t="s">
        <v>15</v>
      </c>
      <c r="H29" s="10" t="s">
        <v>17</v>
      </c>
      <c r="I29" s="10" t="s">
        <v>18</v>
      </c>
      <c r="J29" s="10" t="s">
        <v>19</v>
      </c>
      <c r="K29" s="10" t="s">
        <v>19</v>
      </c>
      <c r="L29" s="10" t="s">
        <v>19</v>
      </c>
      <c r="M29" s="12"/>
      <c r="N29" s="10" t="s">
        <v>20</v>
      </c>
      <c r="O29" s="10" t="s">
        <v>2054</v>
      </c>
      <c r="P29" s="25" t="str">
        <f>IFERROR(
IF(OR(O29="anulado",O29="stand by"),CONCATENATE(O29,": ",H29),
IF(OR(YEAR(M29)=2022,YEAR(M29)=2023),CONCATENATE("Se activó en ",YEAR(M29)),
IF(AND(OR(O29="En proceso",O29="facturando"),AND(J29="-",M29="")),"Por revisar",
IF(M29="",IF(J29="NUEVAS",CONCATENATE("Estado: ",O29,", ",J29),
IF(L29=Meses!$A$3,"Por revisar",
IF(H29="","Sin registro","En programación Frcst."))),"En programación")))),
"Error")</f>
        <v>Por revisar</v>
      </c>
      <c r="Q29" s="9" t="str">
        <f t="shared" si="0"/>
        <v>programación de act. NO, estado: Facturando, Comercializador: ENEL, Etapa: Instalado y Activado</v>
      </c>
      <c r="R29" s="25" t="str">
        <f>IF(P29="En programación Frcst.",VLOOKUP(L29,Meses!$A$1:$H$14,3+HLOOKUP(Cronograma!J29,Meses!$D$1:$G$2,2,FALSE),FALSE),
IF(P29="En programación",M29,""))</f>
        <v/>
      </c>
      <c r="S29" s="25" t="str">
        <f t="shared" si="2"/>
        <v/>
      </c>
      <c r="T29" s="21" t="str">
        <f>IFERROR(
(VLOOKUP(MONTH(R29),Meses!$B$3:$C$14,2,FALSE)-DAY(R29))/VLOOKUP(MONTH(R29),Meses!$B$3:$C$14,2,FALSE)*U29,
"")</f>
        <v/>
      </c>
      <c r="U29" s="22">
        <f t="shared" si="1"/>
        <v>4091</v>
      </c>
    </row>
    <row r="30" spans="1:21" ht="32.4" hidden="1" thickBot="1" x14ac:dyDescent="0.6">
      <c r="A30" s="10" t="s">
        <v>55</v>
      </c>
      <c r="B30" s="10" t="s">
        <v>58</v>
      </c>
      <c r="C30" s="12">
        <v>44861</v>
      </c>
      <c r="D30" s="10" t="s">
        <v>14</v>
      </c>
      <c r="E30" s="10" t="s">
        <v>14</v>
      </c>
      <c r="F30" s="10">
        <v>612</v>
      </c>
      <c r="G30" s="10" t="s">
        <v>15</v>
      </c>
      <c r="H30" s="10" t="s">
        <v>17</v>
      </c>
      <c r="I30" s="10" t="s">
        <v>18</v>
      </c>
      <c r="J30" s="10" t="s">
        <v>19</v>
      </c>
      <c r="K30" s="10" t="s">
        <v>19</v>
      </c>
      <c r="L30" s="10" t="s">
        <v>19</v>
      </c>
      <c r="M30" s="12"/>
      <c r="N30" s="10" t="s">
        <v>20</v>
      </c>
      <c r="O30" s="10" t="s">
        <v>2054</v>
      </c>
      <c r="P30" s="25" t="str">
        <f>IFERROR(
IF(OR(O30="anulado",O30="stand by"),CONCATENATE(O30,": ",H30),
IF(OR(YEAR(M30)=2022,YEAR(M30)=2023),CONCATENATE("Se activó en ",YEAR(M30)),
IF(AND(OR(O30="En proceso",O30="facturando"),AND(J30="-",M30="")),"Por revisar",
IF(M30="",IF(J30="NUEVAS",CONCATENATE("Estado: ",O30,", ",J30),
IF(L30=Meses!$A$3,"Por revisar",
IF(H30="","Sin registro","En programación Frcst."))),"En programación")))),
"Error")</f>
        <v>Por revisar</v>
      </c>
      <c r="Q30" s="9" t="str">
        <f t="shared" si="0"/>
        <v>programación de act. NO, estado: Facturando, Comercializador: ENEL, Etapa: Instalado y Activado</v>
      </c>
      <c r="R30" s="25" t="str">
        <f>IF(P30="En programación Frcst.",VLOOKUP(L30,Meses!$A$1:$H$14,3+HLOOKUP(Cronograma!J30,Meses!$D$1:$G$2,2,FALSE),FALSE),
IF(P30="En programación",M30,""))</f>
        <v/>
      </c>
      <c r="S30" s="25" t="str">
        <f t="shared" si="2"/>
        <v/>
      </c>
      <c r="T30" s="21" t="str">
        <f>IFERROR(
(VLOOKUP(MONTH(R30),Meses!$B$3:$C$14,2,FALSE)-DAY(R30))/VLOOKUP(MONTH(R30),Meses!$B$3:$C$14,2,FALSE)*U30,
"")</f>
        <v/>
      </c>
      <c r="U30" s="22">
        <f t="shared" si="1"/>
        <v>612</v>
      </c>
    </row>
    <row r="31" spans="1:21" ht="32.4" hidden="1" thickBot="1" x14ac:dyDescent="0.6">
      <c r="A31" s="10" t="s">
        <v>55</v>
      </c>
      <c r="B31" s="10" t="s">
        <v>59</v>
      </c>
      <c r="C31" s="12">
        <v>44868</v>
      </c>
      <c r="D31" s="10" t="s">
        <v>14</v>
      </c>
      <c r="E31" s="10" t="s">
        <v>14</v>
      </c>
      <c r="F31" s="10">
        <v>1692</v>
      </c>
      <c r="G31" s="10" t="s">
        <v>15</v>
      </c>
      <c r="H31" s="10" t="s">
        <v>17</v>
      </c>
      <c r="I31" s="10" t="s">
        <v>18</v>
      </c>
      <c r="J31" s="10" t="s">
        <v>19</v>
      </c>
      <c r="K31" s="10" t="s">
        <v>19</v>
      </c>
      <c r="L31" s="10" t="s">
        <v>19</v>
      </c>
      <c r="M31" s="12"/>
      <c r="N31" s="10" t="s">
        <v>20</v>
      </c>
      <c r="O31" s="10" t="s">
        <v>2054</v>
      </c>
      <c r="P31" s="25" t="str">
        <f>IFERROR(
IF(OR(O31="anulado",O31="stand by"),CONCATENATE(O31,": ",H31),
IF(OR(YEAR(M31)=2022,YEAR(M31)=2023),CONCATENATE("Se activó en ",YEAR(M31)),
IF(AND(OR(O31="En proceso",O31="facturando"),AND(J31="-",M31="")),"Por revisar",
IF(M31="",IF(J31="NUEVAS",CONCATENATE("Estado: ",O31,", ",J31),
IF(L31=Meses!$A$3,"Por revisar",
IF(H31="","Sin registro","En programación Frcst."))),"En programación")))),
"Error")</f>
        <v>Por revisar</v>
      </c>
      <c r="Q31" s="9" t="str">
        <f t="shared" si="0"/>
        <v>programación de act. NO, estado: Facturando, Comercializador: ENEL, Etapa: Instalado y Activado</v>
      </c>
      <c r="R31" s="25" t="str">
        <f>IF(P31="En programación Frcst.",VLOOKUP(L31,Meses!$A$1:$H$14,3+HLOOKUP(Cronograma!J31,Meses!$D$1:$G$2,2,FALSE),FALSE),
IF(P31="En programación",M31,""))</f>
        <v/>
      </c>
      <c r="S31" s="25" t="str">
        <f t="shared" si="2"/>
        <v/>
      </c>
      <c r="T31" s="21" t="str">
        <f>IFERROR(
(VLOOKUP(MONTH(R31),Meses!$B$3:$C$14,2,FALSE)-DAY(R31))/VLOOKUP(MONTH(R31),Meses!$B$3:$C$14,2,FALSE)*U31,
"")</f>
        <v/>
      </c>
      <c r="U31" s="22">
        <f t="shared" si="1"/>
        <v>1692</v>
      </c>
    </row>
    <row r="32" spans="1:21" ht="32.4" hidden="1" thickBot="1" x14ac:dyDescent="0.6">
      <c r="A32" s="10" t="s">
        <v>60</v>
      </c>
      <c r="B32" s="10" t="s">
        <v>2860</v>
      </c>
      <c r="C32" s="12">
        <v>44987</v>
      </c>
      <c r="D32" s="10" t="s">
        <v>14</v>
      </c>
      <c r="E32" s="10" t="s">
        <v>14</v>
      </c>
      <c r="F32" s="10"/>
      <c r="G32" s="10" t="s">
        <v>61</v>
      </c>
      <c r="H32" s="10" t="s">
        <v>17</v>
      </c>
      <c r="I32" s="10" t="s">
        <v>18</v>
      </c>
      <c r="J32" s="10" t="s">
        <v>19</v>
      </c>
      <c r="K32" s="10" t="s">
        <v>19</v>
      </c>
      <c r="L32" s="10" t="s">
        <v>19</v>
      </c>
      <c r="M32" s="12"/>
      <c r="N32" s="10" t="s">
        <v>20</v>
      </c>
      <c r="O32" s="10" t="s">
        <v>2054</v>
      </c>
      <c r="P32" s="25" t="str">
        <f>IFERROR(
IF(OR(O32="anulado",O32="stand by"),CONCATENATE(O32,": ",H32),
IF(OR(YEAR(M32)=2022,YEAR(M32)=2023),CONCATENATE("Se activó en ",YEAR(M32)),
IF(AND(OR(O32="En proceso",O32="facturando"),AND(J32="-",M32="")),"Por revisar",
IF(M32="",IF(J32="NUEVAS",CONCATENATE("Estado: ",O32,", ",J32),
IF(L32=Meses!$A$3,"Por revisar",
IF(H32="","Sin registro","En programación Frcst."))),"En programación")))),
"Error")</f>
        <v>Por revisar</v>
      </c>
      <c r="Q32" s="9" t="str">
        <f t="shared" si="0"/>
        <v>programación de act. NO, estado: Facturando, Comercializador: ENEL, Etapa: Instalado y Activado</v>
      </c>
      <c r="R32" s="25" t="str">
        <f>IF(P32="En programación Frcst.",VLOOKUP(L32,Meses!$A$1:$H$14,3+HLOOKUP(Cronograma!J32,Meses!$D$1:$G$2,2,FALSE),FALSE),
IF(P32="En programación",M32,""))</f>
        <v/>
      </c>
      <c r="S32" s="25" t="str">
        <f t="shared" si="2"/>
        <v/>
      </c>
      <c r="T32" s="21" t="str">
        <f>IFERROR(
(VLOOKUP(MONTH(R32),Meses!$B$3:$C$14,2,FALSE)-DAY(R32))/VLOOKUP(MONTH(R32),Meses!$B$3:$C$14,2,FALSE)*U32,
"")</f>
        <v/>
      </c>
      <c r="U32" s="22">
        <f t="shared" si="1"/>
        <v>0</v>
      </c>
    </row>
    <row r="33" spans="1:21" ht="32.4" hidden="1" thickBot="1" x14ac:dyDescent="0.6">
      <c r="A33" s="10" t="s">
        <v>63</v>
      </c>
      <c r="B33" s="10" t="s">
        <v>64</v>
      </c>
      <c r="C33" s="12">
        <v>44861</v>
      </c>
      <c r="D33" s="10" t="s">
        <v>65</v>
      </c>
      <c r="E33" s="10" t="s">
        <v>14</v>
      </c>
      <c r="F33" s="10">
        <v>70560</v>
      </c>
      <c r="G33" s="10" t="s">
        <v>15</v>
      </c>
      <c r="H33" s="10" t="s">
        <v>17</v>
      </c>
      <c r="I33" s="10" t="s">
        <v>66</v>
      </c>
      <c r="J33" s="10" t="s">
        <v>19</v>
      </c>
      <c r="K33" s="10" t="s">
        <v>19</v>
      </c>
      <c r="L33" s="10" t="s">
        <v>19</v>
      </c>
      <c r="M33" s="12"/>
      <c r="N33" s="10" t="s">
        <v>20</v>
      </c>
      <c r="O33" s="10" t="s">
        <v>2054</v>
      </c>
      <c r="P33" s="25" t="str">
        <f>IFERROR(
IF(OR(O33="anulado",O33="stand by"),CONCATENATE(O33,": ",H33),
IF(OR(YEAR(M33)=2022,YEAR(M33)=2023),CONCATENATE("Se activó en ",YEAR(M33)),
IF(AND(OR(O33="En proceso",O33="facturando"),AND(J33="-",M33="")),"Por revisar",
IF(M33="",IF(J33="NUEVAS",CONCATENATE("Estado: ",O33,", ",J33),
IF(L33=Meses!$A$3,"Por revisar",
IF(H33="","Sin registro","En programación Frcst."))),"En programación")))),
"Error")</f>
        <v>Por revisar</v>
      </c>
      <c r="Q33" s="9" t="str">
        <f t="shared" si="0"/>
        <v>programación de act. NO, estado: Facturando, Comercializador: NEU, Etapa: Instalado y Activado</v>
      </c>
      <c r="R33" s="25" t="str">
        <f>IF(P33="En programación Frcst.",VLOOKUP(L33,Meses!$A$1:$H$14,3+HLOOKUP(Cronograma!J33,Meses!$D$1:$G$2,2,FALSE),FALSE),
IF(P33="En programación",M33,""))</f>
        <v/>
      </c>
      <c r="S33" s="25" t="str">
        <f t="shared" si="2"/>
        <v/>
      </c>
      <c r="T33" s="21" t="str">
        <f>IFERROR(
(VLOOKUP(MONTH(R33),Meses!$B$3:$C$14,2,FALSE)-DAY(R33))/VLOOKUP(MONTH(R33),Meses!$B$3:$C$14,2,FALSE)*U33,
"")</f>
        <v/>
      </c>
      <c r="U33" s="22">
        <f t="shared" si="1"/>
        <v>70560</v>
      </c>
    </row>
    <row r="34" spans="1:21" ht="32.4" hidden="1" thickBot="1" x14ac:dyDescent="0.6">
      <c r="A34" s="10" t="s">
        <v>63</v>
      </c>
      <c r="B34" s="10" t="s">
        <v>67</v>
      </c>
      <c r="C34" s="12">
        <v>44861</v>
      </c>
      <c r="D34" s="10" t="s">
        <v>65</v>
      </c>
      <c r="E34" s="10" t="s">
        <v>14</v>
      </c>
      <c r="F34" s="10">
        <v>161525</v>
      </c>
      <c r="G34" s="10" t="s">
        <v>15</v>
      </c>
      <c r="H34" s="10" t="s">
        <v>17</v>
      </c>
      <c r="I34" s="10" t="s">
        <v>66</v>
      </c>
      <c r="J34" s="10" t="s">
        <v>19</v>
      </c>
      <c r="K34" s="10" t="s">
        <v>19</v>
      </c>
      <c r="L34" s="10" t="s">
        <v>19</v>
      </c>
      <c r="M34" s="12"/>
      <c r="N34" s="10" t="s">
        <v>20</v>
      </c>
      <c r="O34" s="10" t="s">
        <v>2054</v>
      </c>
      <c r="P34" s="25" t="str">
        <f>IFERROR(
IF(OR(O34="anulado",O34="stand by"),CONCATENATE(O34,": ",H34),
IF(OR(YEAR(M34)=2022,YEAR(M34)=2023),CONCATENATE("Se activó en ",YEAR(M34)),
IF(AND(OR(O34="En proceso",O34="facturando"),AND(J34="-",M34="")),"Por revisar",
IF(M34="",IF(J34="NUEVAS",CONCATENATE("Estado: ",O34,", ",J34),
IF(L34=Meses!$A$3,"Por revisar",
IF(H34="","Sin registro","En programación Frcst."))),"En programación")))),
"Error")</f>
        <v>Por revisar</v>
      </c>
      <c r="Q34" s="9" t="str">
        <f t="shared" si="0"/>
        <v>programación de act. NO, estado: Facturando, Comercializador: NEU, Etapa: Instalado y Activado</v>
      </c>
      <c r="R34" s="25" t="str">
        <f>IF(P34="En programación Frcst.",VLOOKUP(L34,Meses!$A$1:$H$14,3+HLOOKUP(Cronograma!J34,Meses!$D$1:$G$2,2,FALSE),FALSE),
IF(P34="En programación",M34,""))</f>
        <v/>
      </c>
      <c r="S34" s="25" t="str">
        <f t="shared" si="2"/>
        <v/>
      </c>
      <c r="T34" s="21" t="str">
        <f>IFERROR(
(VLOOKUP(MONTH(R34),Meses!$B$3:$C$14,2,FALSE)-DAY(R34))/VLOOKUP(MONTH(R34),Meses!$B$3:$C$14,2,FALSE)*U34,
"")</f>
        <v/>
      </c>
      <c r="U34" s="22">
        <f t="shared" si="1"/>
        <v>161525</v>
      </c>
    </row>
    <row r="35" spans="1:21" ht="32.4" hidden="1" thickBot="1" x14ac:dyDescent="0.6">
      <c r="A35" s="10" t="s">
        <v>63</v>
      </c>
      <c r="B35" s="10" t="s">
        <v>68</v>
      </c>
      <c r="C35" s="12">
        <v>44861</v>
      </c>
      <c r="D35" s="10" t="s">
        <v>65</v>
      </c>
      <c r="E35" s="10" t="s">
        <v>14</v>
      </c>
      <c r="F35" s="10">
        <v>53424</v>
      </c>
      <c r="G35" s="10" t="s">
        <v>15</v>
      </c>
      <c r="H35" s="10" t="s">
        <v>17</v>
      </c>
      <c r="I35" s="10" t="s">
        <v>66</v>
      </c>
      <c r="J35" s="10" t="s">
        <v>19</v>
      </c>
      <c r="K35" s="10" t="s">
        <v>19</v>
      </c>
      <c r="L35" s="10" t="s">
        <v>19</v>
      </c>
      <c r="M35" s="12"/>
      <c r="N35" s="10" t="s">
        <v>20</v>
      </c>
      <c r="O35" s="10" t="s">
        <v>2054</v>
      </c>
      <c r="P35" s="25" t="str">
        <f>IFERROR(
IF(OR(O35="anulado",O35="stand by"),CONCATENATE(O35,": ",H35),
IF(OR(YEAR(M35)=2022,YEAR(M35)=2023),CONCATENATE("Se activó en ",YEAR(M35)),
IF(AND(OR(O35="En proceso",O35="facturando"),AND(J35="-",M35="")),"Por revisar",
IF(M35="",IF(J35="NUEVAS",CONCATENATE("Estado: ",O35,", ",J35),
IF(L35=Meses!$A$3,"Por revisar",
IF(H35="","Sin registro","En programación Frcst."))),"En programación")))),
"Error")</f>
        <v>Por revisar</v>
      </c>
      <c r="Q35" s="9" t="str">
        <f t="shared" si="0"/>
        <v>programación de act. NO, estado: Facturando, Comercializador: NEU, Etapa: Instalado y Activado</v>
      </c>
      <c r="R35" s="25" t="str">
        <f>IF(P35="En programación Frcst.",VLOOKUP(L35,Meses!$A$1:$H$14,3+HLOOKUP(Cronograma!J35,Meses!$D$1:$G$2,2,FALSE),FALSE),
IF(P35="En programación",M35,""))</f>
        <v/>
      </c>
      <c r="S35" s="25" t="str">
        <f t="shared" si="2"/>
        <v/>
      </c>
      <c r="T35" s="21" t="str">
        <f>IFERROR(
(VLOOKUP(MONTH(R35),Meses!$B$3:$C$14,2,FALSE)-DAY(R35))/VLOOKUP(MONTH(R35),Meses!$B$3:$C$14,2,FALSE)*U35,
"")</f>
        <v/>
      </c>
      <c r="U35" s="22">
        <f t="shared" si="1"/>
        <v>53424</v>
      </c>
    </row>
    <row r="36" spans="1:21" ht="32.4" hidden="1" thickBot="1" x14ac:dyDescent="0.6">
      <c r="A36" s="10" t="s">
        <v>63</v>
      </c>
      <c r="B36" s="10" t="s">
        <v>69</v>
      </c>
      <c r="C36" s="12">
        <v>44861</v>
      </c>
      <c r="D36" s="10" t="s">
        <v>65</v>
      </c>
      <c r="E36" s="10" t="s">
        <v>14</v>
      </c>
      <c r="F36" s="10">
        <v>119466</v>
      </c>
      <c r="G36" s="10" t="s">
        <v>15</v>
      </c>
      <c r="H36" s="10" t="s">
        <v>17</v>
      </c>
      <c r="I36" s="10" t="s">
        <v>66</v>
      </c>
      <c r="J36" s="10" t="s">
        <v>19</v>
      </c>
      <c r="K36" s="10" t="s">
        <v>19</v>
      </c>
      <c r="L36" s="10" t="s">
        <v>19</v>
      </c>
      <c r="M36" s="12"/>
      <c r="N36" s="10" t="s">
        <v>20</v>
      </c>
      <c r="O36" s="10" t="s">
        <v>2054</v>
      </c>
      <c r="P36" s="25" t="str">
        <f>IFERROR(
IF(OR(O36="anulado",O36="stand by"),CONCATENATE(O36,": ",H36),
IF(OR(YEAR(M36)=2022,YEAR(M36)=2023),CONCATENATE("Se activó en ",YEAR(M36)),
IF(AND(OR(O36="En proceso",O36="facturando"),AND(J36="-",M36="")),"Por revisar",
IF(M36="",IF(J36="NUEVAS",CONCATENATE("Estado: ",O36,", ",J36),
IF(L36=Meses!$A$3,"Por revisar",
IF(H36="","Sin registro","En programación Frcst."))),"En programación")))),
"Error")</f>
        <v>Por revisar</v>
      </c>
      <c r="Q36" s="9" t="str">
        <f t="shared" si="0"/>
        <v>programación de act. NO, estado: Facturando, Comercializador: NEU, Etapa: Instalado y Activado</v>
      </c>
      <c r="R36" s="25" t="str">
        <f>IF(P36="En programación Frcst.",VLOOKUP(L36,Meses!$A$1:$H$14,3+HLOOKUP(Cronograma!J36,Meses!$D$1:$G$2,2,FALSE),FALSE),
IF(P36="En programación",M36,""))</f>
        <v/>
      </c>
      <c r="S36" s="25" t="str">
        <f t="shared" si="2"/>
        <v/>
      </c>
      <c r="T36" s="21" t="str">
        <f>IFERROR(
(VLOOKUP(MONTH(R36),Meses!$B$3:$C$14,2,FALSE)-DAY(R36))/VLOOKUP(MONTH(R36),Meses!$B$3:$C$14,2,FALSE)*U36,
"")</f>
        <v/>
      </c>
      <c r="U36" s="22">
        <f t="shared" si="1"/>
        <v>119466</v>
      </c>
    </row>
    <row r="37" spans="1:21" ht="32.4" hidden="1" thickBot="1" x14ac:dyDescent="0.6">
      <c r="A37" s="10" t="s">
        <v>63</v>
      </c>
      <c r="B37" s="10" t="s">
        <v>70</v>
      </c>
      <c r="C37" s="12">
        <v>44861</v>
      </c>
      <c r="D37" s="10" t="s">
        <v>65</v>
      </c>
      <c r="E37" s="10" t="s">
        <v>14</v>
      </c>
      <c r="F37" s="10">
        <v>80087</v>
      </c>
      <c r="G37" s="10" t="s">
        <v>15</v>
      </c>
      <c r="H37" s="10" t="s">
        <v>17</v>
      </c>
      <c r="I37" s="10" t="s">
        <v>66</v>
      </c>
      <c r="J37" s="10" t="s">
        <v>19</v>
      </c>
      <c r="K37" s="10" t="s">
        <v>19</v>
      </c>
      <c r="L37" s="10" t="s">
        <v>19</v>
      </c>
      <c r="M37" s="12"/>
      <c r="N37" s="10" t="s">
        <v>20</v>
      </c>
      <c r="O37" s="10" t="s">
        <v>2054</v>
      </c>
      <c r="P37" s="25" t="str">
        <f>IFERROR(
IF(OR(O37="anulado",O37="stand by"),CONCATENATE(O37,": ",H37),
IF(OR(YEAR(M37)=2022,YEAR(M37)=2023),CONCATENATE("Se activó en ",YEAR(M37)),
IF(AND(OR(O37="En proceso",O37="facturando"),AND(J37="-",M37="")),"Por revisar",
IF(M37="",IF(J37="NUEVAS",CONCATENATE("Estado: ",O37,", ",J37),
IF(L37=Meses!$A$3,"Por revisar",
IF(H37="","Sin registro","En programación Frcst."))),"En programación")))),
"Error")</f>
        <v>Por revisar</v>
      </c>
      <c r="Q37" s="9" t="str">
        <f t="shared" si="0"/>
        <v>programación de act. NO, estado: Facturando, Comercializador: NEU, Etapa: Instalado y Activado</v>
      </c>
      <c r="R37" s="25" t="str">
        <f>IF(P37="En programación Frcst.",VLOOKUP(L37,Meses!$A$1:$H$14,3+HLOOKUP(Cronograma!J37,Meses!$D$1:$G$2,2,FALSE),FALSE),
IF(P37="En programación",M37,""))</f>
        <v/>
      </c>
      <c r="S37" s="25" t="str">
        <f t="shared" si="2"/>
        <v/>
      </c>
      <c r="T37" s="21" t="str">
        <f>IFERROR(
(VLOOKUP(MONTH(R37),Meses!$B$3:$C$14,2,FALSE)-DAY(R37))/VLOOKUP(MONTH(R37),Meses!$B$3:$C$14,2,FALSE)*U37,
"")</f>
        <v/>
      </c>
      <c r="U37" s="22">
        <f t="shared" si="1"/>
        <v>80087</v>
      </c>
    </row>
    <row r="38" spans="1:21" ht="32.4" hidden="1" thickBot="1" x14ac:dyDescent="0.6">
      <c r="A38" s="10" t="s">
        <v>71</v>
      </c>
      <c r="B38" s="10" t="s">
        <v>72</v>
      </c>
      <c r="C38" s="12">
        <v>44868</v>
      </c>
      <c r="D38" s="10" t="s">
        <v>14</v>
      </c>
      <c r="E38" s="10" t="s">
        <v>14</v>
      </c>
      <c r="F38" s="10">
        <v>9200</v>
      </c>
      <c r="G38" s="10" t="s">
        <v>15</v>
      </c>
      <c r="H38" s="10" t="s">
        <v>17</v>
      </c>
      <c r="I38" s="10" t="s">
        <v>18</v>
      </c>
      <c r="J38" s="10" t="s">
        <v>19</v>
      </c>
      <c r="K38" s="10" t="s">
        <v>19</v>
      </c>
      <c r="L38" s="10" t="s">
        <v>19</v>
      </c>
      <c r="M38" s="12"/>
      <c r="N38" s="10" t="s">
        <v>20</v>
      </c>
      <c r="O38" s="10" t="s">
        <v>2054</v>
      </c>
      <c r="P38" s="25" t="str">
        <f>IFERROR(
IF(OR(O38="anulado",O38="stand by"),CONCATENATE(O38,": ",H38),
IF(OR(YEAR(M38)=2022,YEAR(M38)=2023),CONCATENATE("Se activó en ",YEAR(M38)),
IF(AND(OR(O38="En proceso",O38="facturando"),AND(J38="-",M38="")),"Por revisar",
IF(M38="",IF(J38="NUEVAS",CONCATENATE("Estado: ",O38,", ",J38),
IF(L38=Meses!$A$3,"Por revisar",
IF(H38="","Sin registro","En programación Frcst."))),"En programación")))),
"Error")</f>
        <v>Por revisar</v>
      </c>
      <c r="Q38" s="9" t="str">
        <f t="shared" si="0"/>
        <v>programación de act. NO, estado: Facturando, Comercializador: ENEL, Etapa: Instalado y Activado</v>
      </c>
      <c r="R38" s="25" t="str">
        <f>IF(P38="En programación Frcst.",VLOOKUP(L38,Meses!$A$1:$H$14,3+HLOOKUP(Cronograma!J38,Meses!$D$1:$G$2,2,FALSE),FALSE),
IF(P38="En programación",M38,""))</f>
        <v/>
      </c>
      <c r="S38" s="25" t="str">
        <f t="shared" si="2"/>
        <v/>
      </c>
      <c r="T38" s="21" t="str">
        <f>IFERROR(
(VLOOKUP(MONTH(R38),Meses!$B$3:$C$14,2,FALSE)-DAY(R38))/VLOOKUP(MONTH(R38),Meses!$B$3:$C$14,2,FALSE)*U38,
"")</f>
        <v/>
      </c>
      <c r="U38" s="22">
        <f t="shared" si="1"/>
        <v>9200</v>
      </c>
    </row>
    <row r="39" spans="1:21" ht="32.4" hidden="1" thickBot="1" x14ac:dyDescent="0.6">
      <c r="A39" s="10" t="s">
        <v>71</v>
      </c>
      <c r="B39" s="10" t="s">
        <v>73</v>
      </c>
      <c r="C39" s="12">
        <v>44868</v>
      </c>
      <c r="D39" s="10" t="s">
        <v>14</v>
      </c>
      <c r="E39" s="10" t="s">
        <v>14</v>
      </c>
      <c r="F39" s="10">
        <v>14564</v>
      </c>
      <c r="G39" s="10" t="s">
        <v>15</v>
      </c>
      <c r="H39" s="10" t="s">
        <v>17</v>
      </c>
      <c r="I39" s="10" t="s">
        <v>18</v>
      </c>
      <c r="J39" s="10" t="s">
        <v>19</v>
      </c>
      <c r="K39" s="10" t="s">
        <v>19</v>
      </c>
      <c r="L39" s="10" t="s">
        <v>19</v>
      </c>
      <c r="M39" s="12"/>
      <c r="N39" s="10" t="s">
        <v>20</v>
      </c>
      <c r="O39" s="10" t="s">
        <v>2054</v>
      </c>
      <c r="P39" s="25" t="str">
        <f>IFERROR(
IF(OR(O39="anulado",O39="stand by"),CONCATENATE(O39,": ",H39),
IF(OR(YEAR(M39)=2022,YEAR(M39)=2023),CONCATENATE("Se activó en ",YEAR(M39)),
IF(AND(OR(O39="En proceso",O39="facturando"),AND(J39="-",M39="")),"Por revisar",
IF(M39="",IF(J39="NUEVAS",CONCATENATE("Estado: ",O39,", ",J39),
IF(L39=Meses!$A$3,"Por revisar",
IF(H39="","Sin registro","En programación Frcst."))),"En programación")))),
"Error")</f>
        <v>Por revisar</v>
      </c>
      <c r="Q39" s="9" t="str">
        <f t="shared" si="0"/>
        <v>programación de act. NO, estado: Facturando, Comercializador: ENEL, Etapa: Instalado y Activado</v>
      </c>
      <c r="R39" s="25" t="str">
        <f>IF(P39="En programación Frcst.",VLOOKUP(L39,Meses!$A$1:$H$14,3+HLOOKUP(Cronograma!J39,Meses!$D$1:$G$2,2,FALSE),FALSE),
IF(P39="En programación",M39,""))</f>
        <v/>
      </c>
      <c r="S39" s="25" t="str">
        <f t="shared" si="2"/>
        <v/>
      </c>
      <c r="T39" s="21" t="str">
        <f>IFERROR(
(VLOOKUP(MONTH(R39),Meses!$B$3:$C$14,2,FALSE)-DAY(R39))/VLOOKUP(MONTH(R39),Meses!$B$3:$C$14,2,FALSE)*U39,
"")</f>
        <v/>
      </c>
      <c r="U39" s="22">
        <f t="shared" si="1"/>
        <v>14564</v>
      </c>
    </row>
    <row r="40" spans="1:21" ht="32.4" hidden="1" thickBot="1" x14ac:dyDescent="0.6">
      <c r="A40" s="10" t="s">
        <v>60</v>
      </c>
      <c r="B40" s="10" t="s">
        <v>62</v>
      </c>
      <c r="C40" s="12">
        <v>44868</v>
      </c>
      <c r="D40" s="10" t="s">
        <v>14</v>
      </c>
      <c r="E40" s="10" t="s">
        <v>14</v>
      </c>
      <c r="F40" s="10">
        <v>6703</v>
      </c>
      <c r="G40" s="10" t="s">
        <v>15</v>
      </c>
      <c r="H40" s="10" t="s">
        <v>17</v>
      </c>
      <c r="I40" s="10" t="s">
        <v>18</v>
      </c>
      <c r="J40" s="10" t="s">
        <v>19</v>
      </c>
      <c r="K40" s="10" t="s">
        <v>19</v>
      </c>
      <c r="L40" s="10" t="s">
        <v>19</v>
      </c>
      <c r="M40" s="12"/>
      <c r="N40" s="10" t="s">
        <v>20</v>
      </c>
      <c r="O40" s="10" t="s">
        <v>2054</v>
      </c>
      <c r="P40" s="25" t="str">
        <f>IFERROR(
IF(OR(O40="anulado",O40="stand by"),CONCATENATE(O40,": ",H40),
IF(OR(YEAR(M40)=2022,YEAR(M40)=2023),CONCATENATE("Se activó en ",YEAR(M40)),
IF(AND(OR(O40="En proceso",O40="facturando"),AND(J40="-",M40="")),"Por revisar",
IF(M40="",IF(J40="NUEVAS",CONCATENATE("Estado: ",O40,", ",J40),
IF(L40=Meses!$A$3,"Por revisar",
IF(H40="","Sin registro","En programación Frcst."))),"En programación")))),
"Error")</f>
        <v>Por revisar</v>
      </c>
      <c r="Q40" s="9" t="str">
        <f t="shared" si="0"/>
        <v>programación de act. NO, estado: Facturando, Comercializador: ENEL, Etapa: Instalado y Activado</v>
      </c>
      <c r="R40" s="25" t="str">
        <f>IF(P40="En programación Frcst.",VLOOKUP(L40,Meses!$A$1:$H$14,3+HLOOKUP(Cronograma!J40,Meses!$D$1:$G$2,2,FALSE),FALSE),
IF(P40="En programación",M40,""))</f>
        <v/>
      </c>
      <c r="S40" s="25" t="str">
        <f t="shared" si="2"/>
        <v/>
      </c>
      <c r="T40" s="21" t="str">
        <f>IFERROR(
(VLOOKUP(MONTH(R40),Meses!$B$3:$C$14,2,FALSE)-DAY(R40))/VLOOKUP(MONTH(R40),Meses!$B$3:$C$14,2,FALSE)*U40,
"")</f>
        <v/>
      </c>
      <c r="U40" s="22">
        <f t="shared" si="1"/>
        <v>6703</v>
      </c>
    </row>
    <row r="41" spans="1:21" ht="32.4" hidden="1" thickBot="1" x14ac:dyDescent="0.6">
      <c r="A41" s="10" t="s">
        <v>60</v>
      </c>
      <c r="B41" s="10" t="s">
        <v>75</v>
      </c>
      <c r="C41" s="12">
        <v>44931</v>
      </c>
      <c r="D41" s="10" t="s">
        <v>74</v>
      </c>
      <c r="E41" s="10" t="s">
        <v>74</v>
      </c>
      <c r="F41" s="10">
        <v>9750</v>
      </c>
      <c r="G41" s="10" t="s">
        <v>15</v>
      </c>
      <c r="H41" s="10" t="s">
        <v>17</v>
      </c>
      <c r="I41" s="10" t="s">
        <v>43</v>
      </c>
      <c r="J41" s="10" t="s">
        <v>19</v>
      </c>
      <c r="K41" s="10" t="s">
        <v>19</v>
      </c>
      <c r="L41" s="10" t="s">
        <v>19</v>
      </c>
      <c r="M41" s="12"/>
      <c r="N41" s="10" t="s">
        <v>20</v>
      </c>
      <c r="O41" s="10" t="s">
        <v>2054</v>
      </c>
      <c r="P41" s="25" t="str">
        <f>IFERROR(
IF(OR(O41="anulado",O41="stand by"),CONCATENATE(O41,": ",H41),
IF(OR(YEAR(M41)=2022,YEAR(M41)=2023),CONCATENATE("Se activó en ",YEAR(M41)),
IF(AND(OR(O41="En proceso",O41="facturando"),AND(J41="-",M41="")),"Por revisar",
IF(M41="",IF(J41="NUEVAS",CONCATENATE("Estado: ",O41,", ",J41),
IF(L41=Meses!$A$3,"Por revisar",
IF(H41="","Sin registro","En programación Frcst."))),"En programación")))),
"Error")</f>
        <v>Por revisar</v>
      </c>
      <c r="Q41" s="9" t="str">
        <f t="shared" si="0"/>
        <v>programación de act. NO, estado: Facturando, Comercializador: AIR-E, Etapa: Instalado y Activado</v>
      </c>
      <c r="R41" s="25" t="str">
        <f>IF(P41="En programación Frcst.",VLOOKUP(L41,Meses!$A$1:$H$14,3+HLOOKUP(Cronograma!J41,Meses!$D$1:$G$2,2,FALSE),FALSE),
IF(P41="En programación",M41,""))</f>
        <v/>
      </c>
      <c r="S41" s="25" t="str">
        <f t="shared" si="2"/>
        <v/>
      </c>
      <c r="T41" s="21" t="str">
        <f>IFERROR(
(VLOOKUP(MONTH(R41),Meses!$B$3:$C$14,2,FALSE)-DAY(R41))/VLOOKUP(MONTH(R41),Meses!$B$3:$C$14,2,FALSE)*U41,
"")</f>
        <v/>
      </c>
      <c r="U41" s="22">
        <f t="shared" si="1"/>
        <v>9750</v>
      </c>
    </row>
    <row r="42" spans="1:21" ht="32.4" hidden="1" thickBot="1" x14ac:dyDescent="0.6">
      <c r="A42" s="10" t="s">
        <v>76</v>
      </c>
      <c r="B42" s="10" t="s">
        <v>77</v>
      </c>
      <c r="C42" s="12">
        <v>44875</v>
      </c>
      <c r="D42" s="10" t="s">
        <v>14</v>
      </c>
      <c r="E42" s="10" t="s">
        <v>14</v>
      </c>
      <c r="F42" s="10">
        <v>194</v>
      </c>
      <c r="G42" s="10" t="s">
        <v>15</v>
      </c>
      <c r="H42" s="10" t="s">
        <v>17</v>
      </c>
      <c r="I42" s="10" t="s">
        <v>18</v>
      </c>
      <c r="J42" s="10" t="s">
        <v>19</v>
      </c>
      <c r="K42" s="10" t="s">
        <v>19</v>
      </c>
      <c r="L42" s="10" t="s">
        <v>19</v>
      </c>
      <c r="M42" s="12"/>
      <c r="N42" s="10" t="s">
        <v>20</v>
      </c>
      <c r="O42" s="10" t="s">
        <v>2054</v>
      </c>
      <c r="P42" s="25" t="str">
        <f>IFERROR(
IF(OR(O42="anulado",O42="stand by"),CONCATENATE(O42,": ",H42),
IF(OR(YEAR(M42)=2022,YEAR(M42)=2023),CONCATENATE("Se activó en ",YEAR(M42)),
IF(AND(OR(O42="En proceso",O42="facturando"),AND(J42="-",M42="")),"Por revisar",
IF(M42="",IF(J42="NUEVAS",CONCATENATE("Estado: ",O42,", ",J42),
IF(L42=Meses!$A$3,"Por revisar",
IF(H42="","Sin registro","En programación Frcst."))),"En programación")))),
"Error")</f>
        <v>Por revisar</v>
      </c>
      <c r="Q42" s="9" t="str">
        <f t="shared" si="0"/>
        <v>programación de act. NO, estado: Facturando, Comercializador: ENEL, Etapa: Instalado y Activado</v>
      </c>
      <c r="R42" s="25" t="str">
        <f>IF(P42="En programación Frcst.",VLOOKUP(L42,Meses!$A$1:$H$14,3+HLOOKUP(Cronograma!J42,Meses!$D$1:$G$2,2,FALSE),FALSE),
IF(P42="En programación",M42,""))</f>
        <v/>
      </c>
      <c r="S42" s="25" t="str">
        <f t="shared" si="2"/>
        <v/>
      </c>
      <c r="T42" s="21" t="str">
        <f>IFERROR(
(VLOOKUP(MONTH(R42),Meses!$B$3:$C$14,2,FALSE)-DAY(R42))/VLOOKUP(MONTH(R42),Meses!$B$3:$C$14,2,FALSE)*U42,
"")</f>
        <v/>
      </c>
      <c r="U42" s="22">
        <f t="shared" si="1"/>
        <v>194</v>
      </c>
    </row>
    <row r="43" spans="1:21" ht="32.4" hidden="1" thickBot="1" x14ac:dyDescent="0.6">
      <c r="A43" s="10" t="s">
        <v>76</v>
      </c>
      <c r="B43" s="10" t="s">
        <v>78</v>
      </c>
      <c r="C43" s="12">
        <v>44875</v>
      </c>
      <c r="D43" s="10" t="s">
        <v>14</v>
      </c>
      <c r="E43" s="10" t="s">
        <v>14</v>
      </c>
      <c r="F43" s="10">
        <v>193</v>
      </c>
      <c r="G43" s="10" t="s">
        <v>15</v>
      </c>
      <c r="H43" s="10" t="s">
        <v>17</v>
      </c>
      <c r="I43" s="10" t="s">
        <v>18</v>
      </c>
      <c r="J43" s="10" t="s">
        <v>19</v>
      </c>
      <c r="K43" s="10" t="s">
        <v>19</v>
      </c>
      <c r="L43" s="10" t="s">
        <v>19</v>
      </c>
      <c r="M43" s="12"/>
      <c r="N43" s="10" t="s">
        <v>20</v>
      </c>
      <c r="O43" s="10" t="s">
        <v>2054</v>
      </c>
      <c r="P43" s="25" t="str">
        <f>IFERROR(
IF(OR(O43="anulado",O43="stand by"),CONCATENATE(O43,": ",H43),
IF(OR(YEAR(M43)=2022,YEAR(M43)=2023),CONCATENATE("Se activó en ",YEAR(M43)),
IF(AND(OR(O43="En proceso",O43="facturando"),AND(J43="-",M43="")),"Por revisar",
IF(M43="",IF(J43="NUEVAS",CONCATENATE("Estado: ",O43,", ",J43),
IF(L43=Meses!$A$3,"Por revisar",
IF(H43="","Sin registro","En programación Frcst."))),"En programación")))),
"Error")</f>
        <v>Por revisar</v>
      </c>
      <c r="Q43" s="9" t="str">
        <f t="shared" si="0"/>
        <v>programación de act. NO, estado: Facturando, Comercializador: ENEL, Etapa: Instalado y Activado</v>
      </c>
      <c r="R43" s="25" t="str">
        <f>IF(P43="En programación Frcst.",VLOOKUP(L43,Meses!$A$1:$H$14,3+HLOOKUP(Cronograma!J43,Meses!$D$1:$G$2,2,FALSE),FALSE),
IF(P43="En programación",M43,""))</f>
        <v/>
      </c>
      <c r="S43" s="25" t="str">
        <f t="shared" si="2"/>
        <v/>
      </c>
      <c r="T43" s="21" t="str">
        <f>IFERROR(
(VLOOKUP(MONTH(R43),Meses!$B$3:$C$14,2,FALSE)-DAY(R43))/VLOOKUP(MONTH(R43),Meses!$B$3:$C$14,2,FALSE)*U43,
"")</f>
        <v/>
      </c>
      <c r="U43" s="22">
        <f t="shared" si="1"/>
        <v>193</v>
      </c>
    </row>
    <row r="44" spans="1:21" ht="32.4" hidden="1" thickBot="1" x14ac:dyDescent="0.6">
      <c r="A44" s="10" t="s">
        <v>76</v>
      </c>
      <c r="B44" s="10" t="s">
        <v>79</v>
      </c>
      <c r="C44" s="12">
        <v>44875</v>
      </c>
      <c r="D44" s="10" t="s">
        <v>14</v>
      </c>
      <c r="E44" s="10" t="s">
        <v>14</v>
      </c>
      <c r="F44" s="10">
        <v>290</v>
      </c>
      <c r="G44" s="10" t="s">
        <v>15</v>
      </c>
      <c r="H44" s="10" t="s">
        <v>17</v>
      </c>
      <c r="I44" s="10" t="s">
        <v>18</v>
      </c>
      <c r="J44" s="10" t="s">
        <v>19</v>
      </c>
      <c r="K44" s="10" t="s">
        <v>19</v>
      </c>
      <c r="L44" s="10" t="s">
        <v>19</v>
      </c>
      <c r="M44" s="12"/>
      <c r="N44" s="10" t="s">
        <v>20</v>
      </c>
      <c r="O44" s="10" t="s">
        <v>2054</v>
      </c>
      <c r="P44" s="25" t="str">
        <f>IFERROR(
IF(OR(O44="anulado",O44="stand by"),CONCATENATE(O44,": ",H44),
IF(OR(YEAR(M44)=2022,YEAR(M44)=2023),CONCATENATE("Se activó en ",YEAR(M44)),
IF(AND(OR(O44="En proceso",O44="facturando"),AND(J44="-",M44="")),"Por revisar",
IF(M44="",IF(J44="NUEVAS",CONCATENATE("Estado: ",O44,", ",J44),
IF(L44=Meses!$A$3,"Por revisar",
IF(H44="","Sin registro","En programación Frcst."))),"En programación")))),
"Error")</f>
        <v>Por revisar</v>
      </c>
      <c r="Q44" s="9" t="str">
        <f t="shared" si="0"/>
        <v>programación de act. NO, estado: Facturando, Comercializador: ENEL, Etapa: Instalado y Activado</v>
      </c>
      <c r="R44" s="25" t="str">
        <f>IF(P44="En programación Frcst.",VLOOKUP(L44,Meses!$A$1:$H$14,3+HLOOKUP(Cronograma!J44,Meses!$D$1:$G$2,2,FALSE),FALSE),
IF(P44="En programación",M44,""))</f>
        <v/>
      </c>
      <c r="S44" s="25" t="str">
        <f t="shared" si="2"/>
        <v/>
      </c>
      <c r="T44" s="21" t="str">
        <f>IFERROR(
(VLOOKUP(MONTH(R44),Meses!$B$3:$C$14,2,FALSE)-DAY(R44))/VLOOKUP(MONTH(R44),Meses!$B$3:$C$14,2,FALSE)*U44,
"")</f>
        <v/>
      </c>
      <c r="U44" s="22">
        <f t="shared" si="1"/>
        <v>290</v>
      </c>
    </row>
    <row r="45" spans="1:21" ht="32.4" hidden="1" thickBot="1" x14ac:dyDescent="0.6">
      <c r="A45" s="10" t="s">
        <v>76</v>
      </c>
      <c r="B45" s="10" t="s">
        <v>80</v>
      </c>
      <c r="C45" s="12">
        <v>44875</v>
      </c>
      <c r="D45" s="10" t="s">
        <v>14</v>
      </c>
      <c r="E45" s="10" t="s">
        <v>14</v>
      </c>
      <c r="F45" s="10">
        <v>250</v>
      </c>
      <c r="G45" s="10" t="s">
        <v>15</v>
      </c>
      <c r="H45" s="10" t="s">
        <v>17</v>
      </c>
      <c r="I45" s="10" t="s">
        <v>18</v>
      </c>
      <c r="J45" s="10" t="s">
        <v>19</v>
      </c>
      <c r="K45" s="10" t="s">
        <v>19</v>
      </c>
      <c r="L45" s="10" t="s">
        <v>19</v>
      </c>
      <c r="M45" s="12"/>
      <c r="N45" s="10" t="s">
        <v>20</v>
      </c>
      <c r="O45" s="10" t="s">
        <v>2054</v>
      </c>
      <c r="P45" s="25" t="str">
        <f>IFERROR(
IF(OR(O45="anulado",O45="stand by"),CONCATENATE(O45,": ",H45),
IF(OR(YEAR(M45)=2022,YEAR(M45)=2023),CONCATENATE("Se activó en ",YEAR(M45)),
IF(AND(OR(O45="En proceso",O45="facturando"),AND(J45="-",M45="")),"Por revisar",
IF(M45="",IF(J45="NUEVAS",CONCATENATE("Estado: ",O45,", ",J45),
IF(L45=Meses!$A$3,"Por revisar",
IF(H45="","Sin registro","En programación Frcst."))),"En programación")))),
"Error")</f>
        <v>Por revisar</v>
      </c>
      <c r="Q45" s="9" t="str">
        <f t="shared" si="0"/>
        <v>programación de act. NO, estado: Facturando, Comercializador: ENEL, Etapa: Instalado y Activado</v>
      </c>
      <c r="R45" s="25" t="str">
        <f>IF(P45="En programación Frcst.",VLOOKUP(L45,Meses!$A$1:$H$14,3+HLOOKUP(Cronograma!J45,Meses!$D$1:$G$2,2,FALSE),FALSE),
IF(P45="En programación",M45,""))</f>
        <v/>
      </c>
      <c r="S45" s="25" t="str">
        <f t="shared" si="2"/>
        <v/>
      </c>
      <c r="T45" s="21" t="str">
        <f>IFERROR(
(VLOOKUP(MONTH(R45),Meses!$B$3:$C$14,2,FALSE)-DAY(R45))/VLOOKUP(MONTH(R45),Meses!$B$3:$C$14,2,FALSE)*U45,
"")</f>
        <v/>
      </c>
      <c r="U45" s="22">
        <f t="shared" si="1"/>
        <v>250</v>
      </c>
    </row>
    <row r="46" spans="1:21" ht="32.4" hidden="1" thickBot="1" x14ac:dyDescent="0.6">
      <c r="A46" s="10" t="s">
        <v>76</v>
      </c>
      <c r="B46" s="10" t="s">
        <v>81</v>
      </c>
      <c r="C46" s="12">
        <v>44875</v>
      </c>
      <c r="D46" s="10" t="s">
        <v>14</v>
      </c>
      <c r="E46" s="10" t="s">
        <v>14</v>
      </c>
      <c r="F46" s="10">
        <v>230</v>
      </c>
      <c r="G46" s="10" t="s">
        <v>15</v>
      </c>
      <c r="H46" s="10" t="s">
        <v>17</v>
      </c>
      <c r="I46" s="10" t="s">
        <v>18</v>
      </c>
      <c r="J46" s="10" t="s">
        <v>19</v>
      </c>
      <c r="K46" s="10" t="s">
        <v>19</v>
      </c>
      <c r="L46" s="10" t="s">
        <v>19</v>
      </c>
      <c r="M46" s="12"/>
      <c r="N46" s="10" t="s">
        <v>20</v>
      </c>
      <c r="O46" s="10" t="s">
        <v>2054</v>
      </c>
      <c r="P46" s="25" t="str">
        <f>IFERROR(
IF(OR(O46="anulado",O46="stand by"),CONCATENATE(O46,": ",H46),
IF(OR(YEAR(M46)=2022,YEAR(M46)=2023),CONCATENATE("Se activó en ",YEAR(M46)),
IF(AND(OR(O46="En proceso",O46="facturando"),AND(J46="-",M46="")),"Por revisar",
IF(M46="",IF(J46="NUEVAS",CONCATENATE("Estado: ",O46,", ",J46),
IF(L46=Meses!$A$3,"Por revisar",
IF(H46="","Sin registro","En programación Frcst."))),"En programación")))),
"Error")</f>
        <v>Por revisar</v>
      </c>
      <c r="Q46" s="9" t="str">
        <f t="shared" si="0"/>
        <v>programación de act. NO, estado: Facturando, Comercializador: ENEL, Etapa: Instalado y Activado</v>
      </c>
      <c r="R46" s="25" t="str">
        <f>IF(P46="En programación Frcst.",VLOOKUP(L46,Meses!$A$1:$H$14,3+HLOOKUP(Cronograma!J46,Meses!$D$1:$G$2,2,FALSE),FALSE),
IF(P46="En programación",M46,""))</f>
        <v/>
      </c>
      <c r="S46" s="25" t="str">
        <f t="shared" si="2"/>
        <v/>
      </c>
      <c r="T46" s="21" t="str">
        <f>IFERROR(
(VLOOKUP(MONTH(R46),Meses!$B$3:$C$14,2,FALSE)-DAY(R46))/VLOOKUP(MONTH(R46),Meses!$B$3:$C$14,2,FALSE)*U46,
"")</f>
        <v/>
      </c>
      <c r="U46" s="22">
        <f t="shared" si="1"/>
        <v>230</v>
      </c>
    </row>
    <row r="47" spans="1:21" ht="32.4" hidden="1" thickBot="1" x14ac:dyDescent="0.6">
      <c r="A47" s="10" t="s">
        <v>76</v>
      </c>
      <c r="B47" s="10" t="s">
        <v>82</v>
      </c>
      <c r="C47" s="12">
        <v>44875</v>
      </c>
      <c r="D47" s="10" t="s">
        <v>14</v>
      </c>
      <c r="E47" s="10" t="s">
        <v>14</v>
      </c>
      <c r="F47" s="10">
        <v>235</v>
      </c>
      <c r="G47" s="10" t="s">
        <v>15</v>
      </c>
      <c r="H47" s="10" t="s">
        <v>17</v>
      </c>
      <c r="I47" s="10" t="s">
        <v>18</v>
      </c>
      <c r="J47" s="10" t="s">
        <v>19</v>
      </c>
      <c r="K47" s="10" t="s">
        <v>19</v>
      </c>
      <c r="L47" s="10" t="s">
        <v>19</v>
      </c>
      <c r="M47" s="12"/>
      <c r="N47" s="10" t="s">
        <v>20</v>
      </c>
      <c r="O47" s="10" t="s">
        <v>2054</v>
      </c>
      <c r="P47" s="25" t="str">
        <f>IFERROR(
IF(OR(O47="anulado",O47="stand by"),CONCATENATE(O47,": ",H47),
IF(OR(YEAR(M47)=2022,YEAR(M47)=2023),CONCATENATE("Se activó en ",YEAR(M47)),
IF(AND(OR(O47="En proceso",O47="facturando"),AND(J47="-",M47="")),"Por revisar",
IF(M47="",IF(J47="NUEVAS",CONCATENATE("Estado: ",O47,", ",J47),
IF(L47=Meses!$A$3,"Por revisar",
IF(H47="","Sin registro","En programación Frcst."))),"En programación")))),
"Error")</f>
        <v>Por revisar</v>
      </c>
      <c r="Q47" s="9" t="str">
        <f t="shared" si="0"/>
        <v>programación de act. NO, estado: Facturando, Comercializador: ENEL, Etapa: Instalado y Activado</v>
      </c>
      <c r="R47" s="25" t="str">
        <f>IF(P47="En programación Frcst.",VLOOKUP(L47,Meses!$A$1:$H$14,3+HLOOKUP(Cronograma!J47,Meses!$D$1:$G$2,2,FALSE),FALSE),
IF(P47="En programación",M47,""))</f>
        <v/>
      </c>
      <c r="S47" s="25" t="str">
        <f t="shared" si="2"/>
        <v/>
      </c>
      <c r="T47" s="21" t="str">
        <f>IFERROR(
(VLOOKUP(MONTH(R47),Meses!$B$3:$C$14,2,FALSE)-DAY(R47))/VLOOKUP(MONTH(R47),Meses!$B$3:$C$14,2,FALSE)*U47,
"")</f>
        <v/>
      </c>
      <c r="U47" s="22">
        <f t="shared" si="1"/>
        <v>235</v>
      </c>
    </row>
    <row r="48" spans="1:21" ht="32.4" hidden="1" thickBot="1" x14ac:dyDescent="0.6">
      <c r="A48" s="10" t="s">
        <v>76</v>
      </c>
      <c r="B48" s="10" t="s">
        <v>83</v>
      </c>
      <c r="C48" s="12">
        <v>44875</v>
      </c>
      <c r="D48" s="10" t="s">
        <v>14</v>
      </c>
      <c r="E48" s="10" t="s">
        <v>14</v>
      </c>
      <c r="F48" s="10">
        <v>231</v>
      </c>
      <c r="G48" s="10" t="s">
        <v>15</v>
      </c>
      <c r="H48" s="10" t="s">
        <v>17</v>
      </c>
      <c r="I48" s="10" t="s">
        <v>18</v>
      </c>
      <c r="J48" s="10" t="s">
        <v>19</v>
      </c>
      <c r="K48" s="10" t="s">
        <v>19</v>
      </c>
      <c r="L48" s="10" t="s">
        <v>19</v>
      </c>
      <c r="M48" s="12"/>
      <c r="N48" s="10" t="s">
        <v>20</v>
      </c>
      <c r="O48" s="10" t="s">
        <v>2054</v>
      </c>
      <c r="P48" s="25" t="str">
        <f>IFERROR(
IF(OR(O48="anulado",O48="stand by"),CONCATENATE(O48,": ",H48),
IF(OR(YEAR(M48)=2022,YEAR(M48)=2023),CONCATENATE("Se activó en ",YEAR(M48)),
IF(AND(OR(O48="En proceso",O48="facturando"),AND(J48="-",M48="")),"Por revisar",
IF(M48="",IF(J48="NUEVAS",CONCATENATE("Estado: ",O48,", ",J48),
IF(L48=Meses!$A$3,"Por revisar",
IF(H48="","Sin registro","En programación Frcst."))),"En programación")))),
"Error")</f>
        <v>Por revisar</v>
      </c>
      <c r="Q48" s="9" t="str">
        <f t="shared" si="0"/>
        <v>programación de act. NO, estado: Facturando, Comercializador: ENEL, Etapa: Instalado y Activado</v>
      </c>
      <c r="R48" s="25" t="str">
        <f>IF(P48="En programación Frcst.",VLOOKUP(L48,Meses!$A$1:$H$14,3+HLOOKUP(Cronograma!J48,Meses!$D$1:$G$2,2,FALSE),FALSE),
IF(P48="En programación",M48,""))</f>
        <v/>
      </c>
      <c r="S48" s="25" t="str">
        <f t="shared" si="2"/>
        <v/>
      </c>
      <c r="T48" s="21" t="str">
        <f>IFERROR(
(VLOOKUP(MONTH(R48),Meses!$B$3:$C$14,2,FALSE)-DAY(R48))/VLOOKUP(MONTH(R48),Meses!$B$3:$C$14,2,FALSE)*U48,
"")</f>
        <v/>
      </c>
      <c r="U48" s="22">
        <f t="shared" si="1"/>
        <v>231</v>
      </c>
    </row>
    <row r="49" spans="1:21" ht="32.4" hidden="1" thickBot="1" x14ac:dyDescent="0.6">
      <c r="A49" s="10" t="s">
        <v>76</v>
      </c>
      <c r="B49" s="10" t="s">
        <v>84</v>
      </c>
      <c r="C49" s="12">
        <v>44875</v>
      </c>
      <c r="D49" s="10" t="s">
        <v>14</v>
      </c>
      <c r="E49" s="10" t="s">
        <v>14</v>
      </c>
      <c r="F49" s="10">
        <v>277</v>
      </c>
      <c r="G49" s="10" t="s">
        <v>15</v>
      </c>
      <c r="H49" s="10" t="s">
        <v>17</v>
      </c>
      <c r="I49" s="10" t="s">
        <v>18</v>
      </c>
      <c r="J49" s="10" t="s">
        <v>19</v>
      </c>
      <c r="K49" s="10" t="s">
        <v>19</v>
      </c>
      <c r="L49" s="10" t="s">
        <v>19</v>
      </c>
      <c r="M49" s="12"/>
      <c r="N49" s="10" t="s">
        <v>20</v>
      </c>
      <c r="O49" s="10" t="s">
        <v>2054</v>
      </c>
      <c r="P49" s="25" t="str">
        <f>IFERROR(
IF(OR(O49="anulado",O49="stand by"),CONCATENATE(O49,": ",H49),
IF(OR(YEAR(M49)=2022,YEAR(M49)=2023),CONCATENATE("Se activó en ",YEAR(M49)),
IF(AND(OR(O49="En proceso",O49="facturando"),AND(J49="-",M49="")),"Por revisar",
IF(M49="",IF(J49="NUEVAS",CONCATENATE("Estado: ",O49,", ",J49),
IF(L49=Meses!$A$3,"Por revisar",
IF(H49="","Sin registro","En programación Frcst."))),"En programación")))),
"Error")</f>
        <v>Por revisar</v>
      </c>
      <c r="Q49" s="9" t="str">
        <f t="shared" si="0"/>
        <v>programación de act. NO, estado: Facturando, Comercializador: ENEL, Etapa: Instalado y Activado</v>
      </c>
      <c r="R49" s="25" t="str">
        <f>IF(P49="En programación Frcst.",VLOOKUP(L49,Meses!$A$1:$H$14,3+HLOOKUP(Cronograma!J49,Meses!$D$1:$G$2,2,FALSE),FALSE),
IF(P49="En programación",M49,""))</f>
        <v/>
      </c>
      <c r="S49" s="25" t="str">
        <f t="shared" si="2"/>
        <v/>
      </c>
      <c r="T49" s="21" t="str">
        <f>IFERROR(
(VLOOKUP(MONTH(R49),Meses!$B$3:$C$14,2,FALSE)-DAY(R49))/VLOOKUP(MONTH(R49),Meses!$B$3:$C$14,2,FALSE)*U49,
"")</f>
        <v/>
      </c>
      <c r="U49" s="22">
        <f t="shared" si="1"/>
        <v>277</v>
      </c>
    </row>
    <row r="50" spans="1:21" ht="32.4" hidden="1" thickBot="1" x14ac:dyDescent="0.6">
      <c r="A50" s="10" t="s">
        <v>76</v>
      </c>
      <c r="B50" s="10" t="s">
        <v>85</v>
      </c>
      <c r="C50" s="12">
        <v>44875</v>
      </c>
      <c r="D50" s="10" t="s">
        <v>14</v>
      </c>
      <c r="E50" s="10" t="s">
        <v>14</v>
      </c>
      <c r="F50" s="10">
        <v>287</v>
      </c>
      <c r="G50" s="10" t="s">
        <v>15</v>
      </c>
      <c r="H50" s="10" t="s">
        <v>17</v>
      </c>
      <c r="I50" s="10" t="s">
        <v>18</v>
      </c>
      <c r="J50" s="10" t="s">
        <v>19</v>
      </c>
      <c r="K50" s="10" t="s">
        <v>19</v>
      </c>
      <c r="L50" s="10" t="s">
        <v>19</v>
      </c>
      <c r="M50" s="12"/>
      <c r="N50" s="10" t="s">
        <v>20</v>
      </c>
      <c r="O50" s="10" t="s">
        <v>2054</v>
      </c>
      <c r="P50" s="25" t="str">
        <f>IFERROR(
IF(OR(O50="anulado",O50="stand by"),CONCATENATE(O50,": ",H50),
IF(OR(YEAR(M50)=2022,YEAR(M50)=2023),CONCATENATE("Se activó en ",YEAR(M50)),
IF(AND(OR(O50="En proceso",O50="facturando"),AND(J50="-",M50="")),"Por revisar",
IF(M50="",IF(J50="NUEVAS",CONCATENATE("Estado: ",O50,", ",J50),
IF(L50=Meses!$A$3,"Por revisar",
IF(H50="","Sin registro","En programación Frcst."))),"En programación")))),
"Error")</f>
        <v>Por revisar</v>
      </c>
      <c r="Q50" s="9" t="str">
        <f t="shared" si="0"/>
        <v>programación de act. NO, estado: Facturando, Comercializador: ENEL, Etapa: Instalado y Activado</v>
      </c>
      <c r="R50" s="25" t="str">
        <f>IF(P50="En programación Frcst.",VLOOKUP(L50,Meses!$A$1:$H$14,3+HLOOKUP(Cronograma!J50,Meses!$D$1:$G$2,2,FALSE),FALSE),
IF(P50="En programación",M50,""))</f>
        <v/>
      </c>
      <c r="S50" s="25" t="str">
        <f t="shared" si="2"/>
        <v/>
      </c>
      <c r="T50" s="21" t="str">
        <f>IFERROR(
(VLOOKUP(MONTH(R50),Meses!$B$3:$C$14,2,FALSE)-DAY(R50))/VLOOKUP(MONTH(R50),Meses!$B$3:$C$14,2,FALSE)*U50,
"")</f>
        <v/>
      </c>
      <c r="U50" s="22">
        <f t="shared" si="1"/>
        <v>287</v>
      </c>
    </row>
    <row r="51" spans="1:21" ht="32.4" hidden="1" thickBot="1" x14ac:dyDescent="0.6">
      <c r="A51" s="10" t="s">
        <v>76</v>
      </c>
      <c r="B51" s="10" t="s">
        <v>86</v>
      </c>
      <c r="C51" s="12">
        <v>44875</v>
      </c>
      <c r="D51" s="10" t="s">
        <v>14</v>
      </c>
      <c r="E51" s="10" t="s">
        <v>14</v>
      </c>
      <c r="F51" s="10">
        <v>263</v>
      </c>
      <c r="G51" s="10" t="s">
        <v>15</v>
      </c>
      <c r="H51" s="10" t="s">
        <v>17</v>
      </c>
      <c r="I51" s="10" t="s">
        <v>18</v>
      </c>
      <c r="J51" s="10" t="s">
        <v>19</v>
      </c>
      <c r="K51" s="10" t="s">
        <v>19</v>
      </c>
      <c r="L51" s="10" t="s">
        <v>19</v>
      </c>
      <c r="M51" s="12"/>
      <c r="N51" s="10" t="s">
        <v>20</v>
      </c>
      <c r="O51" s="10" t="s">
        <v>2054</v>
      </c>
      <c r="P51" s="25" t="str">
        <f>IFERROR(
IF(OR(O51="anulado",O51="stand by"),CONCATENATE(O51,": ",H51),
IF(OR(YEAR(M51)=2022,YEAR(M51)=2023),CONCATENATE("Se activó en ",YEAR(M51)),
IF(AND(OR(O51="En proceso",O51="facturando"),AND(J51="-",M51="")),"Por revisar",
IF(M51="",IF(J51="NUEVAS",CONCATENATE("Estado: ",O51,", ",J51),
IF(L51=Meses!$A$3,"Por revisar",
IF(H51="","Sin registro","En programación Frcst."))),"En programación")))),
"Error")</f>
        <v>Por revisar</v>
      </c>
      <c r="Q51" s="9" t="str">
        <f t="shared" si="0"/>
        <v>programación de act. NO, estado: Facturando, Comercializador: ENEL, Etapa: Instalado y Activado</v>
      </c>
      <c r="R51" s="25" t="str">
        <f>IF(P51="En programación Frcst.",VLOOKUP(L51,Meses!$A$1:$H$14,3+HLOOKUP(Cronograma!J51,Meses!$D$1:$G$2,2,FALSE),FALSE),
IF(P51="En programación",M51,""))</f>
        <v/>
      </c>
      <c r="S51" s="25" t="str">
        <f t="shared" si="2"/>
        <v/>
      </c>
      <c r="T51" s="21" t="str">
        <f>IFERROR(
(VLOOKUP(MONTH(R51),Meses!$B$3:$C$14,2,FALSE)-DAY(R51))/VLOOKUP(MONTH(R51),Meses!$B$3:$C$14,2,FALSE)*U51,
"")</f>
        <v/>
      </c>
      <c r="U51" s="22">
        <f t="shared" si="1"/>
        <v>263</v>
      </c>
    </row>
    <row r="52" spans="1:21" ht="32.4" hidden="1" thickBot="1" x14ac:dyDescent="0.6">
      <c r="A52" s="10" t="s">
        <v>76</v>
      </c>
      <c r="B52" s="10" t="s">
        <v>87</v>
      </c>
      <c r="C52" s="12">
        <v>44875</v>
      </c>
      <c r="D52" s="10" t="s">
        <v>14</v>
      </c>
      <c r="E52" s="10" t="s">
        <v>14</v>
      </c>
      <c r="F52" s="10">
        <v>186</v>
      </c>
      <c r="G52" s="10" t="s">
        <v>15</v>
      </c>
      <c r="H52" s="10" t="s">
        <v>17</v>
      </c>
      <c r="I52" s="10" t="s">
        <v>18</v>
      </c>
      <c r="J52" s="10" t="s">
        <v>19</v>
      </c>
      <c r="K52" s="10" t="s">
        <v>19</v>
      </c>
      <c r="L52" s="10" t="s">
        <v>19</v>
      </c>
      <c r="M52" s="12"/>
      <c r="N52" s="10" t="s">
        <v>20</v>
      </c>
      <c r="O52" s="10" t="s">
        <v>2054</v>
      </c>
      <c r="P52" s="25" t="str">
        <f>IFERROR(
IF(OR(O52="anulado",O52="stand by"),CONCATENATE(O52,": ",H52),
IF(OR(YEAR(M52)=2022,YEAR(M52)=2023),CONCATENATE("Se activó en ",YEAR(M52)),
IF(AND(OR(O52="En proceso",O52="facturando"),AND(J52="-",M52="")),"Por revisar",
IF(M52="",IF(J52="NUEVAS",CONCATENATE("Estado: ",O52,", ",J52),
IF(L52=Meses!$A$3,"Por revisar",
IF(H52="","Sin registro","En programación Frcst."))),"En programación")))),
"Error")</f>
        <v>Por revisar</v>
      </c>
      <c r="Q52" s="9" t="str">
        <f t="shared" si="0"/>
        <v>programación de act. NO, estado: Facturando, Comercializador: ENEL, Etapa: Instalado y Activado</v>
      </c>
      <c r="R52" s="25" t="str">
        <f>IF(P52="En programación Frcst.",VLOOKUP(L52,Meses!$A$1:$H$14,3+HLOOKUP(Cronograma!J52,Meses!$D$1:$G$2,2,FALSE),FALSE),
IF(P52="En programación",M52,""))</f>
        <v/>
      </c>
      <c r="S52" s="25" t="str">
        <f t="shared" si="2"/>
        <v/>
      </c>
      <c r="T52" s="21" t="str">
        <f>IFERROR(
(VLOOKUP(MONTH(R52),Meses!$B$3:$C$14,2,FALSE)-DAY(R52))/VLOOKUP(MONTH(R52),Meses!$B$3:$C$14,2,FALSE)*U52,
"")</f>
        <v/>
      </c>
      <c r="U52" s="22">
        <f t="shared" si="1"/>
        <v>186</v>
      </c>
    </row>
    <row r="53" spans="1:21" ht="32.4" hidden="1" thickBot="1" x14ac:dyDescent="0.6">
      <c r="A53" s="10" t="s">
        <v>76</v>
      </c>
      <c r="B53" s="10" t="s">
        <v>88</v>
      </c>
      <c r="C53" s="12">
        <v>44875</v>
      </c>
      <c r="D53" s="10" t="s">
        <v>14</v>
      </c>
      <c r="E53" s="10" t="s">
        <v>14</v>
      </c>
      <c r="F53" s="10">
        <v>355</v>
      </c>
      <c r="G53" s="10" t="s">
        <v>15</v>
      </c>
      <c r="H53" s="10" t="s">
        <v>17</v>
      </c>
      <c r="I53" s="10" t="s">
        <v>18</v>
      </c>
      <c r="J53" s="10" t="s">
        <v>19</v>
      </c>
      <c r="K53" s="10" t="s">
        <v>19</v>
      </c>
      <c r="L53" s="10" t="s">
        <v>19</v>
      </c>
      <c r="M53" s="12"/>
      <c r="N53" s="10" t="s">
        <v>20</v>
      </c>
      <c r="O53" s="10" t="s">
        <v>2054</v>
      </c>
      <c r="P53" s="25" t="str">
        <f>IFERROR(
IF(OR(O53="anulado",O53="stand by"),CONCATENATE(O53,": ",H53),
IF(OR(YEAR(M53)=2022,YEAR(M53)=2023),CONCATENATE("Se activó en ",YEAR(M53)),
IF(AND(OR(O53="En proceso",O53="facturando"),AND(J53="-",M53="")),"Por revisar",
IF(M53="",IF(J53="NUEVAS",CONCATENATE("Estado: ",O53,", ",J53),
IF(L53=Meses!$A$3,"Por revisar",
IF(H53="","Sin registro","En programación Frcst."))),"En programación")))),
"Error")</f>
        <v>Por revisar</v>
      </c>
      <c r="Q53" s="9" t="str">
        <f t="shared" si="0"/>
        <v>programación de act. NO, estado: Facturando, Comercializador: ENEL, Etapa: Instalado y Activado</v>
      </c>
      <c r="R53" s="25" t="str">
        <f>IF(P53="En programación Frcst.",VLOOKUP(L53,Meses!$A$1:$H$14,3+HLOOKUP(Cronograma!J53,Meses!$D$1:$G$2,2,FALSE),FALSE),
IF(P53="En programación",M53,""))</f>
        <v/>
      </c>
      <c r="S53" s="25" t="str">
        <f t="shared" si="2"/>
        <v/>
      </c>
      <c r="T53" s="21" t="str">
        <f>IFERROR(
(VLOOKUP(MONTH(R53),Meses!$B$3:$C$14,2,FALSE)-DAY(R53))/VLOOKUP(MONTH(R53),Meses!$B$3:$C$14,2,FALSE)*U53,
"")</f>
        <v/>
      </c>
      <c r="U53" s="22">
        <f t="shared" si="1"/>
        <v>355</v>
      </c>
    </row>
    <row r="54" spans="1:21" ht="32.4" hidden="1" thickBot="1" x14ac:dyDescent="0.6">
      <c r="A54" s="10" t="s">
        <v>76</v>
      </c>
      <c r="B54" s="10" t="s">
        <v>89</v>
      </c>
      <c r="C54" s="12">
        <v>44875</v>
      </c>
      <c r="D54" s="10" t="s">
        <v>14</v>
      </c>
      <c r="E54" s="10" t="s">
        <v>14</v>
      </c>
      <c r="F54" s="10">
        <v>640</v>
      </c>
      <c r="G54" s="10" t="s">
        <v>15</v>
      </c>
      <c r="H54" s="10" t="s">
        <v>17</v>
      </c>
      <c r="I54" s="10" t="s">
        <v>18</v>
      </c>
      <c r="J54" s="10" t="s">
        <v>19</v>
      </c>
      <c r="K54" s="10" t="s">
        <v>19</v>
      </c>
      <c r="L54" s="10" t="s">
        <v>19</v>
      </c>
      <c r="M54" s="12"/>
      <c r="N54" s="10" t="s">
        <v>20</v>
      </c>
      <c r="O54" s="10" t="s">
        <v>2054</v>
      </c>
      <c r="P54" s="25" t="str">
        <f>IFERROR(
IF(OR(O54="anulado",O54="stand by"),CONCATENATE(O54,": ",H54),
IF(OR(YEAR(M54)=2022,YEAR(M54)=2023),CONCATENATE("Se activó en ",YEAR(M54)),
IF(AND(OR(O54="En proceso",O54="facturando"),AND(J54="-",M54="")),"Por revisar",
IF(M54="",IF(J54="NUEVAS",CONCATENATE("Estado: ",O54,", ",J54),
IF(L54=Meses!$A$3,"Por revisar",
IF(H54="","Sin registro","En programación Frcst."))),"En programación")))),
"Error")</f>
        <v>Por revisar</v>
      </c>
      <c r="Q54" s="9" t="str">
        <f t="shared" si="0"/>
        <v>programación de act. NO, estado: Facturando, Comercializador: ENEL, Etapa: Instalado y Activado</v>
      </c>
      <c r="R54" s="25" t="str">
        <f>IF(P54="En programación Frcst.",VLOOKUP(L54,Meses!$A$1:$H$14,3+HLOOKUP(Cronograma!J54,Meses!$D$1:$G$2,2,FALSE),FALSE),
IF(P54="En programación",M54,""))</f>
        <v/>
      </c>
      <c r="S54" s="25" t="str">
        <f t="shared" si="2"/>
        <v/>
      </c>
      <c r="T54" s="21" t="str">
        <f>IFERROR(
(VLOOKUP(MONTH(R54),Meses!$B$3:$C$14,2,FALSE)-DAY(R54))/VLOOKUP(MONTH(R54),Meses!$B$3:$C$14,2,FALSE)*U54,
"")</f>
        <v/>
      </c>
      <c r="U54" s="22">
        <f t="shared" si="1"/>
        <v>640</v>
      </c>
    </row>
    <row r="55" spans="1:21" ht="32.4" hidden="1" thickBot="1" x14ac:dyDescent="0.6">
      <c r="A55" s="10" t="s">
        <v>76</v>
      </c>
      <c r="B55" s="10" t="s">
        <v>90</v>
      </c>
      <c r="C55" s="12">
        <v>44875</v>
      </c>
      <c r="D55" s="10" t="s">
        <v>14</v>
      </c>
      <c r="E55" s="10" t="s">
        <v>14</v>
      </c>
      <c r="F55" s="10">
        <v>3637</v>
      </c>
      <c r="G55" s="10" t="s">
        <v>15</v>
      </c>
      <c r="H55" s="10" t="s">
        <v>17</v>
      </c>
      <c r="I55" s="10" t="s">
        <v>18</v>
      </c>
      <c r="J55" s="10" t="s">
        <v>19</v>
      </c>
      <c r="K55" s="10" t="s">
        <v>19</v>
      </c>
      <c r="L55" s="10" t="s">
        <v>19</v>
      </c>
      <c r="M55" s="12"/>
      <c r="N55" s="10" t="s">
        <v>20</v>
      </c>
      <c r="O55" s="10" t="s">
        <v>2054</v>
      </c>
      <c r="P55" s="25" t="str">
        <f>IFERROR(
IF(OR(O55="anulado",O55="stand by"),CONCATENATE(O55,": ",H55),
IF(OR(YEAR(M55)=2022,YEAR(M55)=2023),CONCATENATE("Se activó en ",YEAR(M55)),
IF(AND(OR(O55="En proceso",O55="facturando"),AND(J55="-",M55="")),"Por revisar",
IF(M55="",IF(J55="NUEVAS",CONCATENATE("Estado: ",O55,", ",J55),
IF(L55=Meses!$A$3,"Por revisar",
IF(H55="","Sin registro","En programación Frcst."))),"En programación")))),
"Error")</f>
        <v>Por revisar</v>
      </c>
      <c r="Q55" s="9" t="str">
        <f t="shared" si="0"/>
        <v>programación de act. NO, estado: Facturando, Comercializador: ENEL, Etapa: Instalado y Activado</v>
      </c>
      <c r="R55" s="25" t="str">
        <f>IF(P55="En programación Frcst.",VLOOKUP(L55,Meses!$A$1:$H$14,3+HLOOKUP(Cronograma!J55,Meses!$D$1:$G$2,2,FALSE),FALSE),
IF(P55="En programación",M55,""))</f>
        <v/>
      </c>
      <c r="S55" s="25" t="str">
        <f t="shared" si="2"/>
        <v/>
      </c>
      <c r="T55" s="21" t="str">
        <f>IFERROR(
(VLOOKUP(MONTH(R55),Meses!$B$3:$C$14,2,FALSE)-DAY(R55))/VLOOKUP(MONTH(R55),Meses!$B$3:$C$14,2,FALSE)*U55,
"")</f>
        <v/>
      </c>
      <c r="U55" s="22">
        <f t="shared" si="1"/>
        <v>3637</v>
      </c>
    </row>
    <row r="56" spans="1:21" ht="32.4" hidden="1" thickBot="1" x14ac:dyDescent="0.6">
      <c r="A56" s="10" t="s">
        <v>91</v>
      </c>
      <c r="B56" s="10" t="s">
        <v>92</v>
      </c>
      <c r="C56" s="12">
        <v>44861</v>
      </c>
      <c r="D56" s="10" t="s">
        <v>41</v>
      </c>
      <c r="E56" s="10" t="s">
        <v>41</v>
      </c>
      <c r="F56" s="10">
        <v>15499</v>
      </c>
      <c r="G56" s="10" t="s">
        <v>15</v>
      </c>
      <c r="H56" s="10" t="s">
        <v>17</v>
      </c>
      <c r="I56" s="10" t="s">
        <v>43</v>
      </c>
      <c r="J56" s="10" t="s">
        <v>19</v>
      </c>
      <c r="K56" s="10" t="s">
        <v>19</v>
      </c>
      <c r="L56" s="10" t="s">
        <v>19</v>
      </c>
      <c r="M56" s="12"/>
      <c r="N56" s="10" t="s">
        <v>20</v>
      </c>
      <c r="O56" s="10" t="s">
        <v>2054</v>
      </c>
      <c r="P56" s="25" t="str">
        <f>IFERROR(
IF(OR(O56="anulado",O56="stand by"),CONCATENATE(O56,": ",H56),
IF(OR(YEAR(M56)=2022,YEAR(M56)=2023),CONCATENATE("Se activó en ",YEAR(M56)),
IF(AND(OR(O56="En proceso",O56="facturando"),AND(J56="-",M56="")),"Por revisar",
IF(M56="",IF(J56="NUEVAS",CONCATENATE("Estado: ",O56,", ",J56),
IF(L56=Meses!$A$3,"Por revisar",
IF(H56="","Sin registro","En programación Frcst."))),"En programación")))),
"Error")</f>
        <v>Por revisar</v>
      </c>
      <c r="Q56" s="9" t="str">
        <f t="shared" si="0"/>
        <v>programación de act. NO, estado: Facturando, Comercializador: EPM, Etapa: Instalado y Activado</v>
      </c>
      <c r="R56" s="25" t="str">
        <f>IF(P56="En programación Frcst.",VLOOKUP(L56,Meses!$A$1:$H$14,3+HLOOKUP(Cronograma!J56,Meses!$D$1:$G$2,2,FALSE),FALSE),
IF(P56="En programación",M56,""))</f>
        <v/>
      </c>
      <c r="S56" s="25" t="str">
        <f t="shared" si="2"/>
        <v/>
      </c>
      <c r="T56" s="21" t="str">
        <f>IFERROR(
(VLOOKUP(MONTH(R56),Meses!$B$3:$C$14,2,FALSE)-DAY(R56))/VLOOKUP(MONTH(R56),Meses!$B$3:$C$14,2,FALSE)*U56,
"")</f>
        <v/>
      </c>
      <c r="U56" s="22">
        <f t="shared" si="1"/>
        <v>15499</v>
      </c>
    </row>
    <row r="57" spans="1:21" ht="32.4" hidden="1" thickBot="1" x14ac:dyDescent="0.6">
      <c r="A57" s="10" t="s">
        <v>91</v>
      </c>
      <c r="B57" s="10" t="s">
        <v>93</v>
      </c>
      <c r="C57" s="12">
        <v>44861</v>
      </c>
      <c r="D57" s="10" t="s">
        <v>41</v>
      </c>
      <c r="E57" s="10" t="s">
        <v>41</v>
      </c>
      <c r="F57" s="10">
        <v>20634</v>
      </c>
      <c r="G57" s="10" t="s">
        <v>15</v>
      </c>
      <c r="H57" s="10" t="s">
        <v>17</v>
      </c>
      <c r="I57" s="10" t="s">
        <v>43</v>
      </c>
      <c r="J57" s="10" t="s">
        <v>19</v>
      </c>
      <c r="K57" s="10" t="s">
        <v>19</v>
      </c>
      <c r="L57" s="10" t="s">
        <v>19</v>
      </c>
      <c r="M57" s="12"/>
      <c r="N57" s="10" t="s">
        <v>20</v>
      </c>
      <c r="O57" s="10" t="s">
        <v>2054</v>
      </c>
      <c r="P57" s="25" t="str">
        <f>IFERROR(
IF(OR(O57="anulado",O57="stand by"),CONCATENATE(O57,": ",H57),
IF(OR(YEAR(M57)=2022,YEAR(M57)=2023),CONCATENATE("Se activó en ",YEAR(M57)),
IF(AND(OR(O57="En proceso",O57="facturando"),AND(J57="-",M57="")),"Por revisar",
IF(M57="",IF(J57="NUEVAS",CONCATENATE("Estado: ",O57,", ",J57),
IF(L57=Meses!$A$3,"Por revisar",
IF(H57="","Sin registro","En programación Frcst."))),"En programación")))),
"Error")</f>
        <v>Por revisar</v>
      </c>
      <c r="Q57" s="9" t="str">
        <f t="shared" si="0"/>
        <v>programación de act. NO, estado: Facturando, Comercializador: EPM, Etapa: Instalado y Activado</v>
      </c>
      <c r="R57" s="25" t="str">
        <f>IF(P57="En programación Frcst.",VLOOKUP(L57,Meses!$A$1:$H$14,3+HLOOKUP(Cronograma!J57,Meses!$D$1:$G$2,2,FALSE),FALSE),
IF(P57="En programación",M57,""))</f>
        <v/>
      </c>
      <c r="S57" s="25" t="str">
        <f t="shared" si="2"/>
        <v/>
      </c>
      <c r="T57" s="21" t="str">
        <f>IFERROR(
(VLOOKUP(MONTH(R57),Meses!$B$3:$C$14,2,FALSE)-DAY(R57))/VLOOKUP(MONTH(R57),Meses!$B$3:$C$14,2,FALSE)*U57,
"")</f>
        <v/>
      </c>
      <c r="U57" s="22">
        <f t="shared" si="1"/>
        <v>20634</v>
      </c>
    </row>
    <row r="58" spans="1:21" ht="32.4" hidden="1" thickBot="1" x14ac:dyDescent="0.6">
      <c r="A58" s="10" t="s">
        <v>91</v>
      </c>
      <c r="B58" s="10" t="s">
        <v>94</v>
      </c>
      <c r="C58" s="12">
        <v>44896</v>
      </c>
      <c r="D58" s="10" t="s">
        <v>41</v>
      </c>
      <c r="E58" s="10" t="s">
        <v>41</v>
      </c>
      <c r="F58" s="10">
        <v>14920</v>
      </c>
      <c r="G58" s="10" t="s">
        <v>15</v>
      </c>
      <c r="H58" s="10" t="s">
        <v>17</v>
      </c>
      <c r="I58" s="10" t="s">
        <v>43</v>
      </c>
      <c r="J58" s="10" t="s">
        <v>19</v>
      </c>
      <c r="K58" s="10" t="s">
        <v>19</v>
      </c>
      <c r="L58" s="10" t="s">
        <v>19</v>
      </c>
      <c r="M58" s="12"/>
      <c r="N58" s="10" t="s">
        <v>20</v>
      </c>
      <c r="O58" s="10" t="s">
        <v>2054</v>
      </c>
      <c r="P58" s="25" t="str">
        <f>IFERROR(
IF(OR(O58="anulado",O58="stand by"),CONCATENATE(O58,": ",H58),
IF(OR(YEAR(M58)=2022,YEAR(M58)=2023),CONCATENATE("Se activó en ",YEAR(M58)),
IF(AND(OR(O58="En proceso",O58="facturando"),AND(J58="-",M58="")),"Por revisar",
IF(M58="",IF(J58="NUEVAS",CONCATENATE("Estado: ",O58,", ",J58),
IF(L58=Meses!$A$3,"Por revisar",
IF(H58="","Sin registro","En programación Frcst."))),"En programación")))),
"Error")</f>
        <v>Por revisar</v>
      </c>
      <c r="Q58" s="9" t="str">
        <f t="shared" si="0"/>
        <v>programación de act. NO, estado: Facturando, Comercializador: EPM, Etapa: Instalado y Activado</v>
      </c>
      <c r="R58" s="25" t="str">
        <f>IF(P58="En programación Frcst.",VLOOKUP(L58,Meses!$A$1:$H$14,3+HLOOKUP(Cronograma!J58,Meses!$D$1:$G$2,2,FALSE),FALSE),
IF(P58="En programación",M58,""))</f>
        <v/>
      </c>
      <c r="S58" s="25" t="str">
        <f t="shared" si="2"/>
        <v/>
      </c>
      <c r="T58" s="21" t="str">
        <f>IFERROR(
(VLOOKUP(MONTH(R58),Meses!$B$3:$C$14,2,FALSE)-DAY(R58))/VLOOKUP(MONTH(R58),Meses!$B$3:$C$14,2,FALSE)*U58,
"")</f>
        <v/>
      </c>
      <c r="U58" s="22">
        <f t="shared" si="1"/>
        <v>14920</v>
      </c>
    </row>
    <row r="59" spans="1:21" ht="32.4" hidden="1" thickBot="1" x14ac:dyDescent="0.6">
      <c r="A59" s="10" t="s">
        <v>91</v>
      </c>
      <c r="B59" s="10" t="s">
        <v>95</v>
      </c>
      <c r="C59" s="12">
        <v>45120</v>
      </c>
      <c r="D59" s="10" t="s">
        <v>65</v>
      </c>
      <c r="E59" s="10" t="s">
        <v>41</v>
      </c>
      <c r="F59" s="10">
        <v>3377</v>
      </c>
      <c r="G59" s="10" t="s">
        <v>15</v>
      </c>
      <c r="H59" s="10" t="s">
        <v>17</v>
      </c>
      <c r="I59" s="10" t="s">
        <v>66</v>
      </c>
      <c r="J59" s="10" t="s">
        <v>19</v>
      </c>
      <c r="K59" s="10" t="s">
        <v>19</v>
      </c>
      <c r="L59" s="10" t="s">
        <v>19</v>
      </c>
      <c r="M59" s="12"/>
      <c r="N59" s="10" t="s">
        <v>20</v>
      </c>
      <c r="O59" s="10" t="s">
        <v>2054</v>
      </c>
      <c r="P59" s="25" t="str">
        <f>IFERROR(
IF(OR(O59="anulado",O59="stand by"),CONCATENATE(O59,": ",H59),
IF(OR(YEAR(M59)=2022,YEAR(M59)=2023),CONCATENATE("Se activó en ",YEAR(M59)),
IF(AND(OR(O59="En proceso",O59="facturando"),AND(J59="-",M59="")),"Por revisar",
IF(M59="",IF(J59="NUEVAS",CONCATENATE("Estado: ",O59,", ",J59),
IF(L59=Meses!$A$3,"Por revisar",
IF(H59="","Sin registro","En programación Frcst."))),"En programación")))),
"Error")</f>
        <v>Por revisar</v>
      </c>
      <c r="Q59" s="9" t="str">
        <f t="shared" si="0"/>
        <v>programación de act. NO, estado: Facturando, Comercializador: NEU, Etapa: Instalado y Activado</v>
      </c>
      <c r="R59" s="25" t="str">
        <f>IF(P59="En programación Frcst.",VLOOKUP(L59,Meses!$A$1:$H$14,3+HLOOKUP(Cronograma!J59,Meses!$D$1:$G$2,2,FALSE),FALSE),
IF(P59="En programación",M59,""))</f>
        <v/>
      </c>
      <c r="S59" s="25" t="str">
        <f t="shared" si="2"/>
        <v/>
      </c>
      <c r="T59" s="21" t="str">
        <f>IFERROR(
(VLOOKUP(MONTH(R59),Meses!$B$3:$C$14,2,FALSE)-DAY(R59))/VLOOKUP(MONTH(R59),Meses!$B$3:$C$14,2,FALSE)*U59,
"")</f>
        <v/>
      </c>
      <c r="U59" s="22">
        <f t="shared" si="1"/>
        <v>3377</v>
      </c>
    </row>
    <row r="60" spans="1:21" ht="32.4" hidden="1" thickBot="1" x14ac:dyDescent="0.6">
      <c r="A60" s="10" t="s">
        <v>91</v>
      </c>
      <c r="B60" s="10" t="s">
        <v>96</v>
      </c>
      <c r="C60" s="12">
        <v>45120</v>
      </c>
      <c r="D60" s="10" t="s">
        <v>65</v>
      </c>
      <c r="E60" s="10" t="s">
        <v>41</v>
      </c>
      <c r="F60" s="10">
        <v>532</v>
      </c>
      <c r="G60" s="10" t="s">
        <v>15</v>
      </c>
      <c r="H60" s="10" t="s">
        <v>17</v>
      </c>
      <c r="I60" s="10" t="s">
        <v>66</v>
      </c>
      <c r="J60" s="10" t="s">
        <v>19</v>
      </c>
      <c r="K60" s="10" t="s">
        <v>19</v>
      </c>
      <c r="L60" s="10" t="s">
        <v>19</v>
      </c>
      <c r="M60" s="12"/>
      <c r="N60" s="10" t="s">
        <v>20</v>
      </c>
      <c r="O60" s="10" t="s">
        <v>2054</v>
      </c>
      <c r="P60" s="25" t="str">
        <f>IFERROR(
IF(OR(O60="anulado",O60="stand by"),CONCATENATE(O60,": ",H60),
IF(OR(YEAR(M60)=2022,YEAR(M60)=2023),CONCATENATE("Se activó en ",YEAR(M60)),
IF(AND(OR(O60="En proceso",O60="facturando"),AND(J60="-",M60="")),"Por revisar",
IF(M60="",IF(J60="NUEVAS",CONCATENATE("Estado: ",O60,", ",J60),
IF(L60=Meses!$A$3,"Por revisar",
IF(H60="","Sin registro","En programación Frcst."))),"En programación")))),
"Error")</f>
        <v>Por revisar</v>
      </c>
      <c r="Q60" s="9" t="str">
        <f t="shared" si="0"/>
        <v>programación de act. NO, estado: Facturando, Comercializador: NEU, Etapa: Instalado y Activado</v>
      </c>
      <c r="R60" s="25" t="str">
        <f>IF(P60="En programación Frcst.",VLOOKUP(L60,Meses!$A$1:$H$14,3+HLOOKUP(Cronograma!J60,Meses!$D$1:$G$2,2,FALSE),FALSE),
IF(P60="En programación",M60,""))</f>
        <v/>
      </c>
      <c r="S60" s="25" t="str">
        <f t="shared" si="2"/>
        <v/>
      </c>
      <c r="T60" s="21" t="str">
        <f>IFERROR(
(VLOOKUP(MONTH(R60),Meses!$B$3:$C$14,2,FALSE)-DAY(R60))/VLOOKUP(MONTH(R60),Meses!$B$3:$C$14,2,FALSE)*U60,
"")</f>
        <v/>
      </c>
      <c r="U60" s="22">
        <f t="shared" si="1"/>
        <v>532</v>
      </c>
    </row>
    <row r="61" spans="1:21" ht="32.4" hidden="1" thickBot="1" x14ac:dyDescent="0.6">
      <c r="A61" s="10" t="s">
        <v>71</v>
      </c>
      <c r="B61" s="10" t="s">
        <v>97</v>
      </c>
      <c r="C61" s="12">
        <v>44910</v>
      </c>
      <c r="D61" s="10" t="s">
        <v>74</v>
      </c>
      <c r="E61" s="10" t="s">
        <v>74</v>
      </c>
      <c r="F61" s="10">
        <v>5858</v>
      </c>
      <c r="G61" s="10" t="s">
        <v>15</v>
      </c>
      <c r="H61" s="10" t="s">
        <v>17</v>
      </c>
      <c r="I61" s="10" t="s">
        <v>43</v>
      </c>
      <c r="J61" s="10" t="s">
        <v>19</v>
      </c>
      <c r="K61" s="10" t="s">
        <v>19</v>
      </c>
      <c r="L61" s="10" t="s">
        <v>19</v>
      </c>
      <c r="M61" s="12"/>
      <c r="N61" s="10" t="s">
        <v>20</v>
      </c>
      <c r="O61" s="10" t="s">
        <v>2054</v>
      </c>
      <c r="P61" s="25" t="str">
        <f>IFERROR(
IF(OR(O61="anulado",O61="stand by"),CONCATENATE(O61,": ",H61),
IF(OR(YEAR(M61)=2022,YEAR(M61)=2023),CONCATENATE("Se activó en ",YEAR(M61)),
IF(AND(OR(O61="En proceso",O61="facturando"),AND(J61="-",M61="")),"Por revisar",
IF(M61="",IF(J61="NUEVAS",CONCATENATE("Estado: ",O61,", ",J61),
IF(L61=Meses!$A$3,"Por revisar",
IF(H61="","Sin registro","En programación Frcst."))),"En programación")))),
"Error")</f>
        <v>Por revisar</v>
      </c>
      <c r="Q61" s="9" t="str">
        <f t="shared" si="0"/>
        <v>programación de act. NO, estado: Facturando, Comercializador: AIR-E, Etapa: Instalado y Activado</v>
      </c>
      <c r="R61" s="25" t="str">
        <f>IF(P61="En programación Frcst.",VLOOKUP(L61,Meses!$A$1:$H$14,3+HLOOKUP(Cronograma!J61,Meses!$D$1:$G$2,2,FALSE),FALSE),
IF(P61="En programación",M61,""))</f>
        <v/>
      </c>
      <c r="S61" s="25" t="str">
        <f t="shared" si="2"/>
        <v/>
      </c>
      <c r="T61" s="21" t="str">
        <f>IFERROR(
(VLOOKUP(MONTH(R61),Meses!$B$3:$C$14,2,FALSE)-DAY(R61))/VLOOKUP(MONTH(R61),Meses!$B$3:$C$14,2,FALSE)*U61,
"")</f>
        <v/>
      </c>
      <c r="U61" s="22">
        <f t="shared" si="1"/>
        <v>5858</v>
      </c>
    </row>
    <row r="62" spans="1:21" ht="32.4" hidden="1" thickBot="1" x14ac:dyDescent="0.6">
      <c r="A62" s="10" t="s">
        <v>71</v>
      </c>
      <c r="B62" s="10" t="s">
        <v>98</v>
      </c>
      <c r="C62" s="12">
        <v>44910</v>
      </c>
      <c r="D62" s="10" t="s">
        <v>74</v>
      </c>
      <c r="E62" s="10" t="s">
        <v>74</v>
      </c>
      <c r="F62" s="10">
        <v>6416</v>
      </c>
      <c r="G62" s="10" t="s">
        <v>15</v>
      </c>
      <c r="H62" s="10" t="s">
        <v>17</v>
      </c>
      <c r="I62" s="10" t="s">
        <v>43</v>
      </c>
      <c r="J62" s="10" t="s">
        <v>19</v>
      </c>
      <c r="K62" s="10" t="s">
        <v>19</v>
      </c>
      <c r="L62" s="10" t="s">
        <v>19</v>
      </c>
      <c r="M62" s="12"/>
      <c r="N62" s="10" t="s">
        <v>20</v>
      </c>
      <c r="O62" s="10" t="s">
        <v>2054</v>
      </c>
      <c r="P62" s="25" t="str">
        <f>IFERROR(
IF(OR(O62="anulado",O62="stand by"),CONCATENATE(O62,": ",H62),
IF(OR(YEAR(M62)=2022,YEAR(M62)=2023),CONCATENATE("Se activó en ",YEAR(M62)),
IF(AND(OR(O62="En proceso",O62="facturando"),AND(J62="-",M62="")),"Por revisar",
IF(M62="",IF(J62="NUEVAS",CONCATENATE("Estado: ",O62,", ",J62),
IF(L62=Meses!$A$3,"Por revisar",
IF(H62="","Sin registro","En programación Frcst."))),"En programación")))),
"Error")</f>
        <v>Por revisar</v>
      </c>
      <c r="Q62" s="9" t="str">
        <f t="shared" si="0"/>
        <v>programación de act. NO, estado: Facturando, Comercializador: AIR-E, Etapa: Instalado y Activado</v>
      </c>
      <c r="R62" s="25" t="str">
        <f>IF(P62="En programación Frcst.",VLOOKUP(L62,Meses!$A$1:$H$14,3+HLOOKUP(Cronograma!J62,Meses!$D$1:$G$2,2,FALSE),FALSE),
IF(P62="En programación",M62,""))</f>
        <v/>
      </c>
      <c r="S62" s="25" t="str">
        <f t="shared" si="2"/>
        <v/>
      </c>
      <c r="T62" s="21" t="str">
        <f>IFERROR(
(VLOOKUP(MONTH(R62),Meses!$B$3:$C$14,2,FALSE)-DAY(R62))/VLOOKUP(MONTH(R62),Meses!$B$3:$C$14,2,FALSE)*U62,
"")</f>
        <v/>
      </c>
      <c r="U62" s="22">
        <f t="shared" si="1"/>
        <v>6416</v>
      </c>
    </row>
    <row r="63" spans="1:21" ht="32.4" hidden="1" thickBot="1" x14ac:dyDescent="0.6">
      <c r="A63" s="10" t="s">
        <v>99</v>
      </c>
      <c r="B63" s="10" t="s">
        <v>100</v>
      </c>
      <c r="C63" s="12">
        <v>44882</v>
      </c>
      <c r="D63" s="10" t="s">
        <v>14</v>
      </c>
      <c r="E63" s="10" t="s">
        <v>14</v>
      </c>
      <c r="F63" s="10">
        <v>11973</v>
      </c>
      <c r="G63" s="10" t="s">
        <v>15</v>
      </c>
      <c r="H63" s="10" t="s">
        <v>17</v>
      </c>
      <c r="I63" s="10" t="s">
        <v>18</v>
      </c>
      <c r="J63" s="10" t="s">
        <v>19</v>
      </c>
      <c r="K63" s="10" t="s">
        <v>19</v>
      </c>
      <c r="L63" s="10" t="s">
        <v>19</v>
      </c>
      <c r="M63" s="12"/>
      <c r="N63" s="10" t="s">
        <v>20</v>
      </c>
      <c r="O63" s="10" t="s">
        <v>2054</v>
      </c>
      <c r="P63" s="25" t="str">
        <f>IFERROR(
IF(OR(O63="anulado",O63="stand by"),CONCATENATE(O63,": ",H63),
IF(OR(YEAR(M63)=2022,YEAR(M63)=2023),CONCATENATE("Se activó en ",YEAR(M63)),
IF(AND(OR(O63="En proceso",O63="facturando"),AND(J63="-",M63="")),"Por revisar",
IF(M63="",IF(J63="NUEVAS",CONCATENATE("Estado: ",O63,", ",J63),
IF(L63=Meses!$A$3,"Por revisar",
IF(H63="","Sin registro","En programación Frcst."))),"En programación")))),
"Error")</f>
        <v>Por revisar</v>
      </c>
      <c r="Q63" s="9" t="str">
        <f t="shared" si="0"/>
        <v>programación de act. NO, estado: Facturando, Comercializador: ENEL, Etapa: Instalado y Activado</v>
      </c>
      <c r="R63" s="25" t="str">
        <f>IF(P63="En programación Frcst.",VLOOKUP(L63,Meses!$A$1:$H$14,3+HLOOKUP(Cronograma!J63,Meses!$D$1:$G$2,2,FALSE),FALSE),
IF(P63="En programación",M63,""))</f>
        <v/>
      </c>
      <c r="S63" s="25" t="str">
        <f t="shared" si="2"/>
        <v/>
      </c>
      <c r="T63" s="21" t="str">
        <f>IFERROR(
(VLOOKUP(MONTH(R63),Meses!$B$3:$C$14,2,FALSE)-DAY(R63))/VLOOKUP(MONTH(R63),Meses!$B$3:$C$14,2,FALSE)*U63,
"")</f>
        <v/>
      </c>
      <c r="U63" s="22">
        <f t="shared" si="1"/>
        <v>11973</v>
      </c>
    </row>
    <row r="64" spans="1:21" ht="32.4" hidden="1" thickBot="1" x14ac:dyDescent="0.6">
      <c r="A64" s="10" t="s">
        <v>99</v>
      </c>
      <c r="B64" s="10" t="s">
        <v>101</v>
      </c>
      <c r="C64" s="12">
        <v>44882</v>
      </c>
      <c r="D64" s="10" t="s">
        <v>14</v>
      </c>
      <c r="E64" s="10" t="s">
        <v>14</v>
      </c>
      <c r="F64" s="10">
        <v>2258</v>
      </c>
      <c r="G64" s="10" t="s">
        <v>15</v>
      </c>
      <c r="H64" s="10" t="s">
        <v>17</v>
      </c>
      <c r="I64" s="10" t="s">
        <v>18</v>
      </c>
      <c r="J64" s="10" t="s">
        <v>19</v>
      </c>
      <c r="K64" s="10" t="s">
        <v>19</v>
      </c>
      <c r="L64" s="10" t="s">
        <v>19</v>
      </c>
      <c r="M64" s="12"/>
      <c r="N64" s="10" t="s">
        <v>20</v>
      </c>
      <c r="O64" s="10" t="s">
        <v>2054</v>
      </c>
      <c r="P64" s="25" t="str">
        <f>IFERROR(
IF(OR(O64="anulado",O64="stand by"),CONCATENATE(O64,": ",H64),
IF(OR(YEAR(M64)=2022,YEAR(M64)=2023),CONCATENATE("Se activó en ",YEAR(M64)),
IF(AND(OR(O64="En proceso",O64="facturando"),AND(J64="-",M64="")),"Por revisar",
IF(M64="",IF(J64="NUEVAS",CONCATENATE("Estado: ",O64,", ",J64),
IF(L64=Meses!$A$3,"Por revisar",
IF(H64="","Sin registro","En programación Frcst."))),"En programación")))),
"Error")</f>
        <v>Por revisar</v>
      </c>
      <c r="Q64" s="9" t="str">
        <f t="shared" si="0"/>
        <v>programación de act. NO, estado: Facturando, Comercializador: ENEL, Etapa: Instalado y Activado</v>
      </c>
      <c r="R64" s="25" t="str">
        <f>IF(P64="En programación Frcst.",VLOOKUP(L64,Meses!$A$1:$H$14,3+HLOOKUP(Cronograma!J64,Meses!$D$1:$G$2,2,FALSE),FALSE),
IF(P64="En programación",M64,""))</f>
        <v/>
      </c>
      <c r="S64" s="25" t="str">
        <f t="shared" si="2"/>
        <v/>
      </c>
      <c r="T64" s="21" t="str">
        <f>IFERROR(
(VLOOKUP(MONTH(R64),Meses!$B$3:$C$14,2,FALSE)-DAY(R64))/VLOOKUP(MONTH(R64),Meses!$B$3:$C$14,2,FALSE)*U64,
"")</f>
        <v/>
      </c>
      <c r="U64" s="22">
        <f t="shared" si="1"/>
        <v>2258</v>
      </c>
    </row>
    <row r="65" spans="1:21" ht="32.4" hidden="1" thickBot="1" x14ac:dyDescent="0.6">
      <c r="A65" s="10" t="s">
        <v>102</v>
      </c>
      <c r="B65" s="10" t="s">
        <v>103</v>
      </c>
      <c r="C65" s="12">
        <v>44889</v>
      </c>
      <c r="D65" s="10" t="s">
        <v>14</v>
      </c>
      <c r="E65" s="10" t="s">
        <v>14</v>
      </c>
      <c r="F65" s="10">
        <v>4391</v>
      </c>
      <c r="G65" s="10" t="s">
        <v>15</v>
      </c>
      <c r="H65" s="10" t="s">
        <v>17</v>
      </c>
      <c r="I65" s="10" t="s">
        <v>18</v>
      </c>
      <c r="J65" s="10" t="s">
        <v>19</v>
      </c>
      <c r="K65" s="10" t="s">
        <v>19</v>
      </c>
      <c r="L65" s="10" t="s">
        <v>19</v>
      </c>
      <c r="M65" s="12"/>
      <c r="N65" s="10" t="s">
        <v>20</v>
      </c>
      <c r="O65" s="10" t="s">
        <v>2054</v>
      </c>
      <c r="P65" s="25" t="str">
        <f>IFERROR(
IF(OR(O65="anulado",O65="stand by"),CONCATENATE(O65,": ",H65),
IF(OR(YEAR(M65)=2022,YEAR(M65)=2023),CONCATENATE("Se activó en ",YEAR(M65)),
IF(AND(OR(O65="En proceso",O65="facturando"),AND(J65="-",M65="")),"Por revisar",
IF(M65="",IF(J65="NUEVAS",CONCATENATE("Estado: ",O65,", ",J65),
IF(L65=Meses!$A$3,"Por revisar",
IF(H65="","Sin registro","En programación Frcst."))),"En programación")))),
"Error")</f>
        <v>Por revisar</v>
      </c>
      <c r="Q65" s="9" t="str">
        <f t="shared" si="0"/>
        <v>programación de act. NO, estado: Facturando, Comercializador: ENEL, Etapa: Instalado y Activado</v>
      </c>
      <c r="R65" s="25" t="str">
        <f>IF(P65="En programación Frcst.",VLOOKUP(L65,Meses!$A$1:$H$14,3+HLOOKUP(Cronograma!J65,Meses!$D$1:$G$2,2,FALSE),FALSE),
IF(P65="En programación",M65,""))</f>
        <v/>
      </c>
      <c r="S65" s="25" t="str">
        <f t="shared" si="2"/>
        <v/>
      </c>
      <c r="T65" s="21" t="str">
        <f>IFERROR(
(VLOOKUP(MONTH(R65),Meses!$B$3:$C$14,2,FALSE)-DAY(R65))/VLOOKUP(MONTH(R65),Meses!$B$3:$C$14,2,FALSE)*U65,
"")</f>
        <v/>
      </c>
      <c r="U65" s="22">
        <f t="shared" si="1"/>
        <v>4391</v>
      </c>
    </row>
    <row r="66" spans="1:21" ht="32.4" hidden="1" thickBot="1" x14ac:dyDescent="0.6">
      <c r="A66" s="10" t="s">
        <v>102</v>
      </c>
      <c r="B66" s="10" t="s">
        <v>104</v>
      </c>
      <c r="C66" s="12">
        <v>44889</v>
      </c>
      <c r="D66" s="10" t="s">
        <v>14</v>
      </c>
      <c r="E66" s="10" t="s">
        <v>14</v>
      </c>
      <c r="F66" s="10">
        <v>2977</v>
      </c>
      <c r="G66" s="10" t="s">
        <v>15</v>
      </c>
      <c r="H66" s="10" t="s">
        <v>17</v>
      </c>
      <c r="I66" s="10" t="s">
        <v>18</v>
      </c>
      <c r="J66" s="10" t="s">
        <v>19</v>
      </c>
      <c r="K66" s="10" t="s">
        <v>19</v>
      </c>
      <c r="L66" s="10" t="s">
        <v>19</v>
      </c>
      <c r="M66" s="12"/>
      <c r="N66" s="10" t="s">
        <v>20</v>
      </c>
      <c r="O66" s="10" t="s">
        <v>2054</v>
      </c>
      <c r="P66" s="25" t="str">
        <f>IFERROR(
IF(OR(O66="anulado",O66="stand by"),CONCATENATE(O66,": ",H66),
IF(OR(YEAR(M66)=2022,YEAR(M66)=2023),CONCATENATE("Se activó en ",YEAR(M66)),
IF(AND(OR(O66="En proceso",O66="facturando"),AND(J66="-",M66="")),"Por revisar",
IF(M66="",IF(J66="NUEVAS",CONCATENATE("Estado: ",O66,", ",J66),
IF(L66=Meses!$A$3,"Por revisar",
IF(H66="","Sin registro","En programación Frcst."))),"En programación")))),
"Error")</f>
        <v>Por revisar</v>
      </c>
      <c r="Q66" s="9" t="str">
        <f t="shared" ref="Q66:Q129" si="3">IF(P66="Por revisar",CONCATENATE("programación de act. ",N66,", estado: ",O66,", Comercializador: ",D66,", Etapa: ",H66),"")</f>
        <v>programación de act. NO, estado: Facturando, Comercializador: ENEL, Etapa: Instalado y Activado</v>
      </c>
      <c r="R66" s="25" t="str">
        <f>IF(P66="En programación Frcst.",VLOOKUP(L66,Meses!$A$1:$H$14,3+HLOOKUP(Cronograma!J66,Meses!$D$1:$G$2,2,FALSE),FALSE),
IF(P66="En programación",M66,""))</f>
        <v/>
      </c>
      <c r="S66" s="25" t="str">
        <f t="shared" si="2"/>
        <v/>
      </c>
      <c r="T66" s="21" t="str">
        <f>IFERROR(
(VLOOKUP(MONTH(R66),Meses!$B$3:$C$14,2,FALSE)-DAY(R66))/VLOOKUP(MONTH(R66),Meses!$B$3:$C$14,2,FALSE)*U66,
"")</f>
        <v/>
      </c>
      <c r="U66" s="22">
        <f t="shared" ref="U66:U129" si="4">F66</f>
        <v>2977</v>
      </c>
    </row>
    <row r="67" spans="1:21" ht="32.4" hidden="1" thickBot="1" x14ac:dyDescent="0.6">
      <c r="A67" s="10" t="s">
        <v>102</v>
      </c>
      <c r="B67" s="10" t="s">
        <v>105</v>
      </c>
      <c r="C67" s="12">
        <v>44889</v>
      </c>
      <c r="D67" s="10" t="s">
        <v>14</v>
      </c>
      <c r="E67" s="10" t="s">
        <v>14</v>
      </c>
      <c r="F67" s="10">
        <v>3276</v>
      </c>
      <c r="G67" s="10" t="s">
        <v>15</v>
      </c>
      <c r="H67" s="10" t="s">
        <v>17</v>
      </c>
      <c r="I67" s="10" t="s">
        <v>18</v>
      </c>
      <c r="J67" s="10" t="s">
        <v>19</v>
      </c>
      <c r="K67" s="10" t="s">
        <v>19</v>
      </c>
      <c r="L67" s="10" t="s">
        <v>19</v>
      </c>
      <c r="M67" s="12"/>
      <c r="N67" s="10" t="s">
        <v>20</v>
      </c>
      <c r="O67" s="10" t="s">
        <v>2054</v>
      </c>
      <c r="P67" s="25" t="str">
        <f>IFERROR(
IF(OR(O67="anulado",O67="stand by"),CONCATENATE(O67,": ",H67),
IF(OR(YEAR(M67)=2022,YEAR(M67)=2023),CONCATENATE("Se activó en ",YEAR(M67)),
IF(AND(OR(O67="En proceso",O67="facturando"),AND(J67="-",M67="")),"Por revisar",
IF(M67="",IF(J67="NUEVAS",CONCATENATE("Estado: ",O67,", ",J67),
IF(L67=Meses!$A$3,"Por revisar",
IF(H67="","Sin registro","En programación Frcst."))),"En programación")))),
"Error")</f>
        <v>Por revisar</v>
      </c>
      <c r="Q67" s="9" t="str">
        <f t="shared" si="3"/>
        <v>programación de act. NO, estado: Facturando, Comercializador: ENEL, Etapa: Instalado y Activado</v>
      </c>
      <c r="R67" s="25" t="str">
        <f>IF(P67="En programación Frcst.",VLOOKUP(L67,Meses!$A$1:$H$14,3+HLOOKUP(Cronograma!J67,Meses!$D$1:$G$2,2,FALSE),FALSE),
IF(P67="En programación",M67,""))</f>
        <v/>
      </c>
      <c r="S67" s="25" t="str">
        <f t="shared" ref="S67:S130" si="5">IFERROR(CONCATENATE(YEAR(R67),"/",MONTH(R67)),"")</f>
        <v/>
      </c>
      <c r="T67" s="21" t="str">
        <f>IFERROR(
(VLOOKUP(MONTH(R67),Meses!$B$3:$C$14,2,FALSE)-DAY(R67))/VLOOKUP(MONTH(R67),Meses!$B$3:$C$14,2,FALSE)*U67,
"")</f>
        <v/>
      </c>
      <c r="U67" s="22">
        <f t="shared" si="4"/>
        <v>3276</v>
      </c>
    </row>
    <row r="68" spans="1:21" ht="32.4" hidden="1" thickBot="1" x14ac:dyDescent="0.6">
      <c r="A68" s="10" t="s">
        <v>102</v>
      </c>
      <c r="B68" s="10" t="s">
        <v>106</v>
      </c>
      <c r="C68" s="12">
        <v>44889</v>
      </c>
      <c r="D68" s="10" t="s">
        <v>14</v>
      </c>
      <c r="E68" s="10" t="s">
        <v>14</v>
      </c>
      <c r="F68" s="10">
        <v>2579</v>
      </c>
      <c r="G68" s="10" t="s">
        <v>15</v>
      </c>
      <c r="H68" s="10" t="s">
        <v>17</v>
      </c>
      <c r="I68" s="10" t="s">
        <v>18</v>
      </c>
      <c r="J68" s="10" t="s">
        <v>19</v>
      </c>
      <c r="K68" s="10" t="s">
        <v>19</v>
      </c>
      <c r="L68" s="10" t="s">
        <v>19</v>
      </c>
      <c r="M68" s="12"/>
      <c r="N68" s="10" t="s">
        <v>20</v>
      </c>
      <c r="O68" s="10" t="s">
        <v>2054</v>
      </c>
      <c r="P68" s="25" t="str">
        <f>IFERROR(
IF(OR(O68="anulado",O68="stand by"),CONCATENATE(O68,": ",H68),
IF(OR(YEAR(M68)=2022,YEAR(M68)=2023),CONCATENATE("Se activó en ",YEAR(M68)),
IF(AND(OR(O68="En proceso",O68="facturando"),AND(J68="-",M68="")),"Por revisar",
IF(M68="",IF(J68="NUEVAS",CONCATENATE("Estado: ",O68,", ",J68),
IF(L68=Meses!$A$3,"Por revisar",
IF(H68="","Sin registro","En programación Frcst."))),"En programación")))),
"Error")</f>
        <v>Por revisar</v>
      </c>
      <c r="Q68" s="9" t="str">
        <f t="shared" si="3"/>
        <v>programación de act. NO, estado: Facturando, Comercializador: ENEL, Etapa: Instalado y Activado</v>
      </c>
      <c r="R68" s="25" t="str">
        <f>IF(P68="En programación Frcst.",VLOOKUP(L68,Meses!$A$1:$H$14,3+HLOOKUP(Cronograma!J68,Meses!$D$1:$G$2,2,FALSE),FALSE),
IF(P68="En programación",M68,""))</f>
        <v/>
      </c>
      <c r="S68" s="25" t="str">
        <f t="shared" si="5"/>
        <v/>
      </c>
      <c r="T68" s="21" t="str">
        <f>IFERROR(
(VLOOKUP(MONTH(R68),Meses!$B$3:$C$14,2,FALSE)-DAY(R68))/VLOOKUP(MONTH(R68),Meses!$B$3:$C$14,2,FALSE)*U68,
"")</f>
        <v/>
      </c>
      <c r="U68" s="22">
        <f t="shared" si="4"/>
        <v>2579</v>
      </c>
    </row>
    <row r="69" spans="1:21" ht="32.4" hidden="1" thickBot="1" x14ac:dyDescent="0.6">
      <c r="A69" s="10" t="s">
        <v>102</v>
      </c>
      <c r="B69" s="10" t="s">
        <v>107</v>
      </c>
      <c r="C69" s="12">
        <v>44889</v>
      </c>
      <c r="D69" s="10" t="s">
        <v>14</v>
      </c>
      <c r="E69" s="10" t="s">
        <v>14</v>
      </c>
      <c r="F69" s="10">
        <v>4015</v>
      </c>
      <c r="G69" s="10" t="s">
        <v>15</v>
      </c>
      <c r="H69" s="10" t="s">
        <v>17</v>
      </c>
      <c r="I69" s="10" t="s">
        <v>18</v>
      </c>
      <c r="J69" s="10" t="s">
        <v>19</v>
      </c>
      <c r="K69" s="10" t="s">
        <v>19</v>
      </c>
      <c r="L69" s="10" t="s">
        <v>19</v>
      </c>
      <c r="M69" s="12"/>
      <c r="N69" s="10" t="s">
        <v>20</v>
      </c>
      <c r="O69" s="10" t="s">
        <v>2054</v>
      </c>
      <c r="P69" s="25" t="str">
        <f>IFERROR(
IF(OR(O69="anulado",O69="stand by"),CONCATENATE(O69,": ",H69),
IF(OR(YEAR(M69)=2022,YEAR(M69)=2023),CONCATENATE("Se activó en ",YEAR(M69)),
IF(AND(OR(O69="En proceso",O69="facturando"),AND(J69="-",M69="")),"Por revisar",
IF(M69="",IF(J69="NUEVAS",CONCATENATE("Estado: ",O69,", ",J69),
IF(L69=Meses!$A$3,"Por revisar",
IF(H69="","Sin registro","En programación Frcst."))),"En programación")))),
"Error")</f>
        <v>Por revisar</v>
      </c>
      <c r="Q69" s="9" t="str">
        <f t="shared" si="3"/>
        <v>programación de act. NO, estado: Facturando, Comercializador: ENEL, Etapa: Instalado y Activado</v>
      </c>
      <c r="R69" s="25" t="str">
        <f>IF(P69="En programación Frcst.",VLOOKUP(L69,Meses!$A$1:$H$14,3+HLOOKUP(Cronograma!J69,Meses!$D$1:$G$2,2,FALSE),FALSE),
IF(P69="En programación",M69,""))</f>
        <v/>
      </c>
      <c r="S69" s="25" t="str">
        <f t="shared" si="5"/>
        <v/>
      </c>
      <c r="T69" s="21" t="str">
        <f>IFERROR(
(VLOOKUP(MONTH(R69),Meses!$B$3:$C$14,2,FALSE)-DAY(R69))/VLOOKUP(MONTH(R69),Meses!$B$3:$C$14,2,FALSE)*U69,
"")</f>
        <v/>
      </c>
      <c r="U69" s="22">
        <f t="shared" si="4"/>
        <v>4015</v>
      </c>
    </row>
    <row r="70" spans="1:21" ht="32.4" hidden="1" thickBot="1" x14ac:dyDescent="0.6">
      <c r="A70" s="10" t="s">
        <v>102</v>
      </c>
      <c r="B70" s="10" t="s">
        <v>108</v>
      </c>
      <c r="C70" s="12">
        <v>44889</v>
      </c>
      <c r="D70" s="10" t="s">
        <v>14</v>
      </c>
      <c r="E70" s="10" t="s">
        <v>14</v>
      </c>
      <c r="F70" s="10">
        <v>2894</v>
      </c>
      <c r="G70" s="10" t="s">
        <v>15</v>
      </c>
      <c r="H70" s="10" t="s">
        <v>17</v>
      </c>
      <c r="I70" s="10" t="s">
        <v>18</v>
      </c>
      <c r="J70" s="10" t="s">
        <v>19</v>
      </c>
      <c r="K70" s="10" t="s">
        <v>19</v>
      </c>
      <c r="L70" s="10" t="s">
        <v>19</v>
      </c>
      <c r="M70" s="12"/>
      <c r="N70" s="10" t="s">
        <v>20</v>
      </c>
      <c r="O70" s="10" t="s">
        <v>2054</v>
      </c>
      <c r="P70" s="25" t="str">
        <f>IFERROR(
IF(OR(O70="anulado",O70="stand by"),CONCATENATE(O70,": ",H70),
IF(OR(YEAR(M70)=2022,YEAR(M70)=2023),CONCATENATE("Se activó en ",YEAR(M70)),
IF(AND(OR(O70="En proceso",O70="facturando"),AND(J70="-",M70="")),"Por revisar",
IF(M70="",IF(J70="NUEVAS",CONCATENATE("Estado: ",O70,", ",J70),
IF(L70=Meses!$A$3,"Por revisar",
IF(H70="","Sin registro","En programación Frcst."))),"En programación")))),
"Error")</f>
        <v>Por revisar</v>
      </c>
      <c r="Q70" s="9" t="str">
        <f t="shared" si="3"/>
        <v>programación de act. NO, estado: Facturando, Comercializador: ENEL, Etapa: Instalado y Activado</v>
      </c>
      <c r="R70" s="25" t="str">
        <f>IF(P70="En programación Frcst.",VLOOKUP(L70,Meses!$A$1:$H$14,3+HLOOKUP(Cronograma!J70,Meses!$D$1:$G$2,2,FALSE),FALSE),
IF(P70="En programación",M70,""))</f>
        <v/>
      </c>
      <c r="S70" s="25" t="str">
        <f t="shared" si="5"/>
        <v/>
      </c>
      <c r="T70" s="21" t="str">
        <f>IFERROR(
(VLOOKUP(MONTH(R70),Meses!$B$3:$C$14,2,FALSE)-DAY(R70))/VLOOKUP(MONTH(R70),Meses!$B$3:$C$14,2,FALSE)*U70,
"")</f>
        <v/>
      </c>
      <c r="U70" s="22">
        <f t="shared" si="4"/>
        <v>2894</v>
      </c>
    </row>
    <row r="71" spans="1:21" ht="32.4" hidden="1" thickBot="1" x14ac:dyDescent="0.6">
      <c r="A71" s="10" t="s">
        <v>109</v>
      </c>
      <c r="B71" s="10" t="s">
        <v>110</v>
      </c>
      <c r="C71" s="12">
        <v>44882</v>
      </c>
      <c r="D71" s="10" t="s">
        <v>14</v>
      </c>
      <c r="E71" s="10" t="s">
        <v>14</v>
      </c>
      <c r="F71" s="10">
        <v>6334</v>
      </c>
      <c r="G71" s="10" t="s">
        <v>15</v>
      </c>
      <c r="H71" s="10" t="s">
        <v>17</v>
      </c>
      <c r="I71" s="10" t="s">
        <v>18</v>
      </c>
      <c r="J71" s="10" t="s">
        <v>19</v>
      </c>
      <c r="K71" s="10" t="s">
        <v>19</v>
      </c>
      <c r="L71" s="10" t="s">
        <v>19</v>
      </c>
      <c r="M71" s="12"/>
      <c r="N71" s="10" t="s">
        <v>20</v>
      </c>
      <c r="O71" s="10" t="s">
        <v>2054</v>
      </c>
      <c r="P71" s="25" t="str">
        <f>IFERROR(
IF(OR(O71="anulado",O71="stand by"),CONCATENATE(O71,": ",H71),
IF(OR(YEAR(M71)=2022,YEAR(M71)=2023),CONCATENATE("Se activó en ",YEAR(M71)),
IF(AND(OR(O71="En proceso",O71="facturando"),AND(J71="-",M71="")),"Por revisar",
IF(M71="",IF(J71="NUEVAS",CONCATENATE("Estado: ",O71,", ",J71),
IF(L71=Meses!$A$3,"Por revisar",
IF(H71="","Sin registro","En programación Frcst."))),"En programación")))),
"Error")</f>
        <v>Por revisar</v>
      </c>
      <c r="Q71" s="9" t="str">
        <f t="shared" si="3"/>
        <v>programación de act. NO, estado: Facturando, Comercializador: ENEL, Etapa: Instalado y Activado</v>
      </c>
      <c r="R71" s="25" t="str">
        <f>IF(P71="En programación Frcst.",VLOOKUP(L71,Meses!$A$1:$H$14,3+HLOOKUP(Cronograma!J71,Meses!$D$1:$G$2,2,FALSE),FALSE),
IF(P71="En programación",M71,""))</f>
        <v/>
      </c>
      <c r="S71" s="25" t="str">
        <f t="shared" si="5"/>
        <v/>
      </c>
      <c r="T71" s="21" t="str">
        <f>IFERROR(
(VLOOKUP(MONTH(R71),Meses!$B$3:$C$14,2,FALSE)-DAY(R71))/VLOOKUP(MONTH(R71),Meses!$B$3:$C$14,2,FALSE)*U71,
"")</f>
        <v/>
      </c>
      <c r="U71" s="22">
        <f t="shared" si="4"/>
        <v>6334</v>
      </c>
    </row>
    <row r="72" spans="1:21" ht="32.4" hidden="1" thickBot="1" x14ac:dyDescent="0.6">
      <c r="A72" s="10" t="s">
        <v>111</v>
      </c>
      <c r="B72" s="10" t="s">
        <v>112</v>
      </c>
      <c r="C72" s="12">
        <v>44896</v>
      </c>
      <c r="D72" s="10" t="s">
        <v>14</v>
      </c>
      <c r="E72" s="10" t="s">
        <v>14</v>
      </c>
      <c r="F72" s="10">
        <v>3308</v>
      </c>
      <c r="G72" s="10" t="s">
        <v>15</v>
      </c>
      <c r="H72" s="10" t="s">
        <v>17</v>
      </c>
      <c r="I72" s="10" t="s">
        <v>18</v>
      </c>
      <c r="J72" s="10" t="s">
        <v>19</v>
      </c>
      <c r="K72" s="10" t="s">
        <v>19</v>
      </c>
      <c r="L72" s="10" t="s">
        <v>19</v>
      </c>
      <c r="M72" s="12"/>
      <c r="N72" s="10" t="s">
        <v>20</v>
      </c>
      <c r="O72" s="10" t="s">
        <v>2054</v>
      </c>
      <c r="P72" s="25" t="str">
        <f>IFERROR(
IF(OR(O72="anulado",O72="stand by"),CONCATENATE(O72,": ",H72),
IF(OR(YEAR(M72)=2022,YEAR(M72)=2023),CONCATENATE("Se activó en ",YEAR(M72)),
IF(AND(OR(O72="En proceso",O72="facturando"),AND(J72="-",M72="")),"Por revisar",
IF(M72="",IF(J72="NUEVAS",CONCATENATE("Estado: ",O72,", ",J72),
IF(L72=Meses!$A$3,"Por revisar",
IF(H72="","Sin registro","En programación Frcst."))),"En programación")))),
"Error")</f>
        <v>Por revisar</v>
      </c>
      <c r="Q72" s="9" t="str">
        <f t="shared" si="3"/>
        <v>programación de act. NO, estado: Facturando, Comercializador: ENEL, Etapa: Instalado y Activado</v>
      </c>
      <c r="R72" s="25" t="str">
        <f>IF(P72="En programación Frcst.",VLOOKUP(L72,Meses!$A$1:$H$14,3+HLOOKUP(Cronograma!J72,Meses!$D$1:$G$2,2,FALSE),FALSE),
IF(P72="En programación",M72,""))</f>
        <v/>
      </c>
      <c r="S72" s="25" t="str">
        <f t="shared" si="5"/>
        <v/>
      </c>
      <c r="T72" s="21" t="str">
        <f>IFERROR(
(VLOOKUP(MONTH(R72),Meses!$B$3:$C$14,2,FALSE)-DAY(R72))/VLOOKUP(MONTH(R72),Meses!$B$3:$C$14,2,FALSE)*U72,
"")</f>
        <v/>
      </c>
      <c r="U72" s="22">
        <f t="shared" si="4"/>
        <v>3308</v>
      </c>
    </row>
    <row r="73" spans="1:21" ht="32.4" hidden="1" thickBot="1" x14ac:dyDescent="0.6">
      <c r="A73" s="10" t="s">
        <v>113</v>
      </c>
      <c r="B73" s="10" t="s">
        <v>114</v>
      </c>
      <c r="C73" s="12">
        <v>44903</v>
      </c>
      <c r="D73" s="10" t="s">
        <v>14</v>
      </c>
      <c r="E73" s="10" t="s">
        <v>14</v>
      </c>
      <c r="F73" s="10">
        <v>16668</v>
      </c>
      <c r="G73" s="10" t="s">
        <v>15</v>
      </c>
      <c r="H73" s="10" t="s">
        <v>17</v>
      </c>
      <c r="I73" s="10" t="s">
        <v>18</v>
      </c>
      <c r="J73" s="10" t="s">
        <v>19</v>
      </c>
      <c r="K73" s="10" t="s">
        <v>19</v>
      </c>
      <c r="L73" s="10" t="s">
        <v>19</v>
      </c>
      <c r="M73" s="12"/>
      <c r="N73" s="10" t="s">
        <v>20</v>
      </c>
      <c r="O73" s="10" t="s">
        <v>2054</v>
      </c>
      <c r="P73" s="25" t="str">
        <f>IFERROR(
IF(OR(O73="anulado",O73="stand by"),CONCATENATE(O73,": ",H73),
IF(OR(YEAR(M73)=2022,YEAR(M73)=2023),CONCATENATE("Se activó en ",YEAR(M73)),
IF(AND(OR(O73="En proceso",O73="facturando"),AND(J73="-",M73="")),"Por revisar",
IF(M73="",IF(J73="NUEVAS",CONCATENATE("Estado: ",O73,", ",J73),
IF(L73=Meses!$A$3,"Por revisar",
IF(H73="","Sin registro","En programación Frcst."))),"En programación")))),
"Error")</f>
        <v>Por revisar</v>
      </c>
      <c r="Q73" s="9" t="str">
        <f t="shared" si="3"/>
        <v>programación de act. NO, estado: Facturando, Comercializador: ENEL, Etapa: Instalado y Activado</v>
      </c>
      <c r="R73" s="25" t="str">
        <f>IF(P73="En programación Frcst.",VLOOKUP(L73,Meses!$A$1:$H$14,3+HLOOKUP(Cronograma!J73,Meses!$D$1:$G$2,2,FALSE),FALSE),
IF(P73="En programación",M73,""))</f>
        <v/>
      </c>
      <c r="S73" s="25" t="str">
        <f t="shared" si="5"/>
        <v/>
      </c>
      <c r="T73" s="21" t="str">
        <f>IFERROR(
(VLOOKUP(MONTH(R73),Meses!$B$3:$C$14,2,FALSE)-DAY(R73))/VLOOKUP(MONTH(R73),Meses!$B$3:$C$14,2,FALSE)*U73,
"")</f>
        <v/>
      </c>
      <c r="U73" s="22">
        <f t="shared" si="4"/>
        <v>16668</v>
      </c>
    </row>
    <row r="74" spans="1:21" ht="32.4" hidden="1" thickBot="1" x14ac:dyDescent="0.6">
      <c r="A74" s="10" t="s">
        <v>113</v>
      </c>
      <c r="B74" s="10" t="s">
        <v>115</v>
      </c>
      <c r="C74" s="12">
        <v>44903</v>
      </c>
      <c r="D74" s="10" t="s">
        <v>14</v>
      </c>
      <c r="E74" s="10" t="s">
        <v>14</v>
      </c>
      <c r="F74" s="10">
        <v>12527</v>
      </c>
      <c r="G74" s="10" t="s">
        <v>15</v>
      </c>
      <c r="H74" s="10" t="s">
        <v>17</v>
      </c>
      <c r="I74" s="10" t="s">
        <v>18</v>
      </c>
      <c r="J74" s="10" t="s">
        <v>19</v>
      </c>
      <c r="K74" s="10" t="s">
        <v>19</v>
      </c>
      <c r="L74" s="10" t="s">
        <v>19</v>
      </c>
      <c r="M74" s="12"/>
      <c r="N74" s="10" t="s">
        <v>20</v>
      </c>
      <c r="O74" s="10" t="s">
        <v>2054</v>
      </c>
      <c r="P74" s="25" t="str">
        <f>IFERROR(
IF(OR(O74="anulado",O74="stand by"),CONCATENATE(O74,": ",H74),
IF(OR(YEAR(M74)=2022,YEAR(M74)=2023),CONCATENATE("Se activó en ",YEAR(M74)),
IF(AND(OR(O74="En proceso",O74="facturando"),AND(J74="-",M74="")),"Por revisar",
IF(M74="",IF(J74="NUEVAS",CONCATENATE("Estado: ",O74,", ",J74),
IF(L74=Meses!$A$3,"Por revisar",
IF(H74="","Sin registro","En programación Frcst."))),"En programación")))),
"Error")</f>
        <v>Por revisar</v>
      </c>
      <c r="Q74" s="9" t="str">
        <f t="shared" si="3"/>
        <v>programación de act. NO, estado: Facturando, Comercializador: ENEL, Etapa: Instalado y Activado</v>
      </c>
      <c r="R74" s="25" t="str">
        <f>IF(P74="En programación Frcst.",VLOOKUP(L74,Meses!$A$1:$H$14,3+HLOOKUP(Cronograma!J74,Meses!$D$1:$G$2,2,FALSE),FALSE),
IF(P74="En programación",M74,""))</f>
        <v/>
      </c>
      <c r="S74" s="25" t="str">
        <f t="shared" si="5"/>
        <v/>
      </c>
      <c r="T74" s="21" t="str">
        <f>IFERROR(
(VLOOKUP(MONTH(R74),Meses!$B$3:$C$14,2,FALSE)-DAY(R74))/VLOOKUP(MONTH(R74),Meses!$B$3:$C$14,2,FALSE)*U74,
"")</f>
        <v/>
      </c>
      <c r="U74" s="22">
        <f t="shared" si="4"/>
        <v>12527</v>
      </c>
    </row>
    <row r="75" spans="1:21" ht="32.4" hidden="1" thickBot="1" x14ac:dyDescent="0.6">
      <c r="A75" s="10" t="s">
        <v>116</v>
      </c>
      <c r="B75" s="10" t="s">
        <v>117</v>
      </c>
      <c r="C75" s="12">
        <v>44910</v>
      </c>
      <c r="D75" s="10" t="s">
        <v>14</v>
      </c>
      <c r="E75" s="10" t="s">
        <v>14</v>
      </c>
      <c r="F75" s="10">
        <v>2364</v>
      </c>
      <c r="G75" s="10" t="s">
        <v>15</v>
      </c>
      <c r="H75" s="10" t="s">
        <v>17</v>
      </c>
      <c r="I75" s="10" t="s">
        <v>18</v>
      </c>
      <c r="J75" s="10" t="s">
        <v>19</v>
      </c>
      <c r="K75" s="10" t="s">
        <v>19</v>
      </c>
      <c r="L75" s="10" t="s">
        <v>19</v>
      </c>
      <c r="M75" s="12"/>
      <c r="N75" s="10" t="s">
        <v>20</v>
      </c>
      <c r="O75" s="10" t="s">
        <v>2054</v>
      </c>
      <c r="P75" s="25" t="str">
        <f>IFERROR(
IF(OR(O75="anulado",O75="stand by"),CONCATENATE(O75,": ",H75),
IF(OR(YEAR(M75)=2022,YEAR(M75)=2023),CONCATENATE("Se activó en ",YEAR(M75)),
IF(AND(OR(O75="En proceso",O75="facturando"),AND(J75="-",M75="")),"Por revisar",
IF(M75="",IF(J75="NUEVAS",CONCATENATE("Estado: ",O75,", ",J75),
IF(L75=Meses!$A$3,"Por revisar",
IF(H75="","Sin registro","En programación Frcst."))),"En programación")))),
"Error")</f>
        <v>Por revisar</v>
      </c>
      <c r="Q75" s="9" t="str">
        <f t="shared" si="3"/>
        <v>programación de act. NO, estado: Facturando, Comercializador: ENEL, Etapa: Instalado y Activado</v>
      </c>
      <c r="R75" s="25" t="str">
        <f>IF(P75="En programación Frcst.",VLOOKUP(L75,Meses!$A$1:$H$14,3+HLOOKUP(Cronograma!J75,Meses!$D$1:$G$2,2,FALSE),FALSE),
IF(P75="En programación",M75,""))</f>
        <v/>
      </c>
      <c r="S75" s="25" t="str">
        <f t="shared" si="5"/>
        <v/>
      </c>
      <c r="T75" s="21" t="str">
        <f>IFERROR(
(VLOOKUP(MONTH(R75),Meses!$B$3:$C$14,2,FALSE)-DAY(R75))/VLOOKUP(MONTH(R75),Meses!$B$3:$C$14,2,FALSE)*U75,
"")</f>
        <v/>
      </c>
      <c r="U75" s="22">
        <f t="shared" si="4"/>
        <v>2364</v>
      </c>
    </row>
    <row r="76" spans="1:21" ht="32.4" hidden="1" thickBot="1" x14ac:dyDescent="0.6">
      <c r="A76" s="10" t="s">
        <v>116</v>
      </c>
      <c r="B76" s="10" t="s">
        <v>118</v>
      </c>
      <c r="C76" s="12">
        <v>44910</v>
      </c>
      <c r="D76" s="10" t="s">
        <v>14</v>
      </c>
      <c r="E76" s="10" t="s">
        <v>14</v>
      </c>
      <c r="F76" s="10">
        <v>2300</v>
      </c>
      <c r="G76" s="10" t="s">
        <v>15</v>
      </c>
      <c r="H76" s="10" t="s">
        <v>17</v>
      </c>
      <c r="I76" s="10" t="s">
        <v>18</v>
      </c>
      <c r="J76" s="10" t="s">
        <v>19</v>
      </c>
      <c r="K76" s="10" t="s">
        <v>19</v>
      </c>
      <c r="L76" s="10" t="s">
        <v>19</v>
      </c>
      <c r="M76" s="12"/>
      <c r="N76" s="10" t="s">
        <v>20</v>
      </c>
      <c r="O76" s="10" t="s">
        <v>2054</v>
      </c>
      <c r="P76" s="25" t="str">
        <f>IFERROR(
IF(OR(O76="anulado",O76="stand by"),CONCATENATE(O76,": ",H76),
IF(OR(YEAR(M76)=2022,YEAR(M76)=2023),CONCATENATE("Se activó en ",YEAR(M76)),
IF(AND(OR(O76="En proceso",O76="facturando"),AND(J76="-",M76="")),"Por revisar",
IF(M76="",IF(J76="NUEVAS",CONCATENATE("Estado: ",O76,", ",J76),
IF(L76=Meses!$A$3,"Por revisar",
IF(H76="","Sin registro","En programación Frcst."))),"En programación")))),
"Error")</f>
        <v>Por revisar</v>
      </c>
      <c r="Q76" s="9" t="str">
        <f t="shared" si="3"/>
        <v>programación de act. NO, estado: Facturando, Comercializador: ENEL, Etapa: Instalado y Activado</v>
      </c>
      <c r="R76" s="25" t="str">
        <f>IF(P76="En programación Frcst.",VLOOKUP(L76,Meses!$A$1:$H$14,3+HLOOKUP(Cronograma!J76,Meses!$D$1:$G$2,2,FALSE),FALSE),
IF(P76="En programación",M76,""))</f>
        <v/>
      </c>
      <c r="S76" s="25" t="str">
        <f t="shared" si="5"/>
        <v/>
      </c>
      <c r="T76" s="21" t="str">
        <f>IFERROR(
(VLOOKUP(MONTH(R76),Meses!$B$3:$C$14,2,FALSE)-DAY(R76))/VLOOKUP(MONTH(R76),Meses!$B$3:$C$14,2,FALSE)*U76,
"")</f>
        <v/>
      </c>
      <c r="U76" s="22">
        <f t="shared" si="4"/>
        <v>2300</v>
      </c>
    </row>
    <row r="77" spans="1:21" ht="32.4" hidden="1" thickBot="1" x14ac:dyDescent="0.6">
      <c r="A77" s="10" t="s">
        <v>116</v>
      </c>
      <c r="B77" s="10" t="s">
        <v>119</v>
      </c>
      <c r="C77" s="12">
        <v>44910</v>
      </c>
      <c r="D77" s="10" t="s">
        <v>14</v>
      </c>
      <c r="E77" s="10" t="s">
        <v>14</v>
      </c>
      <c r="F77" s="10">
        <v>3054</v>
      </c>
      <c r="G77" s="10" t="s">
        <v>15</v>
      </c>
      <c r="H77" s="10" t="s">
        <v>17</v>
      </c>
      <c r="I77" s="10" t="s">
        <v>18</v>
      </c>
      <c r="J77" s="10" t="s">
        <v>19</v>
      </c>
      <c r="K77" s="10" t="s">
        <v>19</v>
      </c>
      <c r="L77" s="10" t="s">
        <v>19</v>
      </c>
      <c r="M77" s="12"/>
      <c r="N77" s="10" t="s">
        <v>20</v>
      </c>
      <c r="O77" s="10" t="s">
        <v>2054</v>
      </c>
      <c r="P77" s="25" t="str">
        <f>IFERROR(
IF(OR(O77="anulado",O77="stand by"),CONCATENATE(O77,": ",H77),
IF(OR(YEAR(M77)=2022,YEAR(M77)=2023),CONCATENATE("Se activó en ",YEAR(M77)),
IF(AND(OR(O77="En proceso",O77="facturando"),AND(J77="-",M77="")),"Por revisar",
IF(M77="",IF(J77="NUEVAS",CONCATENATE("Estado: ",O77,", ",J77),
IF(L77=Meses!$A$3,"Por revisar",
IF(H77="","Sin registro","En programación Frcst."))),"En programación")))),
"Error")</f>
        <v>Por revisar</v>
      </c>
      <c r="Q77" s="9" t="str">
        <f t="shared" si="3"/>
        <v>programación de act. NO, estado: Facturando, Comercializador: ENEL, Etapa: Instalado y Activado</v>
      </c>
      <c r="R77" s="25" t="str">
        <f>IF(P77="En programación Frcst.",VLOOKUP(L77,Meses!$A$1:$H$14,3+HLOOKUP(Cronograma!J77,Meses!$D$1:$G$2,2,FALSE),FALSE),
IF(P77="En programación",M77,""))</f>
        <v/>
      </c>
      <c r="S77" s="25" t="str">
        <f t="shared" si="5"/>
        <v/>
      </c>
      <c r="T77" s="21" t="str">
        <f>IFERROR(
(VLOOKUP(MONTH(R77),Meses!$B$3:$C$14,2,FALSE)-DAY(R77))/VLOOKUP(MONTH(R77),Meses!$B$3:$C$14,2,FALSE)*U77,
"")</f>
        <v/>
      </c>
      <c r="U77" s="22">
        <f t="shared" si="4"/>
        <v>3054</v>
      </c>
    </row>
    <row r="78" spans="1:21" ht="32.4" hidden="1" thickBot="1" x14ac:dyDescent="0.6">
      <c r="A78" s="10" t="s">
        <v>116</v>
      </c>
      <c r="B78" s="10" t="s">
        <v>120</v>
      </c>
      <c r="C78" s="12">
        <v>44910</v>
      </c>
      <c r="D78" s="10" t="s">
        <v>14</v>
      </c>
      <c r="E78" s="10" t="s">
        <v>14</v>
      </c>
      <c r="F78" s="10">
        <v>1972</v>
      </c>
      <c r="G78" s="10" t="s">
        <v>15</v>
      </c>
      <c r="H78" s="10" t="s">
        <v>17</v>
      </c>
      <c r="I78" s="10" t="s">
        <v>18</v>
      </c>
      <c r="J78" s="10" t="s">
        <v>19</v>
      </c>
      <c r="K78" s="10" t="s">
        <v>19</v>
      </c>
      <c r="L78" s="10" t="s">
        <v>19</v>
      </c>
      <c r="M78" s="12"/>
      <c r="N78" s="10" t="s">
        <v>20</v>
      </c>
      <c r="O78" s="10" t="s">
        <v>2054</v>
      </c>
      <c r="P78" s="25" t="str">
        <f>IFERROR(
IF(OR(O78="anulado",O78="stand by"),CONCATENATE(O78,": ",H78),
IF(OR(YEAR(M78)=2022,YEAR(M78)=2023),CONCATENATE("Se activó en ",YEAR(M78)),
IF(AND(OR(O78="En proceso",O78="facturando"),AND(J78="-",M78="")),"Por revisar",
IF(M78="",IF(J78="NUEVAS",CONCATENATE("Estado: ",O78,", ",J78),
IF(L78=Meses!$A$3,"Por revisar",
IF(H78="","Sin registro","En programación Frcst."))),"En programación")))),
"Error")</f>
        <v>Por revisar</v>
      </c>
      <c r="Q78" s="9" t="str">
        <f t="shared" si="3"/>
        <v>programación de act. NO, estado: Facturando, Comercializador: ENEL, Etapa: Instalado y Activado</v>
      </c>
      <c r="R78" s="25" t="str">
        <f>IF(P78="En programación Frcst.",VLOOKUP(L78,Meses!$A$1:$H$14,3+HLOOKUP(Cronograma!J78,Meses!$D$1:$G$2,2,FALSE),FALSE),
IF(P78="En programación",M78,""))</f>
        <v/>
      </c>
      <c r="S78" s="25" t="str">
        <f t="shared" si="5"/>
        <v/>
      </c>
      <c r="T78" s="21" t="str">
        <f>IFERROR(
(VLOOKUP(MONTH(R78),Meses!$B$3:$C$14,2,FALSE)-DAY(R78))/VLOOKUP(MONTH(R78),Meses!$B$3:$C$14,2,FALSE)*U78,
"")</f>
        <v/>
      </c>
      <c r="U78" s="22">
        <f t="shared" si="4"/>
        <v>1972</v>
      </c>
    </row>
    <row r="79" spans="1:21" ht="32.4" hidden="1" thickBot="1" x14ac:dyDescent="0.6">
      <c r="A79" s="10" t="s">
        <v>116</v>
      </c>
      <c r="B79" s="10" t="s">
        <v>121</v>
      </c>
      <c r="C79" s="12">
        <v>44910</v>
      </c>
      <c r="D79" s="10" t="s">
        <v>14</v>
      </c>
      <c r="E79" s="10" t="s">
        <v>14</v>
      </c>
      <c r="F79" s="10">
        <v>2735</v>
      </c>
      <c r="G79" s="10" t="s">
        <v>15</v>
      </c>
      <c r="H79" s="10" t="s">
        <v>17</v>
      </c>
      <c r="I79" s="10" t="s">
        <v>18</v>
      </c>
      <c r="J79" s="10" t="s">
        <v>19</v>
      </c>
      <c r="K79" s="10" t="s">
        <v>19</v>
      </c>
      <c r="L79" s="10" t="s">
        <v>19</v>
      </c>
      <c r="M79" s="12"/>
      <c r="N79" s="10" t="s">
        <v>20</v>
      </c>
      <c r="O79" s="10" t="s">
        <v>2054</v>
      </c>
      <c r="P79" s="25" t="str">
        <f>IFERROR(
IF(OR(O79="anulado",O79="stand by"),CONCATENATE(O79,": ",H79),
IF(OR(YEAR(M79)=2022,YEAR(M79)=2023),CONCATENATE("Se activó en ",YEAR(M79)),
IF(AND(OR(O79="En proceso",O79="facturando"),AND(J79="-",M79="")),"Por revisar",
IF(M79="",IF(J79="NUEVAS",CONCATENATE("Estado: ",O79,", ",J79),
IF(L79=Meses!$A$3,"Por revisar",
IF(H79="","Sin registro","En programación Frcst."))),"En programación")))),
"Error")</f>
        <v>Por revisar</v>
      </c>
      <c r="Q79" s="9" t="str">
        <f t="shared" si="3"/>
        <v>programación de act. NO, estado: Facturando, Comercializador: ENEL, Etapa: Instalado y Activado</v>
      </c>
      <c r="R79" s="25" t="str">
        <f>IF(P79="En programación Frcst.",VLOOKUP(L79,Meses!$A$1:$H$14,3+HLOOKUP(Cronograma!J79,Meses!$D$1:$G$2,2,FALSE),FALSE),
IF(P79="En programación",M79,""))</f>
        <v/>
      </c>
      <c r="S79" s="25" t="str">
        <f t="shared" si="5"/>
        <v/>
      </c>
      <c r="T79" s="21" t="str">
        <f>IFERROR(
(VLOOKUP(MONTH(R79),Meses!$B$3:$C$14,2,FALSE)-DAY(R79))/VLOOKUP(MONTH(R79),Meses!$B$3:$C$14,2,FALSE)*U79,
"")</f>
        <v/>
      </c>
      <c r="U79" s="22">
        <f t="shared" si="4"/>
        <v>2735</v>
      </c>
    </row>
    <row r="80" spans="1:21" ht="32.4" hidden="1" thickBot="1" x14ac:dyDescent="0.6">
      <c r="A80" s="10" t="s">
        <v>116</v>
      </c>
      <c r="B80" s="10" t="s">
        <v>122</v>
      </c>
      <c r="C80" s="12">
        <v>44910</v>
      </c>
      <c r="D80" s="10" t="s">
        <v>14</v>
      </c>
      <c r="E80" s="10" t="s">
        <v>14</v>
      </c>
      <c r="F80" s="10">
        <v>2628.8</v>
      </c>
      <c r="G80" s="10" t="s">
        <v>15</v>
      </c>
      <c r="H80" s="10" t="s">
        <v>17</v>
      </c>
      <c r="I80" s="10" t="s">
        <v>18</v>
      </c>
      <c r="J80" s="10" t="s">
        <v>19</v>
      </c>
      <c r="K80" s="10" t="s">
        <v>19</v>
      </c>
      <c r="L80" s="10" t="s">
        <v>19</v>
      </c>
      <c r="M80" s="12"/>
      <c r="N80" s="10" t="s">
        <v>20</v>
      </c>
      <c r="O80" s="10" t="s">
        <v>2054</v>
      </c>
      <c r="P80" s="25" t="str">
        <f>IFERROR(
IF(OR(O80="anulado",O80="stand by"),CONCATENATE(O80,": ",H80),
IF(OR(YEAR(M80)=2022,YEAR(M80)=2023),CONCATENATE("Se activó en ",YEAR(M80)),
IF(AND(OR(O80="En proceso",O80="facturando"),AND(J80="-",M80="")),"Por revisar",
IF(M80="",IF(J80="NUEVAS",CONCATENATE("Estado: ",O80,", ",J80),
IF(L80=Meses!$A$3,"Por revisar",
IF(H80="","Sin registro","En programación Frcst."))),"En programación")))),
"Error")</f>
        <v>Por revisar</v>
      </c>
      <c r="Q80" s="9" t="str">
        <f t="shared" si="3"/>
        <v>programación de act. NO, estado: Facturando, Comercializador: ENEL, Etapa: Instalado y Activado</v>
      </c>
      <c r="R80" s="25" t="str">
        <f>IF(P80="En programación Frcst.",VLOOKUP(L80,Meses!$A$1:$H$14,3+HLOOKUP(Cronograma!J80,Meses!$D$1:$G$2,2,FALSE),FALSE),
IF(P80="En programación",M80,""))</f>
        <v/>
      </c>
      <c r="S80" s="25" t="str">
        <f t="shared" si="5"/>
        <v/>
      </c>
      <c r="T80" s="21" t="str">
        <f>IFERROR(
(VLOOKUP(MONTH(R80),Meses!$B$3:$C$14,2,FALSE)-DAY(R80))/VLOOKUP(MONTH(R80),Meses!$B$3:$C$14,2,FALSE)*U80,
"")</f>
        <v/>
      </c>
      <c r="U80" s="22">
        <f t="shared" si="4"/>
        <v>2628.8</v>
      </c>
    </row>
    <row r="81" spans="1:21" ht="32.4" hidden="1" thickBot="1" x14ac:dyDescent="0.6">
      <c r="A81" s="10" t="s">
        <v>116</v>
      </c>
      <c r="B81" s="10" t="s">
        <v>123</v>
      </c>
      <c r="C81" s="12">
        <v>44910</v>
      </c>
      <c r="D81" s="10" t="s">
        <v>14</v>
      </c>
      <c r="E81" s="10" t="s">
        <v>14</v>
      </c>
      <c r="F81" s="10">
        <v>3641.4</v>
      </c>
      <c r="G81" s="10" t="s">
        <v>15</v>
      </c>
      <c r="H81" s="10" t="s">
        <v>17</v>
      </c>
      <c r="I81" s="10" t="s">
        <v>18</v>
      </c>
      <c r="J81" s="10" t="s">
        <v>19</v>
      </c>
      <c r="K81" s="10" t="s">
        <v>19</v>
      </c>
      <c r="L81" s="10" t="s">
        <v>19</v>
      </c>
      <c r="M81" s="12"/>
      <c r="N81" s="10" t="s">
        <v>20</v>
      </c>
      <c r="O81" s="10" t="s">
        <v>2054</v>
      </c>
      <c r="P81" s="25" t="str">
        <f>IFERROR(
IF(OR(O81="anulado",O81="stand by"),CONCATENATE(O81,": ",H81),
IF(OR(YEAR(M81)=2022,YEAR(M81)=2023),CONCATENATE("Se activó en ",YEAR(M81)),
IF(AND(OR(O81="En proceso",O81="facturando"),AND(J81="-",M81="")),"Por revisar",
IF(M81="",IF(J81="NUEVAS",CONCATENATE("Estado: ",O81,", ",J81),
IF(L81=Meses!$A$3,"Por revisar",
IF(H81="","Sin registro","En programación Frcst."))),"En programación")))),
"Error")</f>
        <v>Por revisar</v>
      </c>
      <c r="Q81" s="9" t="str">
        <f t="shared" si="3"/>
        <v>programación de act. NO, estado: Facturando, Comercializador: ENEL, Etapa: Instalado y Activado</v>
      </c>
      <c r="R81" s="25" t="str">
        <f>IF(P81="En programación Frcst.",VLOOKUP(L81,Meses!$A$1:$H$14,3+HLOOKUP(Cronograma!J81,Meses!$D$1:$G$2,2,FALSE),FALSE),
IF(P81="En programación",M81,""))</f>
        <v/>
      </c>
      <c r="S81" s="25" t="str">
        <f t="shared" si="5"/>
        <v/>
      </c>
      <c r="T81" s="21" t="str">
        <f>IFERROR(
(VLOOKUP(MONTH(R81),Meses!$B$3:$C$14,2,FALSE)-DAY(R81))/VLOOKUP(MONTH(R81),Meses!$B$3:$C$14,2,FALSE)*U81,
"")</f>
        <v/>
      </c>
      <c r="U81" s="22">
        <f t="shared" si="4"/>
        <v>3641.4</v>
      </c>
    </row>
    <row r="82" spans="1:21" ht="32.4" hidden="1" thickBot="1" x14ac:dyDescent="0.6">
      <c r="A82" s="10" t="s">
        <v>116</v>
      </c>
      <c r="B82" s="10" t="s">
        <v>124</v>
      </c>
      <c r="C82" s="12">
        <v>44910</v>
      </c>
      <c r="D82" s="10" t="s">
        <v>14</v>
      </c>
      <c r="E82" s="10" t="s">
        <v>14</v>
      </c>
      <c r="F82" s="10">
        <v>3496.8</v>
      </c>
      <c r="G82" s="10" t="s">
        <v>15</v>
      </c>
      <c r="H82" s="10" t="s">
        <v>17</v>
      </c>
      <c r="I82" s="10" t="s">
        <v>18</v>
      </c>
      <c r="J82" s="10" t="s">
        <v>19</v>
      </c>
      <c r="K82" s="10" t="s">
        <v>19</v>
      </c>
      <c r="L82" s="10" t="s">
        <v>19</v>
      </c>
      <c r="M82" s="12"/>
      <c r="N82" s="10" t="s">
        <v>20</v>
      </c>
      <c r="O82" s="10" t="s">
        <v>2054</v>
      </c>
      <c r="P82" s="25" t="str">
        <f>IFERROR(
IF(OR(O82="anulado",O82="stand by"),CONCATENATE(O82,": ",H82),
IF(OR(YEAR(M82)=2022,YEAR(M82)=2023),CONCATENATE("Se activó en ",YEAR(M82)),
IF(AND(OR(O82="En proceso",O82="facturando"),AND(J82="-",M82="")),"Por revisar",
IF(M82="",IF(J82="NUEVAS",CONCATENATE("Estado: ",O82,", ",J82),
IF(L82=Meses!$A$3,"Por revisar",
IF(H82="","Sin registro","En programación Frcst."))),"En programación")))),
"Error")</f>
        <v>Por revisar</v>
      </c>
      <c r="Q82" s="9" t="str">
        <f t="shared" si="3"/>
        <v>programación de act. NO, estado: Facturando, Comercializador: ENEL, Etapa: Instalado y Activado</v>
      </c>
      <c r="R82" s="25" t="str">
        <f>IF(P82="En programación Frcst.",VLOOKUP(L82,Meses!$A$1:$H$14,3+HLOOKUP(Cronograma!J82,Meses!$D$1:$G$2,2,FALSE),FALSE),
IF(P82="En programación",M82,""))</f>
        <v/>
      </c>
      <c r="S82" s="25" t="str">
        <f t="shared" si="5"/>
        <v/>
      </c>
      <c r="T82" s="21" t="str">
        <f>IFERROR(
(VLOOKUP(MONTH(R82),Meses!$B$3:$C$14,2,FALSE)-DAY(R82))/VLOOKUP(MONTH(R82),Meses!$B$3:$C$14,2,FALSE)*U82,
"")</f>
        <v/>
      </c>
      <c r="U82" s="22">
        <f t="shared" si="4"/>
        <v>3496.8</v>
      </c>
    </row>
    <row r="83" spans="1:21" ht="32.4" hidden="1" thickBot="1" x14ac:dyDescent="0.6">
      <c r="A83" s="10" t="s">
        <v>116</v>
      </c>
      <c r="B83" s="10" t="s">
        <v>125</v>
      </c>
      <c r="C83" s="12">
        <v>44910</v>
      </c>
      <c r="D83" s="10" t="s">
        <v>14</v>
      </c>
      <c r="E83" s="10" t="s">
        <v>14</v>
      </c>
      <c r="F83" s="10">
        <v>6432</v>
      </c>
      <c r="G83" s="10" t="s">
        <v>15</v>
      </c>
      <c r="H83" s="10" t="s">
        <v>17</v>
      </c>
      <c r="I83" s="10" t="s">
        <v>18</v>
      </c>
      <c r="J83" s="10" t="s">
        <v>19</v>
      </c>
      <c r="K83" s="10" t="s">
        <v>19</v>
      </c>
      <c r="L83" s="10" t="s">
        <v>19</v>
      </c>
      <c r="M83" s="12"/>
      <c r="N83" s="10" t="s">
        <v>20</v>
      </c>
      <c r="O83" s="10" t="s">
        <v>2054</v>
      </c>
      <c r="P83" s="25" t="str">
        <f>IFERROR(
IF(OR(O83="anulado",O83="stand by"),CONCATENATE(O83,": ",H83),
IF(OR(YEAR(M83)=2022,YEAR(M83)=2023),CONCATENATE("Se activó en ",YEAR(M83)),
IF(AND(OR(O83="En proceso",O83="facturando"),AND(J83="-",M83="")),"Por revisar",
IF(M83="",IF(J83="NUEVAS",CONCATENATE("Estado: ",O83,", ",J83),
IF(L83=Meses!$A$3,"Por revisar",
IF(H83="","Sin registro","En programación Frcst."))),"En programación")))),
"Error")</f>
        <v>Por revisar</v>
      </c>
      <c r="Q83" s="9" t="str">
        <f t="shared" si="3"/>
        <v>programación de act. NO, estado: Facturando, Comercializador: ENEL, Etapa: Instalado y Activado</v>
      </c>
      <c r="R83" s="25" t="str">
        <f>IF(P83="En programación Frcst.",VLOOKUP(L83,Meses!$A$1:$H$14,3+HLOOKUP(Cronograma!J83,Meses!$D$1:$G$2,2,FALSE),FALSE),
IF(P83="En programación",M83,""))</f>
        <v/>
      </c>
      <c r="S83" s="25" t="str">
        <f t="shared" si="5"/>
        <v/>
      </c>
      <c r="T83" s="21" t="str">
        <f>IFERROR(
(VLOOKUP(MONTH(R83),Meses!$B$3:$C$14,2,FALSE)-DAY(R83))/VLOOKUP(MONTH(R83),Meses!$B$3:$C$14,2,FALSE)*U83,
"")</f>
        <v/>
      </c>
      <c r="U83" s="22">
        <f t="shared" si="4"/>
        <v>6432</v>
      </c>
    </row>
    <row r="84" spans="1:21" ht="32.4" hidden="1" thickBot="1" x14ac:dyDescent="0.6">
      <c r="A84" s="10" t="s">
        <v>116</v>
      </c>
      <c r="B84" s="10" t="s">
        <v>126</v>
      </c>
      <c r="C84" s="12">
        <v>44910</v>
      </c>
      <c r="D84" s="10" t="s">
        <v>14</v>
      </c>
      <c r="E84" s="10" t="s">
        <v>14</v>
      </c>
      <c r="F84" s="10">
        <v>2991.4</v>
      </c>
      <c r="G84" s="10" t="s">
        <v>15</v>
      </c>
      <c r="H84" s="10" t="s">
        <v>17</v>
      </c>
      <c r="I84" s="10" t="s">
        <v>18</v>
      </c>
      <c r="J84" s="10" t="s">
        <v>19</v>
      </c>
      <c r="K84" s="10" t="s">
        <v>19</v>
      </c>
      <c r="L84" s="10" t="s">
        <v>19</v>
      </c>
      <c r="M84" s="12"/>
      <c r="N84" s="10" t="s">
        <v>20</v>
      </c>
      <c r="O84" s="10" t="s">
        <v>2054</v>
      </c>
      <c r="P84" s="25" t="str">
        <f>IFERROR(
IF(OR(O84="anulado",O84="stand by"),CONCATENATE(O84,": ",H84),
IF(OR(YEAR(M84)=2022,YEAR(M84)=2023),CONCATENATE("Se activó en ",YEAR(M84)),
IF(AND(OR(O84="En proceso",O84="facturando"),AND(J84="-",M84="")),"Por revisar",
IF(M84="",IF(J84="NUEVAS",CONCATENATE("Estado: ",O84,", ",J84),
IF(L84=Meses!$A$3,"Por revisar",
IF(H84="","Sin registro","En programación Frcst."))),"En programación")))),
"Error")</f>
        <v>Por revisar</v>
      </c>
      <c r="Q84" s="9" t="str">
        <f t="shared" si="3"/>
        <v>programación de act. NO, estado: Facturando, Comercializador: ENEL, Etapa: Instalado y Activado</v>
      </c>
      <c r="R84" s="25" t="str">
        <f>IF(P84="En programación Frcst.",VLOOKUP(L84,Meses!$A$1:$H$14,3+HLOOKUP(Cronograma!J84,Meses!$D$1:$G$2,2,FALSE),FALSE),
IF(P84="En programación",M84,""))</f>
        <v/>
      </c>
      <c r="S84" s="25" t="str">
        <f t="shared" si="5"/>
        <v/>
      </c>
      <c r="T84" s="21" t="str">
        <f>IFERROR(
(VLOOKUP(MONTH(R84),Meses!$B$3:$C$14,2,FALSE)-DAY(R84))/VLOOKUP(MONTH(R84),Meses!$B$3:$C$14,2,FALSE)*U84,
"")</f>
        <v/>
      </c>
      <c r="U84" s="22">
        <f t="shared" si="4"/>
        <v>2991.4</v>
      </c>
    </row>
    <row r="85" spans="1:21" ht="32.4" hidden="1" thickBot="1" x14ac:dyDescent="0.6">
      <c r="A85" s="10" t="s">
        <v>116</v>
      </c>
      <c r="B85" s="10" t="s">
        <v>127</v>
      </c>
      <c r="C85" s="12">
        <v>44910</v>
      </c>
      <c r="D85" s="10" t="s">
        <v>14</v>
      </c>
      <c r="E85" s="10" t="s">
        <v>14</v>
      </c>
      <c r="F85" s="10">
        <v>2842.8</v>
      </c>
      <c r="G85" s="10" t="s">
        <v>15</v>
      </c>
      <c r="H85" s="10" t="s">
        <v>17</v>
      </c>
      <c r="I85" s="10" t="s">
        <v>18</v>
      </c>
      <c r="J85" s="10" t="s">
        <v>19</v>
      </c>
      <c r="K85" s="10" t="s">
        <v>19</v>
      </c>
      <c r="L85" s="10" t="s">
        <v>19</v>
      </c>
      <c r="M85" s="12"/>
      <c r="N85" s="10" t="s">
        <v>20</v>
      </c>
      <c r="O85" s="10" t="s">
        <v>2054</v>
      </c>
      <c r="P85" s="25" t="str">
        <f>IFERROR(
IF(OR(O85="anulado",O85="stand by"),CONCATENATE(O85,": ",H85),
IF(OR(YEAR(M85)=2022,YEAR(M85)=2023),CONCATENATE("Se activó en ",YEAR(M85)),
IF(AND(OR(O85="En proceso",O85="facturando"),AND(J85="-",M85="")),"Por revisar",
IF(M85="",IF(J85="NUEVAS",CONCATENATE("Estado: ",O85,", ",J85),
IF(L85=Meses!$A$3,"Por revisar",
IF(H85="","Sin registro","En programación Frcst."))),"En programación")))),
"Error")</f>
        <v>Por revisar</v>
      </c>
      <c r="Q85" s="9" t="str">
        <f t="shared" si="3"/>
        <v>programación de act. NO, estado: Facturando, Comercializador: ENEL, Etapa: Instalado y Activado</v>
      </c>
      <c r="R85" s="25" t="str">
        <f>IF(P85="En programación Frcst.",VLOOKUP(L85,Meses!$A$1:$H$14,3+HLOOKUP(Cronograma!J85,Meses!$D$1:$G$2,2,FALSE),FALSE),
IF(P85="En programación",M85,""))</f>
        <v/>
      </c>
      <c r="S85" s="25" t="str">
        <f t="shared" si="5"/>
        <v/>
      </c>
      <c r="T85" s="21" t="str">
        <f>IFERROR(
(VLOOKUP(MONTH(R85),Meses!$B$3:$C$14,2,FALSE)-DAY(R85))/VLOOKUP(MONTH(R85),Meses!$B$3:$C$14,2,FALSE)*U85,
"")</f>
        <v/>
      </c>
      <c r="U85" s="22">
        <f t="shared" si="4"/>
        <v>2842.8</v>
      </c>
    </row>
    <row r="86" spans="1:21" ht="32.4" hidden="1" thickBot="1" x14ac:dyDescent="0.6">
      <c r="A86" s="10" t="s">
        <v>116</v>
      </c>
      <c r="B86" s="10" t="s">
        <v>128</v>
      </c>
      <c r="C86" s="12">
        <v>44917</v>
      </c>
      <c r="D86" s="10" t="s">
        <v>14</v>
      </c>
      <c r="E86" s="10" t="s">
        <v>14</v>
      </c>
      <c r="F86" s="10">
        <v>662.6</v>
      </c>
      <c r="G86" s="10" t="s">
        <v>15</v>
      </c>
      <c r="H86" s="10" t="s">
        <v>17</v>
      </c>
      <c r="I86" s="10" t="s">
        <v>18</v>
      </c>
      <c r="J86" s="10" t="s">
        <v>19</v>
      </c>
      <c r="K86" s="10" t="s">
        <v>19</v>
      </c>
      <c r="L86" s="10" t="s">
        <v>19</v>
      </c>
      <c r="M86" s="12"/>
      <c r="N86" s="10" t="s">
        <v>20</v>
      </c>
      <c r="O86" s="10" t="s">
        <v>2054</v>
      </c>
      <c r="P86" s="25" t="str">
        <f>IFERROR(
IF(OR(O86="anulado",O86="stand by"),CONCATENATE(O86,": ",H86),
IF(OR(YEAR(M86)=2022,YEAR(M86)=2023),CONCATENATE("Se activó en ",YEAR(M86)),
IF(AND(OR(O86="En proceso",O86="facturando"),AND(J86="-",M86="")),"Por revisar",
IF(M86="",IF(J86="NUEVAS",CONCATENATE("Estado: ",O86,", ",J86),
IF(L86=Meses!$A$3,"Por revisar",
IF(H86="","Sin registro","En programación Frcst."))),"En programación")))),
"Error")</f>
        <v>Por revisar</v>
      </c>
      <c r="Q86" s="9" t="str">
        <f t="shared" si="3"/>
        <v>programación de act. NO, estado: Facturando, Comercializador: ENEL, Etapa: Instalado y Activado</v>
      </c>
      <c r="R86" s="25" t="str">
        <f>IF(P86="En programación Frcst.",VLOOKUP(L86,Meses!$A$1:$H$14,3+HLOOKUP(Cronograma!J86,Meses!$D$1:$G$2,2,FALSE),FALSE),
IF(P86="En programación",M86,""))</f>
        <v/>
      </c>
      <c r="S86" s="25" t="str">
        <f t="shared" si="5"/>
        <v/>
      </c>
      <c r="T86" s="21" t="str">
        <f>IFERROR(
(VLOOKUP(MONTH(R86),Meses!$B$3:$C$14,2,FALSE)-DAY(R86))/VLOOKUP(MONTH(R86),Meses!$B$3:$C$14,2,FALSE)*U86,
"")</f>
        <v/>
      </c>
      <c r="U86" s="22">
        <f t="shared" si="4"/>
        <v>662.6</v>
      </c>
    </row>
    <row r="87" spans="1:21" ht="32.4" hidden="1" thickBot="1" x14ac:dyDescent="0.6">
      <c r="A87" s="10" t="s">
        <v>116</v>
      </c>
      <c r="B87" s="10" t="s">
        <v>129</v>
      </c>
      <c r="C87" s="12">
        <v>44917</v>
      </c>
      <c r="D87" s="10" t="s">
        <v>14</v>
      </c>
      <c r="E87" s="10" t="s">
        <v>14</v>
      </c>
      <c r="F87" s="10">
        <v>1190</v>
      </c>
      <c r="G87" s="10" t="s">
        <v>15</v>
      </c>
      <c r="H87" s="10" t="s">
        <v>17</v>
      </c>
      <c r="I87" s="10" t="s">
        <v>18</v>
      </c>
      <c r="J87" s="10" t="s">
        <v>19</v>
      </c>
      <c r="K87" s="10" t="s">
        <v>19</v>
      </c>
      <c r="L87" s="10" t="s">
        <v>19</v>
      </c>
      <c r="M87" s="12"/>
      <c r="N87" s="10" t="s">
        <v>20</v>
      </c>
      <c r="O87" s="10" t="s">
        <v>2054</v>
      </c>
      <c r="P87" s="25" t="str">
        <f>IFERROR(
IF(OR(O87="anulado",O87="stand by"),CONCATENATE(O87,": ",H87),
IF(OR(YEAR(M87)=2022,YEAR(M87)=2023),CONCATENATE("Se activó en ",YEAR(M87)),
IF(AND(OR(O87="En proceso",O87="facturando"),AND(J87="-",M87="")),"Por revisar",
IF(M87="",IF(J87="NUEVAS",CONCATENATE("Estado: ",O87,", ",J87),
IF(L87=Meses!$A$3,"Por revisar",
IF(H87="","Sin registro","En programación Frcst."))),"En programación")))),
"Error")</f>
        <v>Por revisar</v>
      </c>
      <c r="Q87" s="9" t="str">
        <f t="shared" si="3"/>
        <v>programación de act. NO, estado: Facturando, Comercializador: ENEL, Etapa: Instalado y Activado</v>
      </c>
      <c r="R87" s="25" t="str">
        <f>IF(P87="En programación Frcst.",VLOOKUP(L87,Meses!$A$1:$H$14,3+HLOOKUP(Cronograma!J87,Meses!$D$1:$G$2,2,FALSE),FALSE),
IF(P87="En programación",M87,""))</f>
        <v/>
      </c>
      <c r="S87" s="25" t="str">
        <f t="shared" si="5"/>
        <v/>
      </c>
      <c r="T87" s="21" t="str">
        <f>IFERROR(
(VLOOKUP(MONTH(R87),Meses!$B$3:$C$14,2,FALSE)-DAY(R87))/VLOOKUP(MONTH(R87),Meses!$B$3:$C$14,2,FALSE)*U87,
"")</f>
        <v/>
      </c>
      <c r="U87" s="22">
        <f t="shared" si="4"/>
        <v>1190</v>
      </c>
    </row>
    <row r="88" spans="1:21" ht="32.4" hidden="1" thickBot="1" x14ac:dyDescent="0.6">
      <c r="A88" s="10" t="s">
        <v>116</v>
      </c>
      <c r="B88" s="10" t="s">
        <v>130</v>
      </c>
      <c r="C88" s="12">
        <v>44917</v>
      </c>
      <c r="D88" s="10" t="s">
        <v>14</v>
      </c>
      <c r="E88" s="10" t="s">
        <v>14</v>
      </c>
      <c r="F88" s="10">
        <v>3164</v>
      </c>
      <c r="G88" s="10" t="s">
        <v>15</v>
      </c>
      <c r="H88" s="10" t="s">
        <v>17</v>
      </c>
      <c r="I88" s="10" t="s">
        <v>18</v>
      </c>
      <c r="J88" s="10" t="s">
        <v>19</v>
      </c>
      <c r="K88" s="10" t="s">
        <v>19</v>
      </c>
      <c r="L88" s="10" t="s">
        <v>19</v>
      </c>
      <c r="M88" s="12"/>
      <c r="N88" s="10" t="s">
        <v>20</v>
      </c>
      <c r="O88" s="10" t="s">
        <v>2054</v>
      </c>
      <c r="P88" s="25" t="str">
        <f>IFERROR(
IF(OR(O88="anulado",O88="stand by"),CONCATENATE(O88,": ",H88),
IF(OR(YEAR(M88)=2022,YEAR(M88)=2023),CONCATENATE("Se activó en ",YEAR(M88)),
IF(AND(OR(O88="En proceso",O88="facturando"),AND(J88="-",M88="")),"Por revisar",
IF(M88="",IF(J88="NUEVAS",CONCATENATE("Estado: ",O88,", ",J88),
IF(L88=Meses!$A$3,"Por revisar",
IF(H88="","Sin registro","En programación Frcst."))),"En programación")))),
"Error")</f>
        <v>Por revisar</v>
      </c>
      <c r="Q88" s="9" t="str">
        <f t="shared" si="3"/>
        <v>programación de act. NO, estado: Facturando, Comercializador: ENEL, Etapa: Instalado y Activado</v>
      </c>
      <c r="R88" s="25" t="str">
        <f>IF(P88="En programación Frcst.",VLOOKUP(L88,Meses!$A$1:$H$14,3+HLOOKUP(Cronograma!J88,Meses!$D$1:$G$2,2,FALSE),FALSE),
IF(P88="En programación",M88,""))</f>
        <v/>
      </c>
      <c r="S88" s="25" t="str">
        <f t="shared" si="5"/>
        <v/>
      </c>
      <c r="T88" s="21" t="str">
        <f>IFERROR(
(VLOOKUP(MONTH(R88),Meses!$B$3:$C$14,2,FALSE)-DAY(R88))/VLOOKUP(MONTH(R88),Meses!$B$3:$C$14,2,FALSE)*U88,
"")</f>
        <v/>
      </c>
      <c r="U88" s="22">
        <f t="shared" si="4"/>
        <v>3164</v>
      </c>
    </row>
    <row r="89" spans="1:21" ht="32.4" hidden="1" thickBot="1" x14ac:dyDescent="0.6">
      <c r="A89" s="10" t="s">
        <v>116</v>
      </c>
      <c r="B89" s="10" t="s">
        <v>131</v>
      </c>
      <c r="C89" s="12">
        <v>44917</v>
      </c>
      <c r="D89" s="10" t="s">
        <v>14</v>
      </c>
      <c r="E89" s="10" t="s">
        <v>14</v>
      </c>
      <c r="F89" s="10">
        <v>1836</v>
      </c>
      <c r="G89" s="10" t="s">
        <v>15</v>
      </c>
      <c r="H89" s="10" t="s">
        <v>17</v>
      </c>
      <c r="I89" s="10" t="s">
        <v>18</v>
      </c>
      <c r="J89" s="10" t="s">
        <v>19</v>
      </c>
      <c r="K89" s="10" t="s">
        <v>19</v>
      </c>
      <c r="L89" s="10" t="s">
        <v>19</v>
      </c>
      <c r="M89" s="12"/>
      <c r="N89" s="10" t="s">
        <v>20</v>
      </c>
      <c r="O89" s="10" t="s">
        <v>2054</v>
      </c>
      <c r="P89" s="25" t="str">
        <f>IFERROR(
IF(OR(O89="anulado",O89="stand by"),CONCATENATE(O89,": ",H89),
IF(OR(YEAR(M89)=2022,YEAR(M89)=2023),CONCATENATE("Se activó en ",YEAR(M89)),
IF(AND(OR(O89="En proceso",O89="facturando"),AND(J89="-",M89="")),"Por revisar",
IF(M89="",IF(J89="NUEVAS",CONCATENATE("Estado: ",O89,", ",J89),
IF(L89=Meses!$A$3,"Por revisar",
IF(H89="","Sin registro","En programación Frcst."))),"En programación")))),
"Error")</f>
        <v>Por revisar</v>
      </c>
      <c r="Q89" s="9" t="str">
        <f t="shared" si="3"/>
        <v>programación de act. NO, estado: Facturando, Comercializador: ENEL, Etapa: Instalado y Activado</v>
      </c>
      <c r="R89" s="25" t="str">
        <f>IF(P89="En programación Frcst.",VLOOKUP(L89,Meses!$A$1:$H$14,3+HLOOKUP(Cronograma!J89,Meses!$D$1:$G$2,2,FALSE),FALSE),
IF(P89="En programación",M89,""))</f>
        <v/>
      </c>
      <c r="S89" s="25" t="str">
        <f t="shared" si="5"/>
        <v/>
      </c>
      <c r="T89" s="21" t="str">
        <f>IFERROR(
(VLOOKUP(MONTH(R89),Meses!$B$3:$C$14,2,FALSE)-DAY(R89))/VLOOKUP(MONTH(R89),Meses!$B$3:$C$14,2,FALSE)*U89,
"")</f>
        <v/>
      </c>
      <c r="U89" s="22">
        <f t="shared" si="4"/>
        <v>1836</v>
      </c>
    </row>
    <row r="90" spans="1:21" ht="32.4" hidden="1" thickBot="1" x14ac:dyDescent="0.6">
      <c r="A90" s="10" t="s">
        <v>116</v>
      </c>
      <c r="B90" s="10" t="s">
        <v>132</v>
      </c>
      <c r="C90" s="12">
        <v>44917</v>
      </c>
      <c r="D90" s="10" t="s">
        <v>14</v>
      </c>
      <c r="E90" s="10" t="s">
        <v>14</v>
      </c>
      <c r="F90" s="10">
        <v>2970</v>
      </c>
      <c r="G90" s="10" t="s">
        <v>15</v>
      </c>
      <c r="H90" s="10" t="s">
        <v>17</v>
      </c>
      <c r="I90" s="10" t="s">
        <v>18</v>
      </c>
      <c r="J90" s="10" t="s">
        <v>19</v>
      </c>
      <c r="K90" s="10" t="s">
        <v>19</v>
      </c>
      <c r="L90" s="10" t="s">
        <v>19</v>
      </c>
      <c r="M90" s="12"/>
      <c r="N90" s="10" t="s">
        <v>20</v>
      </c>
      <c r="O90" s="10" t="s">
        <v>2054</v>
      </c>
      <c r="P90" s="25" t="str">
        <f>IFERROR(
IF(OR(O90="anulado",O90="stand by"),CONCATENATE(O90,": ",H90),
IF(OR(YEAR(M90)=2022,YEAR(M90)=2023),CONCATENATE("Se activó en ",YEAR(M90)),
IF(AND(OR(O90="En proceso",O90="facturando"),AND(J90="-",M90="")),"Por revisar",
IF(M90="",IF(J90="NUEVAS",CONCATENATE("Estado: ",O90,", ",J90),
IF(L90=Meses!$A$3,"Por revisar",
IF(H90="","Sin registro","En programación Frcst."))),"En programación")))),
"Error")</f>
        <v>Por revisar</v>
      </c>
      <c r="Q90" s="9" t="str">
        <f t="shared" si="3"/>
        <v>programación de act. NO, estado: Facturando, Comercializador: ENEL, Etapa: Instalado y Activado</v>
      </c>
      <c r="R90" s="25" t="str">
        <f>IF(P90="En programación Frcst.",VLOOKUP(L90,Meses!$A$1:$H$14,3+HLOOKUP(Cronograma!J90,Meses!$D$1:$G$2,2,FALSE),FALSE),
IF(P90="En programación",M90,""))</f>
        <v/>
      </c>
      <c r="S90" s="25" t="str">
        <f t="shared" si="5"/>
        <v/>
      </c>
      <c r="T90" s="21" t="str">
        <f>IFERROR(
(VLOOKUP(MONTH(R90),Meses!$B$3:$C$14,2,FALSE)-DAY(R90))/VLOOKUP(MONTH(R90),Meses!$B$3:$C$14,2,FALSE)*U90,
"")</f>
        <v/>
      </c>
      <c r="U90" s="22">
        <f t="shared" si="4"/>
        <v>2970</v>
      </c>
    </row>
    <row r="91" spans="1:21" ht="32.4" hidden="1" thickBot="1" x14ac:dyDescent="0.6">
      <c r="A91" s="10" t="s">
        <v>116</v>
      </c>
      <c r="B91" s="10" t="s">
        <v>133</v>
      </c>
      <c r="C91" s="12">
        <v>44917</v>
      </c>
      <c r="D91" s="10" t="s">
        <v>14</v>
      </c>
      <c r="E91" s="10" t="s">
        <v>14</v>
      </c>
      <c r="F91" s="10">
        <v>11914.14</v>
      </c>
      <c r="G91" s="10" t="s">
        <v>15</v>
      </c>
      <c r="H91" s="10" t="s">
        <v>17</v>
      </c>
      <c r="I91" s="10" t="s">
        <v>18</v>
      </c>
      <c r="J91" s="10" t="s">
        <v>19</v>
      </c>
      <c r="K91" s="10" t="s">
        <v>19</v>
      </c>
      <c r="L91" s="10" t="s">
        <v>19</v>
      </c>
      <c r="M91" s="12"/>
      <c r="N91" s="10" t="s">
        <v>20</v>
      </c>
      <c r="O91" s="10" t="s">
        <v>2054</v>
      </c>
      <c r="P91" s="25" t="str">
        <f>IFERROR(
IF(OR(O91="anulado",O91="stand by"),CONCATENATE(O91,": ",H91),
IF(OR(YEAR(M91)=2022,YEAR(M91)=2023),CONCATENATE("Se activó en ",YEAR(M91)),
IF(AND(OR(O91="En proceso",O91="facturando"),AND(J91="-",M91="")),"Por revisar",
IF(M91="",IF(J91="NUEVAS",CONCATENATE("Estado: ",O91,", ",J91),
IF(L91=Meses!$A$3,"Por revisar",
IF(H91="","Sin registro","En programación Frcst."))),"En programación")))),
"Error")</f>
        <v>Por revisar</v>
      </c>
      <c r="Q91" s="9" t="str">
        <f t="shared" si="3"/>
        <v>programación de act. NO, estado: Facturando, Comercializador: ENEL, Etapa: Instalado y Activado</v>
      </c>
      <c r="R91" s="25" t="str">
        <f>IF(P91="En programación Frcst.",VLOOKUP(L91,Meses!$A$1:$H$14,3+HLOOKUP(Cronograma!J91,Meses!$D$1:$G$2,2,FALSE),FALSE),
IF(P91="En programación",M91,""))</f>
        <v/>
      </c>
      <c r="S91" s="25" t="str">
        <f t="shared" si="5"/>
        <v/>
      </c>
      <c r="T91" s="21" t="str">
        <f>IFERROR(
(VLOOKUP(MONTH(R91),Meses!$B$3:$C$14,2,FALSE)-DAY(R91))/VLOOKUP(MONTH(R91),Meses!$B$3:$C$14,2,FALSE)*U91,
"")</f>
        <v/>
      </c>
      <c r="U91" s="22">
        <f t="shared" si="4"/>
        <v>11914.14</v>
      </c>
    </row>
    <row r="92" spans="1:21" ht="32.4" hidden="1" thickBot="1" x14ac:dyDescent="0.6">
      <c r="A92" s="10" t="s">
        <v>116</v>
      </c>
      <c r="B92" s="10" t="s">
        <v>134</v>
      </c>
      <c r="C92" s="12">
        <v>44917</v>
      </c>
      <c r="D92" s="10" t="s">
        <v>14</v>
      </c>
      <c r="E92" s="10" t="s">
        <v>14</v>
      </c>
      <c r="F92" s="10">
        <v>1465.4</v>
      </c>
      <c r="G92" s="10" t="s">
        <v>15</v>
      </c>
      <c r="H92" s="10" t="s">
        <v>17</v>
      </c>
      <c r="I92" s="10" t="s">
        <v>18</v>
      </c>
      <c r="J92" s="10" t="s">
        <v>19</v>
      </c>
      <c r="K92" s="10" t="s">
        <v>19</v>
      </c>
      <c r="L92" s="10" t="s">
        <v>19</v>
      </c>
      <c r="M92" s="12"/>
      <c r="N92" s="10" t="s">
        <v>20</v>
      </c>
      <c r="O92" s="10" t="s">
        <v>2054</v>
      </c>
      <c r="P92" s="25" t="str">
        <f>IFERROR(
IF(OR(O92="anulado",O92="stand by"),CONCATENATE(O92,": ",H92),
IF(OR(YEAR(M92)=2022,YEAR(M92)=2023),CONCATENATE("Se activó en ",YEAR(M92)),
IF(AND(OR(O92="En proceso",O92="facturando"),AND(J92="-",M92="")),"Por revisar",
IF(M92="",IF(J92="NUEVAS",CONCATENATE("Estado: ",O92,", ",J92),
IF(L92=Meses!$A$3,"Por revisar",
IF(H92="","Sin registro","En programación Frcst."))),"En programación")))),
"Error")</f>
        <v>Por revisar</v>
      </c>
      <c r="Q92" s="9" t="str">
        <f t="shared" si="3"/>
        <v>programación de act. NO, estado: Facturando, Comercializador: ENEL, Etapa: Instalado y Activado</v>
      </c>
      <c r="R92" s="25" t="str">
        <f>IF(P92="En programación Frcst.",VLOOKUP(L92,Meses!$A$1:$H$14,3+HLOOKUP(Cronograma!J92,Meses!$D$1:$G$2,2,FALSE),FALSE),
IF(P92="En programación",M92,""))</f>
        <v/>
      </c>
      <c r="S92" s="25" t="str">
        <f t="shared" si="5"/>
        <v/>
      </c>
      <c r="T92" s="21" t="str">
        <f>IFERROR(
(VLOOKUP(MONTH(R92),Meses!$B$3:$C$14,2,FALSE)-DAY(R92))/VLOOKUP(MONTH(R92),Meses!$B$3:$C$14,2,FALSE)*U92,
"")</f>
        <v/>
      </c>
      <c r="U92" s="22">
        <f t="shared" si="4"/>
        <v>1465.4</v>
      </c>
    </row>
    <row r="93" spans="1:21" ht="32.4" hidden="1" thickBot="1" x14ac:dyDescent="0.6">
      <c r="A93" s="10" t="s">
        <v>116</v>
      </c>
      <c r="B93" s="10" t="s">
        <v>135</v>
      </c>
      <c r="C93" s="12">
        <v>44973</v>
      </c>
      <c r="D93" s="10" t="s">
        <v>41</v>
      </c>
      <c r="E93" s="10" t="s">
        <v>41</v>
      </c>
      <c r="F93" s="10">
        <v>4843</v>
      </c>
      <c r="G93" s="10" t="s">
        <v>15</v>
      </c>
      <c r="H93" s="10" t="s">
        <v>17</v>
      </c>
      <c r="I93" s="10" t="s">
        <v>43</v>
      </c>
      <c r="J93" s="10" t="s">
        <v>19</v>
      </c>
      <c r="K93" s="10" t="s">
        <v>19</v>
      </c>
      <c r="L93" s="10" t="s">
        <v>19</v>
      </c>
      <c r="M93" s="12"/>
      <c r="N93" s="10" t="s">
        <v>20</v>
      </c>
      <c r="O93" s="10" t="s">
        <v>2054</v>
      </c>
      <c r="P93" s="25" t="str">
        <f>IFERROR(
IF(OR(O93="anulado",O93="stand by"),CONCATENATE(O93,": ",H93),
IF(OR(YEAR(M93)=2022,YEAR(M93)=2023),CONCATENATE("Se activó en ",YEAR(M93)),
IF(AND(OR(O93="En proceso",O93="facturando"),AND(J93="-",M93="")),"Por revisar",
IF(M93="",IF(J93="NUEVAS",CONCATENATE("Estado: ",O93,", ",J93),
IF(L93=Meses!$A$3,"Por revisar",
IF(H93="","Sin registro","En programación Frcst."))),"En programación")))),
"Error")</f>
        <v>Por revisar</v>
      </c>
      <c r="Q93" s="9" t="str">
        <f t="shared" si="3"/>
        <v>programación de act. NO, estado: Facturando, Comercializador: EPM, Etapa: Instalado y Activado</v>
      </c>
      <c r="R93" s="25" t="str">
        <f>IF(P93="En programación Frcst.",VLOOKUP(L93,Meses!$A$1:$H$14,3+HLOOKUP(Cronograma!J93,Meses!$D$1:$G$2,2,FALSE),FALSE),
IF(P93="En programación",M93,""))</f>
        <v/>
      </c>
      <c r="S93" s="25" t="str">
        <f t="shared" si="5"/>
        <v/>
      </c>
      <c r="T93" s="21" t="str">
        <f>IFERROR(
(VLOOKUP(MONTH(R93),Meses!$B$3:$C$14,2,FALSE)-DAY(R93))/VLOOKUP(MONTH(R93),Meses!$B$3:$C$14,2,FALSE)*U93,
"")</f>
        <v/>
      </c>
      <c r="U93" s="22">
        <f t="shared" si="4"/>
        <v>4843</v>
      </c>
    </row>
    <row r="94" spans="1:21" ht="32.4" hidden="1" thickBot="1" x14ac:dyDescent="0.6">
      <c r="A94" s="10" t="s">
        <v>116</v>
      </c>
      <c r="B94" s="10" t="s">
        <v>136</v>
      </c>
      <c r="C94" s="12">
        <v>45057</v>
      </c>
      <c r="D94" s="10" t="s">
        <v>41</v>
      </c>
      <c r="E94" s="10" t="s">
        <v>41</v>
      </c>
      <c r="F94" s="10">
        <v>4721</v>
      </c>
      <c r="G94" s="10" t="s">
        <v>15</v>
      </c>
      <c r="H94" s="10" t="s">
        <v>17</v>
      </c>
      <c r="I94" s="10" t="s">
        <v>43</v>
      </c>
      <c r="J94" s="10" t="s">
        <v>19</v>
      </c>
      <c r="K94" s="10" t="s">
        <v>19</v>
      </c>
      <c r="L94" s="10" t="s">
        <v>19</v>
      </c>
      <c r="M94" s="12"/>
      <c r="N94" s="10" t="s">
        <v>20</v>
      </c>
      <c r="O94" s="10" t="s">
        <v>2054</v>
      </c>
      <c r="P94" s="25" t="str">
        <f>IFERROR(
IF(OR(O94="anulado",O94="stand by"),CONCATENATE(O94,": ",H94),
IF(OR(YEAR(M94)=2022,YEAR(M94)=2023),CONCATENATE("Se activó en ",YEAR(M94)),
IF(AND(OR(O94="En proceso",O94="facturando"),AND(J94="-",M94="")),"Por revisar",
IF(M94="",IF(J94="NUEVAS",CONCATENATE("Estado: ",O94,", ",J94),
IF(L94=Meses!$A$3,"Por revisar",
IF(H94="","Sin registro","En programación Frcst."))),"En programación")))),
"Error")</f>
        <v>Por revisar</v>
      </c>
      <c r="Q94" s="9" t="str">
        <f t="shared" si="3"/>
        <v>programación de act. NO, estado: Facturando, Comercializador: EPM, Etapa: Instalado y Activado</v>
      </c>
      <c r="R94" s="25" t="str">
        <f>IF(P94="En programación Frcst.",VLOOKUP(L94,Meses!$A$1:$H$14,3+HLOOKUP(Cronograma!J94,Meses!$D$1:$G$2,2,FALSE),FALSE),
IF(P94="En programación",M94,""))</f>
        <v/>
      </c>
      <c r="S94" s="25" t="str">
        <f t="shared" si="5"/>
        <v/>
      </c>
      <c r="T94" s="21" t="str">
        <f>IFERROR(
(VLOOKUP(MONTH(R94),Meses!$B$3:$C$14,2,FALSE)-DAY(R94))/VLOOKUP(MONTH(R94),Meses!$B$3:$C$14,2,FALSE)*U94,
"")</f>
        <v/>
      </c>
      <c r="U94" s="22">
        <f t="shared" si="4"/>
        <v>4721</v>
      </c>
    </row>
    <row r="95" spans="1:21" ht="32.4" hidden="1" thickBot="1" x14ac:dyDescent="0.6">
      <c r="A95" s="10" t="s">
        <v>116</v>
      </c>
      <c r="B95" s="10" t="s">
        <v>137</v>
      </c>
      <c r="C95" s="12">
        <v>44994</v>
      </c>
      <c r="D95" s="10" t="s">
        <v>41</v>
      </c>
      <c r="E95" s="10" t="s">
        <v>41</v>
      </c>
      <c r="F95" s="10">
        <v>2620</v>
      </c>
      <c r="G95" s="10" t="s">
        <v>15</v>
      </c>
      <c r="H95" s="10" t="s">
        <v>17</v>
      </c>
      <c r="I95" s="10" t="s">
        <v>43</v>
      </c>
      <c r="J95" s="10" t="s">
        <v>19</v>
      </c>
      <c r="K95" s="10" t="s">
        <v>19</v>
      </c>
      <c r="L95" s="10" t="s">
        <v>19</v>
      </c>
      <c r="M95" s="12"/>
      <c r="N95" s="10" t="s">
        <v>20</v>
      </c>
      <c r="O95" s="10" t="s">
        <v>2054</v>
      </c>
      <c r="P95" s="25" t="str">
        <f>IFERROR(
IF(OR(O95="anulado",O95="stand by"),CONCATENATE(O95,": ",H95),
IF(OR(YEAR(M95)=2022,YEAR(M95)=2023),CONCATENATE("Se activó en ",YEAR(M95)),
IF(AND(OR(O95="En proceso",O95="facturando"),AND(J95="-",M95="")),"Por revisar",
IF(M95="",IF(J95="NUEVAS",CONCATENATE("Estado: ",O95,", ",J95),
IF(L95=Meses!$A$3,"Por revisar",
IF(H95="","Sin registro","En programación Frcst."))),"En programación")))),
"Error")</f>
        <v>Por revisar</v>
      </c>
      <c r="Q95" s="9" t="str">
        <f t="shared" si="3"/>
        <v>programación de act. NO, estado: Facturando, Comercializador: EPM, Etapa: Instalado y Activado</v>
      </c>
      <c r="R95" s="25" t="str">
        <f>IF(P95="En programación Frcst.",VLOOKUP(L95,Meses!$A$1:$H$14,3+HLOOKUP(Cronograma!J95,Meses!$D$1:$G$2,2,FALSE),FALSE),
IF(P95="En programación",M95,""))</f>
        <v/>
      </c>
      <c r="S95" s="25" t="str">
        <f t="shared" si="5"/>
        <v/>
      </c>
      <c r="T95" s="21" t="str">
        <f>IFERROR(
(VLOOKUP(MONTH(R95),Meses!$B$3:$C$14,2,FALSE)-DAY(R95))/VLOOKUP(MONTH(R95),Meses!$B$3:$C$14,2,FALSE)*U95,
"")</f>
        <v/>
      </c>
      <c r="U95" s="22">
        <f t="shared" si="4"/>
        <v>2620</v>
      </c>
    </row>
    <row r="96" spans="1:21" ht="32.4" hidden="1" thickBot="1" x14ac:dyDescent="0.6">
      <c r="A96" s="10" t="s">
        <v>116</v>
      </c>
      <c r="B96" s="10" t="s">
        <v>138</v>
      </c>
      <c r="C96" s="12">
        <v>45106</v>
      </c>
      <c r="D96" s="10" t="s">
        <v>74</v>
      </c>
      <c r="E96" s="10" t="s">
        <v>74</v>
      </c>
      <c r="F96" s="10">
        <v>4114.6000000000004</v>
      </c>
      <c r="G96" s="10" t="s">
        <v>15</v>
      </c>
      <c r="H96" s="10" t="s">
        <v>17</v>
      </c>
      <c r="I96" s="10" t="s">
        <v>43</v>
      </c>
      <c r="J96" s="10" t="s">
        <v>19</v>
      </c>
      <c r="K96" s="10" t="s">
        <v>19</v>
      </c>
      <c r="L96" s="10" t="s">
        <v>19</v>
      </c>
      <c r="M96" s="12"/>
      <c r="N96" s="10" t="s">
        <v>20</v>
      </c>
      <c r="O96" s="10" t="s">
        <v>2054</v>
      </c>
      <c r="P96" s="25" t="str">
        <f>IFERROR(
IF(OR(O96="anulado",O96="stand by"),CONCATENATE(O96,": ",H96),
IF(OR(YEAR(M96)=2022,YEAR(M96)=2023),CONCATENATE("Se activó en ",YEAR(M96)),
IF(AND(OR(O96="En proceso",O96="facturando"),AND(J96="-",M96="")),"Por revisar",
IF(M96="",IF(J96="NUEVAS",CONCATENATE("Estado: ",O96,", ",J96),
IF(L96=Meses!$A$3,"Por revisar",
IF(H96="","Sin registro","En programación Frcst."))),"En programación")))),
"Error")</f>
        <v>Por revisar</v>
      </c>
      <c r="Q96" s="9" t="str">
        <f t="shared" si="3"/>
        <v>programación de act. NO, estado: Facturando, Comercializador: AIR-E, Etapa: Instalado y Activado</v>
      </c>
      <c r="R96" s="25" t="str">
        <f>IF(P96="En programación Frcst.",VLOOKUP(L96,Meses!$A$1:$H$14,3+HLOOKUP(Cronograma!J96,Meses!$D$1:$G$2,2,FALSE),FALSE),
IF(P96="En programación",M96,""))</f>
        <v/>
      </c>
      <c r="S96" s="25" t="str">
        <f t="shared" si="5"/>
        <v/>
      </c>
      <c r="T96" s="21" t="str">
        <f>IFERROR(
(VLOOKUP(MONTH(R96),Meses!$B$3:$C$14,2,FALSE)-DAY(R96))/VLOOKUP(MONTH(R96),Meses!$B$3:$C$14,2,FALSE)*U96,
"")</f>
        <v/>
      </c>
      <c r="U96" s="22">
        <f t="shared" si="4"/>
        <v>4114.6000000000004</v>
      </c>
    </row>
    <row r="97" spans="1:21" ht="31.8" hidden="1" thickBot="1" x14ac:dyDescent="0.6">
      <c r="A97" s="10" t="s">
        <v>116</v>
      </c>
      <c r="B97" s="10" t="s">
        <v>139</v>
      </c>
      <c r="C97" s="12"/>
      <c r="D97" s="10" t="s">
        <v>41</v>
      </c>
      <c r="E97" s="10" t="s">
        <v>41</v>
      </c>
      <c r="F97" s="10">
        <v>5570</v>
      </c>
      <c r="G97" s="10" t="s">
        <v>15</v>
      </c>
      <c r="H97" s="10" t="s">
        <v>140</v>
      </c>
      <c r="I97" s="10" t="s">
        <v>43</v>
      </c>
      <c r="J97" s="10" t="s">
        <v>19</v>
      </c>
      <c r="K97" s="10" t="s">
        <v>19</v>
      </c>
      <c r="L97" s="10" t="s">
        <v>19</v>
      </c>
      <c r="M97" s="12"/>
      <c r="N97" s="10" t="s">
        <v>20</v>
      </c>
      <c r="O97" s="10" t="s">
        <v>2056</v>
      </c>
      <c r="P97" s="25" t="str">
        <f>IFERROR(
IF(OR(O97="anulado",O97="stand by"),CONCATENATE(O97,": ",H97),
IF(OR(YEAR(M97)=2022,YEAR(M97)=2023),CONCATENATE("Se activó en ",YEAR(M97)),
IF(AND(OR(O97="En proceso",O97="facturando"),AND(J97="-",M97="")),"Por revisar",
IF(M97="",IF(J97="NUEVAS",CONCATENATE("Estado: ",O97,", ",J97),
IF(L97=Meses!$A$3,"Por revisar",
IF(H97="","Sin registro","En programación Frcst."))),"En programación")))),
"Error")</f>
        <v>anulado: Desistido</v>
      </c>
      <c r="Q97" s="9" t="str">
        <f t="shared" si="3"/>
        <v/>
      </c>
      <c r="R97" s="25" t="str">
        <f>IF(P97="En programación Frcst.",VLOOKUP(L97,Meses!$A$1:$H$14,3+HLOOKUP(Cronograma!J97,Meses!$D$1:$G$2,2,FALSE),FALSE),
IF(P97="En programación",M97,""))</f>
        <v/>
      </c>
      <c r="S97" s="25" t="str">
        <f t="shared" si="5"/>
        <v/>
      </c>
      <c r="T97" s="21" t="str">
        <f>IFERROR(
(VLOOKUP(MONTH(R97),Meses!$B$3:$C$14,2,FALSE)-DAY(R97))/VLOOKUP(MONTH(R97),Meses!$B$3:$C$14,2,FALSE)*U97,
"")</f>
        <v/>
      </c>
      <c r="U97" s="22">
        <f t="shared" si="4"/>
        <v>5570</v>
      </c>
    </row>
    <row r="98" spans="1:21" ht="31.8" hidden="1" thickBot="1" x14ac:dyDescent="0.6">
      <c r="A98" s="10" t="s">
        <v>141</v>
      </c>
      <c r="B98" s="10" t="s">
        <v>142</v>
      </c>
      <c r="C98" s="12"/>
      <c r="D98" s="10" t="s">
        <v>44</v>
      </c>
      <c r="E98" s="10" t="s">
        <v>44</v>
      </c>
      <c r="F98" s="10">
        <v>7011</v>
      </c>
      <c r="G98" s="10" t="s">
        <v>15</v>
      </c>
      <c r="H98" s="10" t="s">
        <v>2921</v>
      </c>
      <c r="I98" s="10" t="s">
        <v>43</v>
      </c>
      <c r="J98" s="10" t="s">
        <v>143</v>
      </c>
      <c r="K98" s="10" t="s">
        <v>3309</v>
      </c>
      <c r="L98" s="10" t="s">
        <v>1120</v>
      </c>
      <c r="M98" s="12">
        <v>45365</v>
      </c>
      <c r="N98" s="10" t="s">
        <v>15</v>
      </c>
      <c r="O98" s="10" t="s">
        <v>2057</v>
      </c>
      <c r="P98" s="25" t="str">
        <f>IFERROR(
IF(OR(O98="anulado",O98="stand by"),CONCATENATE(O98,": ",H98),
IF(OR(YEAR(M98)=2022,YEAR(M98)=2023),CONCATENATE("Se activó en ",YEAR(M98)),
IF(AND(OR(O98="En proceso",O98="facturando"),AND(J98="-",M98="")),"Por revisar",
IF(M98="",IF(J98="NUEVAS",CONCATENATE("Estado: ",O98,", ",J98),
IF(L98=Meses!$A$3,"Por revisar",
IF(H98="","Sin registro","En programación Frcst."))),"En programación")))),
"Error")</f>
        <v>En programación</v>
      </c>
      <c r="Q98" s="9" t="str">
        <f t="shared" si="3"/>
        <v/>
      </c>
      <c r="R98" s="25">
        <f>IF(P98="En programación Frcst.",VLOOKUP(L98,Meses!$A$1:$H$14,3+HLOOKUP(Cronograma!J98,Meses!$D$1:$G$2,2,FALSE),FALSE),
IF(P98="En programación",M98,""))</f>
        <v>45365</v>
      </c>
      <c r="S98" s="25" t="str">
        <f t="shared" si="5"/>
        <v>2024/3</v>
      </c>
      <c r="T98" s="21">
        <f>IFERROR(
(VLOOKUP(MONTH(R98),Meses!$B$3:$C$14,2,FALSE)-DAY(R98))/VLOOKUP(MONTH(R98),Meses!$B$3:$C$14,2,FALSE)*U98,
"")</f>
        <v>3844.7419354838707</v>
      </c>
      <c r="U98" s="22">
        <f t="shared" si="4"/>
        <v>7011</v>
      </c>
    </row>
    <row r="99" spans="1:21" ht="32.4" hidden="1" thickBot="1" x14ac:dyDescent="0.6">
      <c r="A99" s="10" t="s">
        <v>146</v>
      </c>
      <c r="B99" s="10" t="s">
        <v>147</v>
      </c>
      <c r="C99" s="12">
        <v>44924</v>
      </c>
      <c r="D99" s="10" t="s">
        <v>14</v>
      </c>
      <c r="E99" s="10" t="s">
        <v>14</v>
      </c>
      <c r="F99" s="10">
        <v>2006</v>
      </c>
      <c r="G99" s="10" t="s">
        <v>15</v>
      </c>
      <c r="H99" s="10" t="s">
        <v>17</v>
      </c>
      <c r="I99" s="10" t="s">
        <v>18</v>
      </c>
      <c r="J99" s="10" t="s">
        <v>19</v>
      </c>
      <c r="K99" s="10" t="s">
        <v>19</v>
      </c>
      <c r="L99" s="10" t="s">
        <v>19</v>
      </c>
      <c r="M99" s="12"/>
      <c r="N99" s="10" t="s">
        <v>20</v>
      </c>
      <c r="O99" s="10" t="s">
        <v>2054</v>
      </c>
      <c r="P99" s="25" t="str">
        <f>IFERROR(
IF(OR(O99="anulado",O99="stand by"),CONCATENATE(O99,": ",H99),
IF(OR(YEAR(M99)=2022,YEAR(M99)=2023),CONCATENATE("Se activó en ",YEAR(M99)),
IF(AND(OR(O99="En proceso",O99="facturando"),AND(J99="-",M99="")),"Por revisar",
IF(M99="",IF(J99="NUEVAS",CONCATENATE("Estado: ",O99,", ",J99),
IF(L99=Meses!$A$3,"Por revisar",
IF(H99="","Sin registro","En programación Frcst."))),"En programación")))),
"Error")</f>
        <v>Por revisar</v>
      </c>
      <c r="Q99" s="9" t="str">
        <f t="shared" si="3"/>
        <v>programación de act. NO, estado: Facturando, Comercializador: ENEL, Etapa: Instalado y Activado</v>
      </c>
      <c r="R99" s="25" t="str">
        <f>IF(P99="En programación Frcst.",VLOOKUP(L99,Meses!$A$1:$H$14,3+HLOOKUP(Cronograma!J99,Meses!$D$1:$G$2,2,FALSE),FALSE),
IF(P99="En programación",M99,""))</f>
        <v/>
      </c>
      <c r="S99" s="25" t="str">
        <f t="shared" si="5"/>
        <v/>
      </c>
      <c r="T99" s="21" t="str">
        <f>IFERROR(
(VLOOKUP(MONTH(R99),Meses!$B$3:$C$14,2,FALSE)-DAY(R99))/VLOOKUP(MONTH(R99),Meses!$B$3:$C$14,2,FALSE)*U99,
"")</f>
        <v/>
      </c>
      <c r="U99" s="22">
        <f t="shared" si="4"/>
        <v>2006</v>
      </c>
    </row>
    <row r="100" spans="1:21" ht="32.4" hidden="1" thickBot="1" x14ac:dyDescent="0.6">
      <c r="A100" s="10" t="s">
        <v>148</v>
      </c>
      <c r="B100" s="10" t="s">
        <v>149</v>
      </c>
      <c r="C100" s="12">
        <v>44945</v>
      </c>
      <c r="D100" s="10" t="s">
        <v>14</v>
      </c>
      <c r="E100" s="10" t="s">
        <v>14</v>
      </c>
      <c r="F100" s="10">
        <v>1001</v>
      </c>
      <c r="G100" s="10" t="s">
        <v>15</v>
      </c>
      <c r="H100" s="10" t="s">
        <v>17</v>
      </c>
      <c r="I100" s="10" t="s">
        <v>18</v>
      </c>
      <c r="J100" s="10" t="s">
        <v>19</v>
      </c>
      <c r="K100" s="10" t="s">
        <v>19</v>
      </c>
      <c r="L100" s="10" t="s">
        <v>19</v>
      </c>
      <c r="M100" s="12"/>
      <c r="N100" s="10" t="s">
        <v>20</v>
      </c>
      <c r="O100" s="10" t="s">
        <v>2054</v>
      </c>
      <c r="P100" s="25" t="str">
        <f>IFERROR(
IF(OR(O100="anulado",O100="stand by"),CONCATENATE(O100,": ",H100),
IF(OR(YEAR(M100)=2022,YEAR(M100)=2023),CONCATENATE("Se activó en ",YEAR(M100)),
IF(AND(OR(O100="En proceso",O100="facturando"),AND(J100="-",M100="")),"Por revisar",
IF(M100="",IF(J100="NUEVAS",CONCATENATE("Estado: ",O100,", ",J100),
IF(L100=Meses!$A$3,"Por revisar",
IF(H100="","Sin registro","En programación Frcst."))),"En programación")))),
"Error")</f>
        <v>Por revisar</v>
      </c>
      <c r="Q100" s="9" t="str">
        <f t="shared" si="3"/>
        <v>programación de act. NO, estado: Facturando, Comercializador: ENEL, Etapa: Instalado y Activado</v>
      </c>
      <c r="R100" s="25" t="str">
        <f>IF(P100="En programación Frcst.",VLOOKUP(L100,Meses!$A$1:$H$14,3+HLOOKUP(Cronograma!J100,Meses!$D$1:$G$2,2,FALSE),FALSE),
IF(P100="En programación",M100,""))</f>
        <v/>
      </c>
      <c r="S100" s="25" t="str">
        <f t="shared" si="5"/>
        <v/>
      </c>
      <c r="T100" s="21" t="str">
        <f>IFERROR(
(VLOOKUP(MONTH(R100),Meses!$B$3:$C$14,2,FALSE)-DAY(R100))/VLOOKUP(MONTH(R100),Meses!$B$3:$C$14,2,FALSE)*U100,
"")</f>
        <v/>
      </c>
      <c r="U100" s="22">
        <f t="shared" si="4"/>
        <v>1001</v>
      </c>
    </row>
    <row r="101" spans="1:21" ht="32.4" hidden="1" thickBot="1" x14ac:dyDescent="0.6">
      <c r="A101" s="10" t="s">
        <v>148</v>
      </c>
      <c r="B101" s="10" t="s">
        <v>150</v>
      </c>
      <c r="C101" s="12">
        <v>44945</v>
      </c>
      <c r="D101" s="10" t="s">
        <v>14</v>
      </c>
      <c r="E101" s="10" t="s">
        <v>14</v>
      </c>
      <c r="F101" s="10">
        <v>652</v>
      </c>
      <c r="G101" s="10" t="s">
        <v>15</v>
      </c>
      <c r="H101" s="10" t="s">
        <v>17</v>
      </c>
      <c r="I101" s="10" t="s">
        <v>18</v>
      </c>
      <c r="J101" s="10" t="s">
        <v>19</v>
      </c>
      <c r="K101" s="10" t="s">
        <v>19</v>
      </c>
      <c r="L101" s="10" t="s">
        <v>19</v>
      </c>
      <c r="M101" s="12"/>
      <c r="N101" s="10" t="s">
        <v>20</v>
      </c>
      <c r="O101" s="10" t="s">
        <v>2054</v>
      </c>
      <c r="P101" s="25" t="str">
        <f>IFERROR(
IF(OR(O101="anulado",O101="stand by"),CONCATENATE(O101,": ",H101),
IF(OR(YEAR(M101)=2022,YEAR(M101)=2023),CONCATENATE("Se activó en ",YEAR(M101)),
IF(AND(OR(O101="En proceso",O101="facturando"),AND(J101="-",M101="")),"Por revisar",
IF(M101="",IF(J101="NUEVAS",CONCATENATE("Estado: ",O101,", ",J101),
IF(L101=Meses!$A$3,"Por revisar",
IF(H101="","Sin registro","En programación Frcst."))),"En programación")))),
"Error")</f>
        <v>Por revisar</v>
      </c>
      <c r="Q101" s="9" t="str">
        <f t="shared" si="3"/>
        <v>programación de act. NO, estado: Facturando, Comercializador: ENEL, Etapa: Instalado y Activado</v>
      </c>
      <c r="R101" s="25" t="str">
        <f>IF(P101="En programación Frcst.",VLOOKUP(L101,Meses!$A$1:$H$14,3+HLOOKUP(Cronograma!J101,Meses!$D$1:$G$2,2,FALSE),FALSE),
IF(P101="En programación",M101,""))</f>
        <v/>
      </c>
      <c r="S101" s="25" t="str">
        <f t="shared" si="5"/>
        <v/>
      </c>
      <c r="T101" s="21" t="str">
        <f>IFERROR(
(VLOOKUP(MONTH(R101),Meses!$B$3:$C$14,2,FALSE)-DAY(R101))/VLOOKUP(MONTH(R101),Meses!$B$3:$C$14,2,FALSE)*U101,
"")</f>
        <v/>
      </c>
      <c r="U101" s="22">
        <f t="shared" si="4"/>
        <v>652</v>
      </c>
    </row>
    <row r="102" spans="1:21" ht="32.4" hidden="1" thickBot="1" x14ac:dyDescent="0.6">
      <c r="A102" s="10" t="s">
        <v>148</v>
      </c>
      <c r="B102" s="10" t="s">
        <v>151</v>
      </c>
      <c r="C102" s="12">
        <v>44945</v>
      </c>
      <c r="D102" s="10" t="s">
        <v>14</v>
      </c>
      <c r="E102" s="10" t="s">
        <v>14</v>
      </c>
      <c r="F102" s="10">
        <v>5995</v>
      </c>
      <c r="G102" s="10" t="s">
        <v>15</v>
      </c>
      <c r="H102" s="10" t="s">
        <v>17</v>
      </c>
      <c r="I102" s="10" t="s">
        <v>18</v>
      </c>
      <c r="J102" s="10" t="s">
        <v>19</v>
      </c>
      <c r="K102" s="10" t="s">
        <v>19</v>
      </c>
      <c r="L102" s="10" t="s">
        <v>19</v>
      </c>
      <c r="M102" s="12"/>
      <c r="N102" s="10" t="s">
        <v>20</v>
      </c>
      <c r="O102" s="10" t="s">
        <v>2054</v>
      </c>
      <c r="P102" s="25" t="str">
        <f>IFERROR(
IF(OR(O102="anulado",O102="stand by"),CONCATENATE(O102,": ",H102),
IF(OR(YEAR(M102)=2022,YEAR(M102)=2023),CONCATENATE("Se activó en ",YEAR(M102)),
IF(AND(OR(O102="En proceso",O102="facturando"),AND(J102="-",M102="")),"Por revisar",
IF(M102="",IF(J102="NUEVAS",CONCATENATE("Estado: ",O102,", ",J102),
IF(L102=Meses!$A$3,"Por revisar",
IF(H102="","Sin registro","En programación Frcst."))),"En programación")))),
"Error")</f>
        <v>Por revisar</v>
      </c>
      <c r="Q102" s="9" t="str">
        <f t="shared" si="3"/>
        <v>programación de act. NO, estado: Facturando, Comercializador: ENEL, Etapa: Instalado y Activado</v>
      </c>
      <c r="R102" s="25" t="str">
        <f>IF(P102="En programación Frcst.",VLOOKUP(L102,Meses!$A$1:$H$14,3+HLOOKUP(Cronograma!J102,Meses!$D$1:$G$2,2,FALSE),FALSE),
IF(P102="En programación",M102,""))</f>
        <v/>
      </c>
      <c r="S102" s="25" t="str">
        <f t="shared" si="5"/>
        <v/>
      </c>
      <c r="T102" s="21" t="str">
        <f>IFERROR(
(VLOOKUP(MONTH(R102),Meses!$B$3:$C$14,2,FALSE)-DAY(R102))/VLOOKUP(MONTH(R102),Meses!$B$3:$C$14,2,FALSE)*U102,
"")</f>
        <v/>
      </c>
      <c r="U102" s="22">
        <f t="shared" si="4"/>
        <v>5995</v>
      </c>
    </row>
    <row r="103" spans="1:21" ht="32.4" hidden="1" thickBot="1" x14ac:dyDescent="0.6">
      <c r="A103" s="10" t="s">
        <v>148</v>
      </c>
      <c r="B103" s="10" t="s">
        <v>152</v>
      </c>
      <c r="C103" s="12">
        <v>44952</v>
      </c>
      <c r="D103" s="10" t="s">
        <v>14</v>
      </c>
      <c r="E103" s="10" t="s">
        <v>14</v>
      </c>
      <c r="F103" s="10">
        <v>920</v>
      </c>
      <c r="G103" s="10" t="s">
        <v>15</v>
      </c>
      <c r="H103" s="10" t="s">
        <v>17</v>
      </c>
      <c r="I103" s="10" t="s">
        <v>18</v>
      </c>
      <c r="J103" s="10" t="s">
        <v>19</v>
      </c>
      <c r="K103" s="10" t="s">
        <v>19</v>
      </c>
      <c r="L103" s="10" t="s">
        <v>19</v>
      </c>
      <c r="M103" s="12"/>
      <c r="N103" s="10" t="s">
        <v>20</v>
      </c>
      <c r="O103" s="10" t="s">
        <v>2054</v>
      </c>
      <c r="P103" s="25" t="str">
        <f>IFERROR(
IF(OR(O103="anulado",O103="stand by"),CONCATENATE(O103,": ",H103),
IF(OR(YEAR(M103)=2022,YEAR(M103)=2023),CONCATENATE("Se activó en ",YEAR(M103)),
IF(AND(OR(O103="En proceso",O103="facturando"),AND(J103="-",M103="")),"Por revisar",
IF(M103="",IF(J103="NUEVAS",CONCATENATE("Estado: ",O103,", ",J103),
IF(L103=Meses!$A$3,"Por revisar",
IF(H103="","Sin registro","En programación Frcst."))),"En programación")))),
"Error")</f>
        <v>Por revisar</v>
      </c>
      <c r="Q103" s="9" t="str">
        <f t="shared" si="3"/>
        <v>programación de act. NO, estado: Facturando, Comercializador: ENEL, Etapa: Instalado y Activado</v>
      </c>
      <c r="R103" s="25" t="str">
        <f>IF(P103="En programación Frcst.",VLOOKUP(L103,Meses!$A$1:$H$14,3+HLOOKUP(Cronograma!J103,Meses!$D$1:$G$2,2,FALSE),FALSE),
IF(P103="En programación",M103,""))</f>
        <v/>
      </c>
      <c r="S103" s="25" t="str">
        <f t="shared" si="5"/>
        <v/>
      </c>
      <c r="T103" s="21" t="str">
        <f>IFERROR(
(VLOOKUP(MONTH(R103),Meses!$B$3:$C$14,2,FALSE)-DAY(R103))/VLOOKUP(MONTH(R103),Meses!$B$3:$C$14,2,FALSE)*U103,
"")</f>
        <v/>
      </c>
      <c r="U103" s="22">
        <f t="shared" si="4"/>
        <v>920</v>
      </c>
    </row>
    <row r="104" spans="1:21" ht="32.4" hidden="1" thickBot="1" x14ac:dyDescent="0.6">
      <c r="A104" s="10" t="s">
        <v>146</v>
      </c>
      <c r="B104" s="10" t="s">
        <v>153</v>
      </c>
      <c r="C104" s="12">
        <v>45057</v>
      </c>
      <c r="D104" s="10" t="s">
        <v>44</v>
      </c>
      <c r="E104" s="10" t="s">
        <v>44</v>
      </c>
      <c r="F104" s="10">
        <v>1239</v>
      </c>
      <c r="G104" s="10" t="s">
        <v>15</v>
      </c>
      <c r="H104" s="10" t="s">
        <v>17</v>
      </c>
      <c r="I104" s="10" t="s">
        <v>43</v>
      </c>
      <c r="J104" s="10" t="s">
        <v>19</v>
      </c>
      <c r="K104" s="10" t="s">
        <v>19</v>
      </c>
      <c r="L104" s="10" t="s">
        <v>19</v>
      </c>
      <c r="M104" s="12"/>
      <c r="N104" s="10" t="s">
        <v>20</v>
      </c>
      <c r="O104" s="10" t="s">
        <v>2054</v>
      </c>
      <c r="P104" s="25" t="str">
        <f>IFERROR(
IF(OR(O104="anulado",O104="stand by"),CONCATENATE(O104,": ",H104),
IF(OR(YEAR(M104)=2022,YEAR(M104)=2023),CONCATENATE("Se activó en ",YEAR(M104)),
IF(AND(OR(O104="En proceso",O104="facturando"),AND(J104="-",M104="")),"Por revisar",
IF(M104="",IF(J104="NUEVAS",CONCATENATE("Estado: ",O104,", ",J104),
IF(L104=Meses!$A$3,"Por revisar",
IF(H104="","Sin registro","En programación Frcst."))),"En programación")))),
"Error")</f>
        <v>Por revisar</v>
      </c>
      <c r="Q104" s="9" t="str">
        <f t="shared" si="3"/>
        <v>programación de act. NO, estado: Facturando, Comercializador: AFINIA, Etapa: Instalado y Activado</v>
      </c>
      <c r="R104" s="25" t="str">
        <f>IF(P104="En programación Frcst.",VLOOKUP(L104,Meses!$A$1:$H$14,3+HLOOKUP(Cronograma!J104,Meses!$D$1:$G$2,2,FALSE),FALSE),
IF(P104="En programación",M104,""))</f>
        <v/>
      </c>
      <c r="S104" s="25" t="str">
        <f t="shared" si="5"/>
        <v/>
      </c>
      <c r="T104" s="21" t="str">
        <f>IFERROR(
(VLOOKUP(MONTH(R104),Meses!$B$3:$C$14,2,FALSE)-DAY(R104))/VLOOKUP(MONTH(R104),Meses!$B$3:$C$14,2,FALSE)*U104,
"")</f>
        <v/>
      </c>
      <c r="U104" s="22">
        <f t="shared" si="4"/>
        <v>1239</v>
      </c>
    </row>
    <row r="105" spans="1:21" ht="31.8" hidden="1" thickBot="1" x14ac:dyDescent="0.6">
      <c r="A105" s="10" t="s">
        <v>154</v>
      </c>
      <c r="B105" s="10" t="s">
        <v>155</v>
      </c>
      <c r="C105" s="12"/>
      <c r="D105" s="10" t="s">
        <v>156</v>
      </c>
      <c r="E105" s="10" t="s">
        <v>156</v>
      </c>
      <c r="F105" s="10">
        <v>5121</v>
      </c>
      <c r="G105" s="10" t="s">
        <v>15</v>
      </c>
      <c r="H105" s="10" t="s">
        <v>140</v>
      </c>
      <c r="I105" s="10" t="s">
        <v>43</v>
      </c>
      <c r="J105" s="10" t="s">
        <v>19</v>
      </c>
      <c r="K105" s="10" t="s">
        <v>19</v>
      </c>
      <c r="L105" s="10" t="s">
        <v>19</v>
      </c>
      <c r="M105" s="12"/>
      <c r="N105" s="10" t="s">
        <v>20</v>
      </c>
      <c r="O105" s="10" t="s">
        <v>2056</v>
      </c>
      <c r="P105" s="25" t="str">
        <f>IFERROR(
IF(OR(O105="anulado",O105="stand by"),CONCATENATE(O105,": ",H105),
IF(OR(YEAR(M105)=2022,YEAR(M105)=2023),CONCATENATE("Se activó en ",YEAR(M105)),
IF(AND(OR(O105="En proceso",O105="facturando"),AND(J105="-",M105="")),"Por revisar",
IF(M105="",IF(J105="NUEVAS",CONCATENATE("Estado: ",O105,", ",J105),
IF(L105=Meses!$A$3,"Por revisar",
IF(H105="","Sin registro","En programación Frcst."))),"En programación")))),
"Error")</f>
        <v>anulado: Desistido</v>
      </c>
      <c r="Q105" s="9" t="str">
        <f t="shared" si="3"/>
        <v/>
      </c>
      <c r="R105" s="25" t="str">
        <f>IF(P105="En programación Frcst.",VLOOKUP(L105,Meses!$A$1:$H$14,3+HLOOKUP(Cronograma!J105,Meses!$D$1:$G$2,2,FALSE),FALSE),
IF(P105="En programación",M105,""))</f>
        <v/>
      </c>
      <c r="S105" s="25" t="str">
        <f t="shared" si="5"/>
        <v/>
      </c>
      <c r="T105" s="21" t="str">
        <f>IFERROR(
(VLOOKUP(MONTH(R105),Meses!$B$3:$C$14,2,FALSE)-DAY(R105))/VLOOKUP(MONTH(R105),Meses!$B$3:$C$14,2,FALSE)*U105,
"")</f>
        <v/>
      </c>
      <c r="U105" s="22">
        <f t="shared" si="4"/>
        <v>5121</v>
      </c>
    </row>
    <row r="106" spans="1:21" ht="32.4" hidden="1" thickBot="1" x14ac:dyDescent="0.6">
      <c r="A106" s="10" t="s">
        <v>157</v>
      </c>
      <c r="B106" s="10" t="s">
        <v>158</v>
      </c>
      <c r="C106" s="12">
        <v>44917</v>
      </c>
      <c r="D106" s="10" t="s">
        <v>14</v>
      </c>
      <c r="E106" s="10" t="s">
        <v>14</v>
      </c>
      <c r="F106" s="10">
        <v>10920</v>
      </c>
      <c r="G106" s="10" t="s">
        <v>15</v>
      </c>
      <c r="H106" s="10" t="s">
        <v>17</v>
      </c>
      <c r="I106" s="10" t="s">
        <v>18</v>
      </c>
      <c r="J106" s="10" t="s">
        <v>19</v>
      </c>
      <c r="K106" s="10" t="s">
        <v>19</v>
      </c>
      <c r="L106" s="10" t="s">
        <v>19</v>
      </c>
      <c r="M106" s="12"/>
      <c r="N106" s="10" t="s">
        <v>20</v>
      </c>
      <c r="O106" s="10" t="s">
        <v>2054</v>
      </c>
      <c r="P106" s="25" t="str">
        <f>IFERROR(
IF(OR(O106="anulado",O106="stand by"),CONCATENATE(O106,": ",H106),
IF(OR(YEAR(M106)=2022,YEAR(M106)=2023),CONCATENATE("Se activó en ",YEAR(M106)),
IF(AND(OR(O106="En proceso",O106="facturando"),AND(J106="-",M106="")),"Por revisar",
IF(M106="",IF(J106="NUEVAS",CONCATENATE("Estado: ",O106,", ",J106),
IF(L106=Meses!$A$3,"Por revisar",
IF(H106="","Sin registro","En programación Frcst."))),"En programación")))),
"Error")</f>
        <v>Por revisar</v>
      </c>
      <c r="Q106" s="9" t="str">
        <f t="shared" si="3"/>
        <v>programación de act. NO, estado: Facturando, Comercializador: ENEL, Etapa: Instalado y Activado</v>
      </c>
      <c r="R106" s="25" t="str">
        <f>IF(P106="En programación Frcst.",VLOOKUP(L106,Meses!$A$1:$H$14,3+HLOOKUP(Cronograma!J106,Meses!$D$1:$G$2,2,FALSE),FALSE),
IF(P106="En programación",M106,""))</f>
        <v/>
      </c>
      <c r="S106" s="25" t="str">
        <f t="shared" si="5"/>
        <v/>
      </c>
      <c r="T106" s="21" t="str">
        <f>IFERROR(
(VLOOKUP(MONTH(R106),Meses!$B$3:$C$14,2,FALSE)-DAY(R106))/VLOOKUP(MONTH(R106),Meses!$B$3:$C$14,2,FALSE)*U106,
"")</f>
        <v/>
      </c>
      <c r="U106" s="22">
        <f t="shared" si="4"/>
        <v>10920</v>
      </c>
    </row>
    <row r="107" spans="1:21" ht="32.4" hidden="1" thickBot="1" x14ac:dyDescent="0.6">
      <c r="A107" s="10" t="s">
        <v>159</v>
      </c>
      <c r="B107" s="10" t="s">
        <v>160</v>
      </c>
      <c r="C107" s="12">
        <v>44917</v>
      </c>
      <c r="D107" s="10" t="s">
        <v>14</v>
      </c>
      <c r="E107" s="10" t="s">
        <v>14</v>
      </c>
      <c r="F107" s="10">
        <v>5299</v>
      </c>
      <c r="G107" s="10" t="s">
        <v>15</v>
      </c>
      <c r="H107" s="10" t="s">
        <v>17</v>
      </c>
      <c r="I107" s="10" t="s">
        <v>18</v>
      </c>
      <c r="J107" s="10" t="s">
        <v>19</v>
      </c>
      <c r="K107" s="10" t="s">
        <v>19</v>
      </c>
      <c r="L107" s="10" t="s">
        <v>19</v>
      </c>
      <c r="M107" s="12"/>
      <c r="N107" s="10" t="s">
        <v>20</v>
      </c>
      <c r="O107" s="10" t="s">
        <v>2054</v>
      </c>
      <c r="P107" s="25" t="str">
        <f>IFERROR(
IF(OR(O107="anulado",O107="stand by"),CONCATENATE(O107,": ",H107),
IF(OR(YEAR(M107)=2022,YEAR(M107)=2023),CONCATENATE("Se activó en ",YEAR(M107)),
IF(AND(OR(O107="En proceso",O107="facturando"),AND(J107="-",M107="")),"Por revisar",
IF(M107="",IF(J107="NUEVAS",CONCATENATE("Estado: ",O107,", ",J107),
IF(L107=Meses!$A$3,"Por revisar",
IF(H107="","Sin registro","En programación Frcst."))),"En programación")))),
"Error")</f>
        <v>Por revisar</v>
      </c>
      <c r="Q107" s="9" t="str">
        <f t="shared" si="3"/>
        <v>programación de act. NO, estado: Facturando, Comercializador: ENEL, Etapa: Instalado y Activado</v>
      </c>
      <c r="R107" s="25" t="str">
        <f>IF(P107="En programación Frcst.",VLOOKUP(L107,Meses!$A$1:$H$14,3+HLOOKUP(Cronograma!J107,Meses!$D$1:$G$2,2,FALSE),FALSE),
IF(P107="En programación",M107,""))</f>
        <v/>
      </c>
      <c r="S107" s="25" t="str">
        <f t="shared" si="5"/>
        <v/>
      </c>
      <c r="T107" s="21" t="str">
        <f>IFERROR(
(VLOOKUP(MONTH(R107),Meses!$B$3:$C$14,2,FALSE)-DAY(R107))/VLOOKUP(MONTH(R107),Meses!$B$3:$C$14,2,FALSE)*U107,
"")</f>
        <v/>
      </c>
      <c r="U107" s="22">
        <f t="shared" si="4"/>
        <v>5299</v>
      </c>
    </row>
    <row r="108" spans="1:21" ht="32.4" hidden="1" thickBot="1" x14ac:dyDescent="0.6">
      <c r="A108" s="10" t="s">
        <v>161</v>
      </c>
      <c r="B108" s="10" t="s">
        <v>162</v>
      </c>
      <c r="C108" s="12">
        <v>44945</v>
      </c>
      <c r="D108" s="10" t="s">
        <v>14</v>
      </c>
      <c r="E108" s="10" t="s">
        <v>14</v>
      </c>
      <c r="F108" s="10">
        <v>32910</v>
      </c>
      <c r="G108" s="10" t="s">
        <v>15</v>
      </c>
      <c r="H108" s="10" t="s">
        <v>17</v>
      </c>
      <c r="I108" s="10" t="s">
        <v>18</v>
      </c>
      <c r="J108" s="10" t="s">
        <v>19</v>
      </c>
      <c r="K108" s="10" t="s">
        <v>19</v>
      </c>
      <c r="L108" s="10" t="s">
        <v>19</v>
      </c>
      <c r="M108" s="12"/>
      <c r="N108" s="10" t="s">
        <v>20</v>
      </c>
      <c r="O108" s="10" t="s">
        <v>2054</v>
      </c>
      <c r="P108" s="25" t="str">
        <f>IFERROR(
IF(OR(O108="anulado",O108="stand by"),CONCATENATE(O108,": ",H108),
IF(OR(YEAR(M108)=2022,YEAR(M108)=2023),CONCATENATE("Se activó en ",YEAR(M108)),
IF(AND(OR(O108="En proceso",O108="facturando"),AND(J108="-",M108="")),"Por revisar",
IF(M108="",IF(J108="NUEVAS",CONCATENATE("Estado: ",O108,", ",J108),
IF(L108=Meses!$A$3,"Por revisar",
IF(H108="","Sin registro","En programación Frcst."))),"En programación")))),
"Error")</f>
        <v>Por revisar</v>
      </c>
      <c r="Q108" s="9" t="str">
        <f t="shared" si="3"/>
        <v>programación de act. NO, estado: Facturando, Comercializador: ENEL, Etapa: Instalado y Activado</v>
      </c>
      <c r="R108" s="25" t="str">
        <f>IF(P108="En programación Frcst.",VLOOKUP(L108,Meses!$A$1:$H$14,3+HLOOKUP(Cronograma!J108,Meses!$D$1:$G$2,2,FALSE),FALSE),
IF(P108="En programación",M108,""))</f>
        <v/>
      </c>
      <c r="S108" s="25" t="str">
        <f t="shared" si="5"/>
        <v/>
      </c>
      <c r="T108" s="21" t="str">
        <f>IFERROR(
(VLOOKUP(MONTH(R108),Meses!$B$3:$C$14,2,FALSE)-DAY(R108))/VLOOKUP(MONTH(R108),Meses!$B$3:$C$14,2,FALSE)*U108,
"")</f>
        <v/>
      </c>
      <c r="U108" s="22">
        <f t="shared" si="4"/>
        <v>32910</v>
      </c>
    </row>
    <row r="109" spans="1:21" ht="32.4" hidden="1" thickBot="1" x14ac:dyDescent="0.6">
      <c r="A109" s="10" t="s">
        <v>161</v>
      </c>
      <c r="B109" s="10" t="s">
        <v>163</v>
      </c>
      <c r="C109" s="12">
        <v>44966</v>
      </c>
      <c r="D109" s="10" t="s">
        <v>41</v>
      </c>
      <c r="E109" s="10" t="s">
        <v>41</v>
      </c>
      <c r="F109" s="10">
        <v>104940</v>
      </c>
      <c r="G109" s="10" t="s">
        <v>15</v>
      </c>
      <c r="H109" s="10" t="s">
        <v>17</v>
      </c>
      <c r="I109" s="10" t="s">
        <v>43</v>
      </c>
      <c r="J109" s="10" t="s">
        <v>19</v>
      </c>
      <c r="K109" s="10" t="s">
        <v>19</v>
      </c>
      <c r="L109" s="10" t="s">
        <v>19</v>
      </c>
      <c r="M109" s="12"/>
      <c r="N109" s="10" t="s">
        <v>20</v>
      </c>
      <c r="O109" s="10" t="s">
        <v>2054</v>
      </c>
      <c r="P109" s="25" t="str">
        <f>IFERROR(
IF(OR(O109="anulado",O109="stand by"),CONCATENATE(O109,": ",H109),
IF(OR(YEAR(M109)=2022,YEAR(M109)=2023),CONCATENATE("Se activó en ",YEAR(M109)),
IF(AND(OR(O109="En proceso",O109="facturando"),AND(J109="-",M109="")),"Por revisar",
IF(M109="",IF(J109="NUEVAS",CONCATENATE("Estado: ",O109,", ",J109),
IF(L109=Meses!$A$3,"Por revisar",
IF(H109="","Sin registro","En programación Frcst."))),"En programación")))),
"Error")</f>
        <v>Por revisar</v>
      </c>
      <c r="Q109" s="9" t="str">
        <f t="shared" si="3"/>
        <v>programación de act. NO, estado: Facturando, Comercializador: EPM, Etapa: Instalado y Activado</v>
      </c>
      <c r="R109" s="25" t="str">
        <f>IF(P109="En programación Frcst.",VLOOKUP(L109,Meses!$A$1:$H$14,3+HLOOKUP(Cronograma!J109,Meses!$D$1:$G$2,2,FALSE),FALSE),
IF(P109="En programación",M109,""))</f>
        <v/>
      </c>
      <c r="S109" s="25" t="str">
        <f t="shared" si="5"/>
        <v/>
      </c>
      <c r="T109" s="21" t="str">
        <f>IFERROR(
(VLOOKUP(MONTH(R109),Meses!$B$3:$C$14,2,FALSE)-DAY(R109))/VLOOKUP(MONTH(R109),Meses!$B$3:$C$14,2,FALSE)*U109,
"")</f>
        <v/>
      </c>
      <c r="U109" s="22">
        <f t="shared" si="4"/>
        <v>104940</v>
      </c>
    </row>
    <row r="110" spans="1:21" ht="47.4" hidden="1" thickBot="1" x14ac:dyDescent="0.6">
      <c r="A110" s="10" t="s">
        <v>164</v>
      </c>
      <c r="B110" s="10" t="s">
        <v>165</v>
      </c>
      <c r="C110" s="12">
        <v>44973</v>
      </c>
      <c r="D110" s="10" t="s">
        <v>23</v>
      </c>
      <c r="E110" s="10" t="s">
        <v>23</v>
      </c>
      <c r="F110" s="10">
        <v>7480</v>
      </c>
      <c r="G110" s="10" t="s">
        <v>15</v>
      </c>
      <c r="H110" s="10" t="s">
        <v>17</v>
      </c>
      <c r="I110" s="10" t="s">
        <v>43</v>
      </c>
      <c r="J110" s="10" t="s">
        <v>19</v>
      </c>
      <c r="K110" s="10" t="s">
        <v>19</v>
      </c>
      <c r="L110" s="10" t="s">
        <v>19</v>
      </c>
      <c r="M110" s="12"/>
      <c r="N110" s="10" t="s">
        <v>20</v>
      </c>
      <c r="O110" s="10" t="s">
        <v>2054</v>
      </c>
      <c r="P110" s="25" t="str">
        <f>IFERROR(
IF(OR(O110="anulado",O110="stand by"),CONCATENATE(O110,": ",H110),
IF(OR(YEAR(M110)=2022,YEAR(M110)=2023),CONCATENATE("Se activó en ",YEAR(M110)),
IF(AND(OR(O110="En proceso",O110="facturando"),AND(J110="-",M110="")),"Por revisar",
IF(M110="",IF(J110="NUEVAS",CONCATENATE("Estado: ",O110,", ",J110),
IF(L110=Meses!$A$3,"Por revisar",
IF(H110="","Sin registro","En programación Frcst."))),"En programación")))),
"Error")</f>
        <v>Por revisar</v>
      </c>
      <c r="Q110" s="9" t="str">
        <f t="shared" si="3"/>
        <v>programación de act. NO, estado: Facturando, Comercializador: EMCALI, Etapa: Instalado y Activado</v>
      </c>
      <c r="R110" s="25" t="str">
        <f>IF(P110="En programación Frcst.",VLOOKUP(L110,Meses!$A$1:$H$14,3+HLOOKUP(Cronograma!J110,Meses!$D$1:$G$2,2,FALSE),FALSE),
IF(P110="En programación",M110,""))</f>
        <v/>
      </c>
      <c r="S110" s="25" t="str">
        <f t="shared" si="5"/>
        <v/>
      </c>
      <c r="T110" s="21" t="str">
        <f>IFERROR(
(VLOOKUP(MONTH(R110),Meses!$B$3:$C$14,2,FALSE)-DAY(R110))/VLOOKUP(MONTH(R110),Meses!$B$3:$C$14,2,FALSE)*U110,
"")</f>
        <v/>
      </c>
      <c r="U110" s="22">
        <f t="shared" si="4"/>
        <v>7480</v>
      </c>
    </row>
    <row r="111" spans="1:21" ht="32.4" hidden="1" thickBot="1" x14ac:dyDescent="0.6">
      <c r="A111" s="10" t="s">
        <v>167</v>
      </c>
      <c r="B111" s="10" t="s">
        <v>168</v>
      </c>
      <c r="C111" s="12">
        <v>44938</v>
      </c>
      <c r="D111" s="10" t="s">
        <v>14</v>
      </c>
      <c r="E111" s="10" t="s">
        <v>14</v>
      </c>
      <c r="F111" s="10">
        <v>2022</v>
      </c>
      <c r="G111" s="10" t="s">
        <v>15</v>
      </c>
      <c r="H111" s="10" t="s">
        <v>17</v>
      </c>
      <c r="I111" s="10" t="s">
        <v>18</v>
      </c>
      <c r="J111" s="10" t="s">
        <v>19</v>
      </c>
      <c r="K111" s="10" t="s">
        <v>19</v>
      </c>
      <c r="L111" s="10" t="s">
        <v>19</v>
      </c>
      <c r="M111" s="12"/>
      <c r="N111" s="10" t="s">
        <v>20</v>
      </c>
      <c r="O111" s="10" t="s">
        <v>2054</v>
      </c>
      <c r="P111" s="25" t="str">
        <f>IFERROR(
IF(OR(O111="anulado",O111="stand by"),CONCATENATE(O111,": ",H111),
IF(OR(YEAR(M111)=2022,YEAR(M111)=2023),CONCATENATE("Se activó en ",YEAR(M111)),
IF(AND(OR(O111="En proceso",O111="facturando"),AND(J111="-",M111="")),"Por revisar",
IF(M111="",IF(J111="NUEVAS",CONCATENATE("Estado: ",O111,", ",J111),
IF(L111=Meses!$A$3,"Por revisar",
IF(H111="","Sin registro","En programación Frcst."))),"En programación")))),
"Error")</f>
        <v>Por revisar</v>
      </c>
      <c r="Q111" s="9" t="str">
        <f t="shared" si="3"/>
        <v>programación de act. NO, estado: Facturando, Comercializador: ENEL, Etapa: Instalado y Activado</v>
      </c>
      <c r="R111" s="25" t="str">
        <f>IF(P111="En programación Frcst.",VLOOKUP(L111,Meses!$A$1:$H$14,3+HLOOKUP(Cronograma!J111,Meses!$D$1:$G$2,2,FALSE),FALSE),
IF(P111="En programación",M111,""))</f>
        <v/>
      </c>
      <c r="S111" s="25" t="str">
        <f t="shared" si="5"/>
        <v/>
      </c>
      <c r="T111" s="21" t="str">
        <f>IFERROR(
(VLOOKUP(MONTH(R111),Meses!$B$3:$C$14,2,FALSE)-DAY(R111))/VLOOKUP(MONTH(R111),Meses!$B$3:$C$14,2,FALSE)*U111,
"")</f>
        <v/>
      </c>
      <c r="U111" s="22">
        <f t="shared" si="4"/>
        <v>2022</v>
      </c>
    </row>
    <row r="112" spans="1:21" ht="32.4" hidden="1" thickBot="1" x14ac:dyDescent="0.6">
      <c r="A112" s="10" t="s">
        <v>167</v>
      </c>
      <c r="B112" s="10" t="s">
        <v>169</v>
      </c>
      <c r="C112" s="12">
        <v>45036</v>
      </c>
      <c r="D112" s="10" t="s">
        <v>156</v>
      </c>
      <c r="E112" s="10" t="s">
        <v>156</v>
      </c>
      <c r="F112" s="10">
        <v>6560</v>
      </c>
      <c r="G112" s="10" t="s">
        <v>15</v>
      </c>
      <c r="H112" s="10" t="s">
        <v>17</v>
      </c>
      <c r="I112" s="10" t="s">
        <v>43</v>
      </c>
      <c r="J112" s="10" t="s">
        <v>19</v>
      </c>
      <c r="K112" s="10" t="s">
        <v>19</v>
      </c>
      <c r="L112" s="10" t="s">
        <v>19</v>
      </c>
      <c r="M112" s="12"/>
      <c r="N112" s="10" t="s">
        <v>20</v>
      </c>
      <c r="O112" s="10" t="s">
        <v>2054</v>
      </c>
      <c r="P112" s="25" t="str">
        <f>IFERROR(
IF(OR(O112="anulado",O112="stand by"),CONCATENATE(O112,": ",H112),
IF(OR(YEAR(M112)=2022,YEAR(M112)=2023),CONCATENATE("Se activó en ",YEAR(M112)),
IF(AND(OR(O112="En proceso",O112="facturando"),AND(J112="-",M112="")),"Por revisar",
IF(M112="",IF(J112="NUEVAS",CONCATENATE("Estado: ",O112,", ",J112),
IF(L112=Meses!$A$3,"Por revisar",
IF(H112="","Sin registro","En programación Frcst."))),"En programación")))),
"Error")</f>
        <v>Por revisar</v>
      </c>
      <c r="Q112" s="9" t="str">
        <f t="shared" si="3"/>
        <v>programación de act. NO, estado: Facturando, Comercializador: ESSA, Etapa: Instalado y Activado</v>
      </c>
      <c r="R112" s="25" t="str">
        <f>IF(P112="En programación Frcst.",VLOOKUP(L112,Meses!$A$1:$H$14,3+HLOOKUP(Cronograma!J112,Meses!$D$1:$G$2,2,FALSE),FALSE),
IF(P112="En programación",M112,""))</f>
        <v/>
      </c>
      <c r="S112" s="25" t="str">
        <f t="shared" si="5"/>
        <v/>
      </c>
      <c r="T112" s="21" t="str">
        <f>IFERROR(
(VLOOKUP(MONTH(R112),Meses!$B$3:$C$14,2,FALSE)-DAY(R112))/VLOOKUP(MONTH(R112),Meses!$B$3:$C$14,2,FALSE)*U112,
"")</f>
        <v/>
      </c>
      <c r="U112" s="22">
        <f t="shared" si="4"/>
        <v>6560</v>
      </c>
    </row>
    <row r="113" spans="1:21" ht="94.2" hidden="1" thickBot="1" x14ac:dyDescent="0.6">
      <c r="A113" s="10" t="s">
        <v>170</v>
      </c>
      <c r="B113" s="10" t="s">
        <v>172</v>
      </c>
      <c r="C113" s="12">
        <v>44973</v>
      </c>
      <c r="D113" s="10" t="s">
        <v>171</v>
      </c>
      <c r="E113" s="10" t="s">
        <v>74</v>
      </c>
      <c r="F113" s="10">
        <v>12617</v>
      </c>
      <c r="G113" s="10" t="s">
        <v>15</v>
      </c>
      <c r="H113" s="10" t="s">
        <v>17</v>
      </c>
      <c r="I113" s="10" t="s">
        <v>66</v>
      </c>
      <c r="J113" s="10" t="s">
        <v>143</v>
      </c>
      <c r="K113" s="10" t="s">
        <v>852</v>
      </c>
      <c r="L113" s="10" t="s">
        <v>748</v>
      </c>
      <c r="M113" s="12"/>
      <c r="N113" s="10" t="s">
        <v>20</v>
      </c>
      <c r="O113" s="10" t="s">
        <v>2054</v>
      </c>
      <c r="P113" s="25" t="str">
        <f>IFERROR(
IF(OR(O113="anulado",O113="stand by"),CONCATENATE(O113,": ",H113),
IF(OR(YEAR(M113)=2022,YEAR(M113)=2023),CONCATENATE("Se activó en ",YEAR(M113)),
IF(AND(OR(O113="En proceso",O113="facturando"),AND(J113="-",M113="")),"Por revisar",
IF(M113="",IF(J113="NUEVAS",CONCATENATE("Estado: ",O113,", ",J113),
IF(L113=Meses!$A$3,"Por revisar",
IF(H113="","Sin registro","En programación Frcst."))),"En programación")))),
"Error")</f>
        <v>En programación Frcst.</v>
      </c>
      <c r="Q113" s="9" t="str">
        <f t="shared" si="3"/>
        <v/>
      </c>
      <c r="R113" s="25">
        <f>IF(P113="En programación Frcst.",VLOOKUP(L113,Meses!$A$1:$H$14,3+HLOOKUP(Cronograma!J113,Meses!$D$1:$G$2,2,FALSE),FALSE),
IF(P113="En programación",M113,""))</f>
        <v>45330</v>
      </c>
      <c r="S113" s="25" t="str">
        <f t="shared" si="5"/>
        <v>2024/2</v>
      </c>
      <c r="T113" s="21">
        <f>IFERROR(
(VLOOKUP(MONTH(R113),Meses!$B$3:$C$14,2,FALSE)-DAY(R113))/VLOOKUP(MONTH(R113),Meses!$B$3:$C$14,2,FALSE)*U113,
"")</f>
        <v>9136.4482758620688</v>
      </c>
      <c r="U113" s="22">
        <f t="shared" si="4"/>
        <v>12617</v>
      </c>
    </row>
    <row r="114" spans="1:21" ht="32.4" hidden="1" thickBot="1" x14ac:dyDescent="0.6">
      <c r="A114" s="10" t="s">
        <v>173</v>
      </c>
      <c r="B114" s="10" t="s">
        <v>174</v>
      </c>
      <c r="C114" s="12">
        <v>44938</v>
      </c>
      <c r="D114" s="10" t="s">
        <v>14</v>
      </c>
      <c r="E114" s="10" t="s">
        <v>14</v>
      </c>
      <c r="F114" s="10">
        <v>4168</v>
      </c>
      <c r="G114" s="10" t="s">
        <v>15</v>
      </c>
      <c r="H114" s="10" t="s">
        <v>17</v>
      </c>
      <c r="I114" s="10" t="s">
        <v>18</v>
      </c>
      <c r="J114" s="10" t="s">
        <v>19</v>
      </c>
      <c r="K114" s="10" t="s">
        <v>19</v>
      </c>
      <c r="L114" s="10" t="s">
        <v>19</v>
      </c>
      <c r="M114" s="12"/>
      <c r="N114" s="10" t="s">
        <v>20</v>
      </c>
      <c r="O114" s="10" t="s">
        <v>2054</v>
      </c>
      <c r="P114" s="25" t="str">
        <f>IFERROR(
IF(OR(O114="anulado",O114="stand by"),CONCATENATE(O114,": ",H114),
IF(OR(YEAR(M114)=2022,YEAR(M114)=2023),CONCATENATE("Se activó en ",YEAR(M114)),
IF(AND(OR(O114="En proceso",O114="facturando"),AND(J114="-",M114="")),"Por revisar",
IF(M114="",IF(J114="NUEVAS",CONCATENATE("Estado: ",O114,", ",J114),
IF(L114=Meses!$A$3,"Por revisar",
IF(H114="","Sin registro","En programación Frcst."))),"En programación")))),
"Error")</f>
        <v>Por revisar</v>
      </c>
      <c r="Q114" s="9" t="str">
        <f t="shared" si="3"/>
        <v>programación de act. NO, estado: Facturando, Comercializador: ENEL, Etapa: Instalado y Activado</v>
      </c>
      <c r="R114" s="25" t="str">
        <f>IF(P114="En programación Frcst.",VLOOKUP(L114,Meses!$A$1:$H$14,3+HLOOKUP(Cronograma!J114,Meses!$D$1:$G$2,2,FALSE),FALSE),
IF(P114="En programación",M114,""))</f>
        <v/>
      </c>
      <c r="S114" s="25" t="str">
        <f t="shared" si="5"/>
        <v/>
      </c>
      <c r="T114" s="21" t="str">
        <f>IFERROR(
(VLOOKUP(MONTH(R114),Meses!$B$3:$C$14,2,FALSE)-DAY(R114))/VLOOKUP(MONTH(R114),Meses!$B$3:$C$14,2,FALSE)*U114,
"")</f>
        <v/>
      </c>
      <c r="U114" s="22">
        <f t="shared" si="4"/>
        <v>4168</v>
      </c>
    </row>
    <row r="115" spans="1:21" ht="32.4" hidden="1" thickBot="1" x14ac:dyDescent="0.6">
      <c r="A115" s="10" t="s">
        <v>173</v>
      </c>
      <c r="B115" s="10" t="s">
        <v>175</v>
      </c>
      <c r="C115" s="12">
        <v>44938</v>
      </c>
      <c r="D115" s="10" t="s">
        <v>14</v>
      </c>
      <c r="E115" s="10" t="s">
        <v>14</v>
      </c>
      <c r="F115" s="10">
        <v>2132</v>
      </c>
      <c r="G115" s="10" t="s">
        <v>15</v>
      </c>
      <c r="H115" s="10" t="s">
        <v>17</v>
      </c>
      <c r="I115" s="10" t="s">
        <v>18</v>
      </c>
      <c r="J115" s="10" t="s">
        <v>19</v>
      </c>
      <c r="K115" s="10" t="s">
        <v>19</v>
      </c>
      <c r="L115" s="10" t="s">
        <v>19</v>
      </c>
      <c r="M115" s="12"/>
      <c r="N115" s="10" t="s">
        <v>20</v>
      </c>
      <c r="O115" s="10" t="s">
        <v>2054</v>
      </c>
      <c r="P115" s="25" t="str">
        <f>IFERROR(
IF(OR(O115="anulado",O115="stand by"),CONCATENATE(O115,": ",H115),
IF(OR(YEAR(M115)=2022,YEAR(M115)=2023),CONCATENATE("Se activó en ",YEAR(M115)),
IF(AND(OR(O115="En proceso",O115="facturando"),AND(J115="-",M115="")),"Por revisar",
IF(M115="",IF(J115="NUEVAS",CONCATENATE("Estado: ",O115,", ",J115),
IF(L115=Meses!$A$3,"Por revisar",
IF(H115="","Sin registro","En programación Frcst."))),"En programación")))),
"Error")</f>
        <v>Por revisar</v>
      </c>
      <c r="Q115" s="9" t="str">
        <f t="shared" si="3"/>
        <v>programación de act. NO, estado: Facturando, Comercializador: ENEL, Etapa: Instalado y Activado</v>
      </c>
      <c r="R115" s="25" t="str">
        <f>IF(P115="En programación Frcst.",VLOOKUP(L115,Meses!$A$1:$H$14,3+HLOOKUP(Cronograma!J115,Meses!$D$1:$G$2,2,FALSE),FALSE),
IF(P115="En programación",M115,""))</f>
        <v/>
      </c>
      <c r="S115" s="25" t="str">
        <f t="shared" si="5"/>
        <v/>
      </c>
      <c r="T115" s="21" t="str">
        <f>IFERROR(
(VLOOKUP(MONTH(R115),Meses!$B$3:$C$14,2,FALSE)-DAY(R115))/VLOOKUP(MONTH(R115),Meses!$B$3:$C$14,2,FALSE)*U115,
"")</f>
        <v/>
      </c>
      <c r="U115" s="22">
        <f t="shared" si="4"/>
        <v>2132</v>
      </c>
    </row>
    <row r="116" spans="1:21" ht="32.4" hidden="1" thickBot="1" x14ac:dyDescent="0.6">
      <c r="A116" s="10" t="s">
        <v>173</v>
      </c>
      <c r="B116" s="10" t="s">
        <v>176</v>
      </c>
      <c r="C116" s="12">
        <v>44938</v>
      </c>
      <c r="D116" s="10" t="s">
        <v>14</v>
      </c>
      <c r="E116" s="10" t="s">
        <v>14</v>
      </c>
      <c r="F116" s="10">
        <v>863</v>
      </c>
      <c r="G116" s="10" t="s">
        <v>15</v>
      </c>
      <c r="H116" s="10" t="s">
        <v>17</v>
      </c>
      <c r="I116" s="10" t="s">
        <v>18</v>
      </c>
      <c r="J116" s="10" t="s">
        <v>19</v>
      </c>
      <c r="K116" s="10" t="s">
        <v>19</v>
      </c>
      <c r="L116" s="10" t="s">
        <v>19</v>
      </c>
      <c r="M116" s="12"/>
      <c r="N116" s="10" t="s">
        <v>20</v>
      </c>
      <c r="O116" s="10" t="s">
        <v>2054</v>
      </c>
      <c r="P116" s="25" t="str">
        <f>IFERROR(
IF(OR(O116="anulado",O116="stand by"),CONCATENATE(O116,": ",H116),
IF(OR(YEAR(M116)=2022,YEAR(M116)=2023),CONCATENATE("Se activó en ",YEAR(M116)),
IF(AND(OR(O116="En proceso",O116="facturando"),AND(J116="-",M116="")),"Por revisar",
IF(M116="",IF(J116="NUEVAS",CONCATENATE("Estado: ",O116,", ",J116),
IF(L116=Meses!$A$3,"Por revisar",
IF(H116="","Sin registro","En programación Frcst."))),"En programación")))),
"Error")</f>
        <v>Por revisar</v>
      </c>
      <c r="Q116" s="9" t="str">
        <f t="shared" si="3"/>
        <v>programación de act. NO, estado: Facturando, Comercializador: ENEL, Etapa: Instalado y Activado</v>
      </c>
      <c r="R116" s="25" t="str">
        <f>IF(P116="En programación Frcst.",VLOOKUP(L116,Meses!$A$1:$H$14,3+HLOOKUP(Cronograma!J116,Meses!$D$1:$G$2,2,FALSE),FALSE),
IF(P116="En programación",M116,""))</f>
        <v/>
      </c>
      <c r="S116" s="25" t="str">
        <f t="shared" si="5"/>
        <v/>
      </c>
      <c r="T116" s="21" t="str">
        <f>IFERROR(
(VLOOKUP(MONTH(R116),Meses!$B$3:$C$14,2,FALSE)-DAY(R116))/VLOOKUP(MONTH(R116),Meses!$B$3:$C$14,2,FALSE)*U116,
"")</f>
        <v/>
      </c>
      <c r="U116" s="22">
        <f t="shared" si="4"/>
        <v>863</v>
      </c>
    </row>
    <row r="117" spans="1:21" ht="32.4" hidden="1" thickBot="1" x14ac:dyDescent="0.6">
      <c r="A117" s="10" t="s">
        <v>173</v>
      </c>
      <c r="B117" s="10" t="s">
        <v>177</v>
      </c>
      <c r="C117" s="12">
        <v>44938</v>
      </c>
      <c r="D117" s="10" t="s">
        <v>14</v>
      </c>
      <c r="E117" s="10" t="s">
        <v>14</v>
      </c>
      <c r="F117" s="10">
        <v>6899</v>
      </c>
      <c r="G117" s="10" t="s">
        <v>15</v>
      </c>
      <c r="H117" s="10" t="s">
        <v>17</v>
      </c>
      <c r="I117" s="10" t="s">
        <v>18</v>
      </c>
      <c r="J117" s="10" t="s">
        <v>19</v>
      </c>
      <c r="K117" s="10" t="s">
        <v>19</v>
      </c>
      <c r="L117" s="10" t="s">
        <v>19</v>
      </c>
      <c r="M117" s="12"/>
      <c r="N117" s="10" t="s">
        <v>20</v>
      </c>
      <c r="O117" s="10" t="s">
        <v>2054</v>
      </c>
      <c r="P117" s="25" t="str">
        <f>IFERROR(
IF(OR(O117="anulado",O117="stand by"),CONCATENATE(O117,": ",H117),
IF(OR(YEAR(M117)=2022,YEAR(M117)=2023),CONCATENATE("Se activó en ",YEAR(M117)),
IF(AND(OR(O117="En proceso",O117="facturando"),AND(J117="-",M117="")),"Por revisar",
IF(M117="",IF(J117="NUEVAS",CONCATENATE("Estado: ",O117,", ",J117),
IF(L117=Meses!$A$3,"Por revisar",
IF(H117="","Sin registro","En programación Frcst."))),"En programación")))),
"Error")</f>
        <v>Por revisar</v>
      </c>
      <c r="Q117" s="9" t="str">
        <f t="shared" si="3"/>
        <v>programación de act. NO, estado: Facturando, Comercializador: ENEL, Etapa: Instalado y Activado</v>
      </c>
      <c r="R117" s="25" t="str">
        <f>IF(P117="En programación Frcst.",VLOOKUP(L117,Meses!$A$1:$H$14,3+HLOOKUP(Cronograma!J117,Meses!$D$1:$G$2,2,FALSE),FALSE),
IF(P117="En programación",M117,""))</f>
        <v/>
      </c>
      <c r="S117" s="25" t="str">
        <f t="shared" si="5"/>
        <v/>
      </c>
      <c r="T117" s="21" t="str">
        <f>IFERROR(
(VLOOKUP(MONTH(R117),Meses!$B$3:$C$14,2,FALSE)-DAY(R117))/VLOOKUP(MONTH(R117),Meses!$B$3:$C$14,2,FALSE)*U117,
"")</f>
        <v/>
      </c>
      <c r="U117" s="22">
        <f t="shared" si="4"/>
        <v>6899</v>
      </c>
    </row>
    <row r="118" spans="1:21" ht="32.4" hidden="1" thickBot="1" x14ac:dyDescent="0.6">
      <c r="A118" s="10" t="s">
        <v>173</v>
      </c>
      <c r="B118" s="10" t="s">
        <v>178</v>
      </c>
      <c r="C118" s="12">
        <v>44938</v>
      </c>
      <c r="D118" s="10" t="s">
        <v>14</v>
      </c>
      <c r="E118" s="10" t="s">
        <v>14</v>
      </c>
      <c r="F118" s="10">
        <v>9613</v>
      </c>
      <c r="G118" s="10" t="s">
        <v>15</v>
      </c>
      <c r="H118" s="10" t="s">
        <v>17</v>
      </c>
      <c r="I118" s="10" t="s">
        <v>18</v>
      </c>
      <c r="J118" s="10" t="s">
        <v>19</v>
      </c>
      <c r="K118" s="10" t="s">
        <v>19</v>
      </c>
      <c r="L118" s="10" t="s">
        <v>19</v>
      </c>
      <c r="M118" s="12"/>
      <c r="N118" s="10" t="s">
        <v>20</v>
      </c>
      <c r="O118" s="10" t="s">
        <v>2054</v>
      </c>
      <c r="P118" s="25" t="str">
        <f>IFERROR(
IF(OR(O118="anulado",O118="stand by"),CONCATENATE(O118,": ",H118),
IF(OR(YEAR(M118)=2022,YEAR(M118)=2023),CONCATENATE("Se activó en ",YEAR(M118)),
IF(AND(OR(O118="En proceso",O118="facturando"),AND(J118="-",M118="")),"Por revisar",
IF(M118="",IF(J118="NUEVAS",CONCATENATE("Estado: ",O118,", ",J118),
IF(L118=Meses!$A$3,"Por revisar",
IF(H118="","Sin registro","En programación Frcst."))),"En programación")))),
"Error")</f>
        <v>Por revisar</v>
      </c>
      <c r="Q118" s="9" t="str">
        <f t="shared" si="3"/>
        <v>programación de act. NO, estado: Facturando, Comercializador: ENEL, Etapa: Instalado y Activado</v>
      </c>
      <c r="R118" s="25" t="str">
        <f>IF(P118="En programación Frcst.",VLOOKUP(L118,Meses!$A$1:$H$14,3+HLOOKUP(Cronograma!J118,Meses!$D$1:$G$2,2,FALSE),FALSE),
IF(P118="En programación",M118,""))</f>
        <v/>
      </c>
      <c r="S118" s="25" t="str">
        <f t="shared" si="5"/>
        <v/>
      </c>
      <c r="T118" s="21" t="str">
        <f>IFERROR(
(VLOOKUP(MONTH(R118),Meses!$B$3:$C$14,2,FALSE)-DAY(R118))/VLOOKUP(MONTH(R118),Meses!$B$3:$C$14,2,FALSE)*U118,
"")</f>
        <v/>
      </c>
      <c r="U118" s="22">
        <f t="shared" si="4"/>
        <v>9613</v>
      </c>
    </row>
    <row r="119" spans="1:21" ht="32.4" hidden="1" thickBot="1" x14ac:dyDescent="0.6">
      <c r="A119" s="10" t="s">
        <v>173</v>
      </c>
      <c r="B119" s="10" t="s">
        <v>179</v>
      </c>
      <c r="C119" s="12">
        <v>44945</v>
      </c>
      <c r="D119" s="10" t="s">
        <v>14</v>
      </c>
      <c r="E119" s="10" t="s">
        <v>14</v>
      </c>
      <c r="F119" s="10">
        <v>9669</v>
      </c>
      <c r="G119" s="10" t="s">
        <v>15</v>
      </c>
      <c r="H119" s="10" t="s">
        <v>17</v>
      </c>
      <c r="I119" s="10" t="s">
        <v>18</v>
      </c>
      <c r="J119" s="10" t="s">
        <v>19</v>
      </c>
      <c r="K119" s="10" t="s">
        <v>19</v>
      </c>
      <c r="L119" s="10" t="s">
        <v>19</v>
      </c>
      <c r="M119" s="12"/>
      <c r="N119" s="10" t="s">
        <v>20</v>
      </c>
      <c r="O119" s="10" t="s">
        <v>2054</v>
      </c>
      <c r="P119" s="25" t="str">
        <f>IFERROR(
IF(OR(O119="anulado",O119="stand by"),CONCATENATE(O119,": ",H119),
IF(OR(YEAR(M119)=2022,YEAR(M119)=2023),CONCATENATE("Se activó en ",YEAR(M119)),
IF(AND(OR(O119="En proceso",O119="facturando"),AND(J119="-",M119="")),"Por revisar",
IF(M119="",IF(J119="NUEVAS",CONCATENATE("Estado: ",O119,", ",J119),
IF(L119=Meses!$A$3,"Por revisar",
IF(H119="","Sin registro","En programación Frcst."))),"En programación")))),
"Error")</f>
        <v>Por revisar</v>
      </c>
      <c r="Q119" s="9" t="str">
        <f t="shared" si="3"/>
        <v>programación de act. NO, estado: Facturando, Comercializador: ENEL, Etapa: Instalado y Activado</v>
      </c>
      <c r="R119" s="25" t="str">
        <f>IF(P119="En programación Frcst.",VLOOKUP(L119,Meses!$A$1:$H$14,3+HLOOKUP(Cronograma!J119,Meses!$D$1:$G$2,2,FALSE),FALSE),
IF(P119="En programación",M119,""))</f>
        <v/>
      </c>
      <c r="S119" s="25" t="str">
        <f t="shared" si="5"/>
        <v/>
      </c>
      <c r="T119" s="21" t="str">
        <f>IFERROR(
(VLOOKUP(MONTH(R119),Meses!$B$3:$C$14,2,FALSE)-DAY(R119))/VLOOKUP(MONTH(R119),Meses!$B$3:$C$14,2,FALSE)*U119,
"")</f>
        <v/>
      </c>
      <c r="U119" s="22">
        <f t="shared" si="4"/>
        <v>9669</v>
      </c>
    </row>
    <row r="120" spans="1:21" ht="32.4" hidden="1" thickBot="1" x14ac:dyDescent="0.6">
      <c r="A120" s="10" t="s">
        <v>180</v>
      </c>
      <c r="B120" s="10" t="s">
        <v>182</v>
      </c>
      <c r="C120" s="12">
        <v>44927</v>
      </c>
      <c r="D120" s="10" t="s">
        <v>181</v>
      </c>
      <c r="E120" s="10" t="s">
        <v>14</v>
      </c>
      <c r="F120" s="10">
        <v>31346</v>
      </c>
      <c r="G120" s="10" t="s">
        <v>20</v>
      </c>
      <c r="H120" s="10" t="s">
        <v>17</v>
      </c>
      <c r="I120" s="10" t="s">
        <v>66</v>
      </c>
      <c r="J120" s="10" t="s">
        <v>19</v>
      </c>
      <c r="K120" s="10" t="s">
        <v>19</v>
      </c>
      <c r="L120" s="10" t="s">
        <v>19</v>
      </c>
      <c r="M120" s="12"/>
      <c r="N120" s="10" t="s">
        <v>20</v>
      </c>
      <c r="O120" s="10" t="s">
        <v>2054</v>
      </c>
      <c r="P120" s="25" t="str">
        <f>IFERROR(
IF(OR(O120="anulado",O120="stand by"),CONCATENATE(O120,": ",H120),
IF(OR(YEAR(M120)=2022,YEAR(M120)=2023),CONCATENATE("Se activó en ",YEAR(M120)),
IF(AND(OR(O120="En proceso",O120="facturando"),AND(J120="-",M120="")),"Por revisar",
IF(M120="",IF(J120="NUEVAS",CONCATENATE("Estado: ",O120,", ",J120),
IF(L120=Meses!$A$3,"Por revisar",
IF(H120="","Sin registro","En programación Frcst."))),"En programación")))),
"Error")</f>
        <v>Por revisar</v>
      </c>
      <c r="Q120" s="9" t="str">
        <f t="shared" si="3"/>
        <v>programación de act. NO, estado: Facturando, Comercializador: SPECTRUM, Etapa: Instalado y Activado</v>
      </c>
      <c r="R120" s="25" t="str">
        <f>IF(P120="En programación Frcst.",VLOOKUP(L120,Meses!$A$1:$H$14,3+HLOOKUP(Cronograma!J120,Meses!$D$1:$G$2,2,FALSE),FALSE),
IF(P120="En programación",M120,""))</f>
        <v/>
      </c>
      <c r="S120" s="25" t="str">
        <f t="shared" si="5"/>
        <v/>
      </c>
      <c r="T120" s="21" t="str">
        <f>IFERROR(
(VLOOKUP(MONTH(R120),Meses!$B$3:$C$14,2,FALSE)-DAY(R120))/VLOOKUP(MONTH(R120),Meses!$B$3:$C$14,2,FALSE)*U120,
"")</f>
        <v/>
      </c>
      <c r="U120" s="22">
        <f t="shared" si="4"/>
        <v>31346</v>
      </c>
    </row>
    <row r="121" spans="1:21" ht="32.4" hidden="1" thickBot="1" x14ac:dyDescent="0.6">
      <c r="A121" s="10" t="s">
        <v>183</v>
      </c>
      <c r="B121" s="10" t="s">
        <v>184</v>
      </c>
      <c r="C121" s="12">
        <v>44927</v>
      </c>
      <c r="D121" s="10" t="s">
        <v>181</v>
      </c>
      <c r="E121" s="10" t="s">
        <v>14</v>
      </c>
      <c r="F121" s="10">
        <v>40690</v>
      </c>
      <c r="G121" s="10" t="s">
        <v>20</v>
      </c>
      <c r="H121" s="10" t="s">
        <v>17</v>
      </c>
      <c r="I121" s="10" t="s">
        <v>66</v>
      </c>
      <c r="J121" s="10" t="s">
        <v>19</v>
      </c>
      <c r="K121" s="10" t="s">
        <v>19</v>
      </c>
      <c r="L121" s="10" t="s">
        <v>19</v>
      </c>
      <c r="M121" s="12"/>
      <c r="N121" s="10" t="s">
        <v>20</v>
      </c>
      <c r="O121" s="10" t="s">
        <v>2054</v>
      </c>
      <c r="P121" s="25" t="str">
        <f>IFERROR(
IF(OR(O121="anulado",O121="stand by"),CONCATENATE(O121,": ",H121),
IF(OR(YEAR(M121)=2022,YEAR(M121)=2023),CONCATENATE("Se activó en ",YEAR(M121)),
IF(AND(OR(O121="En proceso",O121="facturando"),AND(J121="-",M121="")),"Por revisar",
IF(M121="",IF(J121="NUEVAS",CONCATENATE("Estado: ",O121,", ",J121),
IF(L121=Meses!$A$3,"Por revisar",
IF(H121="","Sin registro","En programación Frcst."))),"En programación")))),
"Error")</f>
        <v>Por revisar</v>
      </c>
      <c r="Q121" s="9" t="str">
        <f t="shared" si="3"/>
        <v>programación de act. NO, estado: Facturando, Comercializador: SPECTRUM, Etapa: Instalado y Activado</v>
      </c>
      <c r="R121" s="25" t="str">
        <f>IF(P121="En programación Frcst.",VLOOKUP(L121,Meses!$A$1:$H$14,3+HLOOKUP(Cronograma!J121,Meses!$D$1:$G$2,2,FALSE),FALSE),
IF(P121="En programación",M121,""))</f>
        <v/>
      </c>
      <c r="S121" s="25" t="str">
        <f t="shared" si="5"/>
        <v/>
      </c>
      <c r="T121" s="21" t="str">
        <f>IFERROR(
(VLOOKUP(MONTH(R121),Meses!$B$3:$C$14,2,FALSE)-DAY(R121))/VLOOKUP(MONTH(R121),Meses!$B$3:$C$14,2,FALSE)*U121,
"")</f>
        <v/>
      </c>
      <c r="U121" s="22">
        <f t="shared" si="4"/>
        <v>40690</v>
      </c>
    </row>
    <row r="122" spans="1:21" ht="32.4" hidden="1" thickBot="1" x14ac:dyDescent="0.6">
      <c r="A122" s="10" t="s">
        <v>183</v>
      </c>
      <c r="B122" s="10" t="s">
        <v>185</v>
      </c>
      <c r="C122" s="12">
        <v>44927</v>
      </c>
      <c r="D122" s="10" t="s">
        <v>181</v>
      </c>
      <c r="E122" s="10" t="s">
        <v>14</v>
      </c>
      <c r="F122" s="10">
        <v>58133</v>
      </c>
      <c r="G122" s="10" t="s">
        <v>20</v>
      </c>
      <c r="H122" s="10" t="s">
        <v>17</v>
      </c>
      <c r="I122" s="10" t="s">
        <v>66</v>
      </c>
      <c r="J122" s="10" t="s">
        <v>19</v>
      </c>
      <c r="K122" s="10" t="s">
        <v>19</v>
      </c>
      <c r="L122" s="10" t="s">
        <v>19</v>
      </c>
      <c r="M122" s="12"/>
      <c r="N122" s="10" t="s">
        <v>20</v>
      </c>
      <c r="O122" s="10" t="s">
        <v>2054</v>
      </c>
      <c r="P122" s="25" t="str">
        <f>IFERROR(
IF(OR(O122="anulado",O122="stand by"),CONCATENATE(O122,": ",H122),
IF(OR(YEAR(M122)=2022,YEAR(M122)=2023),CONCATENATE("Se activó en ",YEAR(M122)),
IF(AND(OR(O122="En proceso",O122="facturando"),AND(J122="-",M122="")),"Por revisar",
IF(M122="",IF(J122="NUEVAS",CONCATENATE("Estado: ",O122,", ",J122),
IF(L122=Meses!$A$3,"Por revisar",
IF(H122="","Sin registro","En programación Frcst."))),"En programación")))),
"Error")</f>
        <v>Por revisar</v>
      </c>
      <c r="Q122" s="9" t="str">
        <f t="shared" si="3"/>
        <v>programación de act. NO, estado: Facturando, Comercializador: SPECTRUM, Etapa: Instalado y Activado</v>
      </c>
      <c r="R122" s="25" t="str">
        <f>IF(P122="En programación Frcst.",VLOOKUP(L122,Meses!$A$1:$H$14,3+HLOOKUP(Cronograma!J122,Meses!$D$1:$G$2,2,FALSE),FALSE),
IF(P122="En programación",M122,""))</f>
        <v/>
      </c>
      <c r="S122" s="25" t="str">
        <f t="shared" si="5"/>
        <v/>
      </c>
      <c r="T122" s="21" t="str">
        <f>IFERROR(
(VLOOKUP(MONTH(R122),Meses!$B$3:$C$14,2,FALSE)-DAY(R122))/VLOOKUP(MONTH(R122),Meses!$B$3:$C$14,2,FALSE)*U122,
"")</f>
        <v/>
      </c>
      <c r="U122" s="22">
        <f t="shared" si="4"/>
        <v>58133</v>
      </c>
    </row>
    <row r="123" spans="1:21" ht="32.4" hidden="1" thickBot="1" x14ac:dyDescent="0.6">
      <c r="A123" s="10" t="s">
        <v>183</v>
      </c>
      <c r="B123" s="10" t="s">
        <v>186</v>
      </c>
      <c r="C123" s="12">
        <v>44927</v>
      </c>
      <c r="D123" s="10" t="s">
        <v>181</v>
      </c>
      <c r="E123" s="10" t="s">
        <v>14</v>
      </c>
      <c r="F123" s="10">
        <v>42874</v>
      </c>
      <c r="G123" s="10" t="s">
        <v>20</v>
      </c>
      <c r="H123" s="10" t="s">
        <v>17</v>
      </c>
      <c r="I123" s="10" t="s">
        <v>66</v>
      </c>
      <c r="J123" s="10" t="s">
        <v>19</v>
      </c>
      <c r="K123" s="10" t="s">
        <v>19</v>
      </c>
      <c r="L123" s="10" t="s">
        <v>19</v>
      </c>
      <c r="M123" s="12"/>
      <c r="N123" s="10" t="s">
        <v>20</v>
      </c>
      <c r="O123" s="10" t="s">
        <v>2054</v>
      </c>
      <c r="P123" s="25" t="str">
        <f>IFERROR(
IF(OR(O123="anulado",O123="stand by"),CONCATENATE(O123,": ",H123),
IF(OR(YEAR(M123)=2022,YEAR(M123)=2023),CONCATENATE("Se activó en ",YEAR(M123)),
IF(AND(OR(O123="En proceso",O123="facturando"),AND(J123="-",M123="")),"Por revisar",
IF(M123="",IF(J123="NUEVAS",CONCATENATE("Estado: ",O123,", ",J123),
IF(L123=Meses!$A$3,"Por revisar",
IF(H123="","Sin registro","En programación Frcst."))),"En programación")))),
"Error")</f>
        <v>Por revisar</v>
      </c>
      <c r="Q123" s="9" t="str">
        <f t="shared" si="3"/>
        <v>programación de act. NO, estado: Facturando, Comercializador: SPECTRUM, Etapa: Instalado y Activado</v>
      </c>
      <c r="R123" s="25" t="str">
        <f>IF(P123="En programación Frcst.",VLOOKUP(L123,Meses!$A$1:$H$14,3+HLOOKUP(Cronograma!J123,Meses!$D$1:$G$2,2,FALSE),FALSE),
IF(P123="En programación",M123,""))</f>
        <v/>
      </c>
      <c r="S123" s="25" t="str">
        <f t="shared" si="5"/>
        <v/>
      </c>
      <c r="T123" s="21" t="str">
        <f>IFERROR(
(VLOOKUP(MONTH(R123),Meses!$B$3:$C$14,2,FALSE)-DAY(R123))/VLOOKUP(MONTH(R123),Meses!$B$3:$C$14,2,FALSE)*U123,
"")</f>
        <v/>
      </c>
      <c r="U123" s="22">
        <f t="shared" si="4"/>
        <v>42874</v>
      </c>
    </row>
    <row r="124" spans="1:21" ht="32.4" hidden="1" thickBot="1" x14ac:dyDescent="0.6">
      <c r="A124" s="10" t="s">
        <v>187</v>
      </c>
      <c r="B124" s="10" t="s">
        <v>189</v>
      </c>
      <c r="C124" s="12">
        <v>44927</v>
      </c>
      <c r="D124" s="10" t="s">
        <v>181</v>
      </c>
      <c r="E124" s="10" t="s">
        <v>188</v>
      </c>
      <c r="F124" s="10">
        <v>63000</v>
      </c>
      <c r="G124" s="10" t="s">
        <v>20</v>
      </c>
      <c r="H124" s="10" t="s">
        <v>17</v>
      </c>
      <c r="I124" s="10" t="s">
        <v>66</v>
      </c>
      <c r="J124" s="10" t="s">
        <v>19</v>
      </c>
      <c r="K124" s="10" t="s">
        <v>19</v>
      </c>
      <c r="L124" s="10" t="s">
        <v>19</v>
      </c>
      <c r="M124" s="12"/>
      <c r="N124" s="10" t="s">
        <v>20</v>
      </c>
      <c r="O124" s="10" t="s">
        <v>2054</v>
      </c>
      <c r="P124" s="25" t="str">
        <f>IFERROR(
IF(OR(O124="anulado",O124="stand by"),CONCATENATE(O124,": ",H124),
IF(OR(YEAR(M124)=2022,YEAR(M124)=2023),CONCATENATE("Se activó en ",YEAR(M124)),
IF(AND(OR(O124="En proceso",O124="facturando"),AND(J124="-",M124="")),"Por revisar",
IF(M124="",IF(J124="NUEVAS",CONCATENATE("Estado: ",O124,", ",J124),
IF(L124=Meses!$A$3,"Por revisar",
IF(H124="","Sin registro","En programación Frcst."))),"En programación")))),
"Error")</f>
        <v>Por revisar</v>
      </c>
      <c r="Q124" s="9" t="str">
        <f t="shared" si="3"/>
        <v>programación de act. NO, estado: Facturando, Comercializador: SPECTRUM, Etapa: Instalado y Activado</v>
      </c>
      <c r="R124" s="25" t="str">
        <f>IF(P124="En programación Frcst.",VLOOKUP(L124,Meses!$A$1:$H$14,3+HLOOKUP(Cronograma!J124,Meses!$D$1:$G$2,2,FALSE),FALSE),
IF(P124="En programación",M124,""))</f>
        <v/>
      </c>
      <c r="S124" s="25" t="str">
        <f t="shared" si="5"/>
        <v/>
      </c>
      <c r="T124" s="21" t="str">
        <f>IFERROR(
(VLOOKUP(MONTH(R124),Meses!$B$3:$C$14,2,FALSE)-DAY(R124))/VLOOKUP(MONTH(R124),Meses!$B$3:$C$14,2,FALSE)*U124,
"")</f>
        <v/>
      </c>
      <c r="U124" s="22">
        <f t="shared" si="4"/>
        <v>63000</v>
      </c>
    </row>
    <row r="125" spans="1:21" ht="32.4" hidden="1" thickBot="1" x14ac:dyDescent="0.6">
      <c r="A125" s="10" t="s">
        <v>190</v>
      </c>
      <c r="B125" s="10" t="s">
        <v>191</v>
      </c>
      <c r="C125" s="12">
        <v>44931</v>
      </c>
      <c r="D125" s="10" t="s">
        <v>181</v>
      </c>
      <c r="E125" s="10" t="s">
        <v>74</v>
      </c>
      <c r="F125" s="10">
        <v>180000</v>
      </c>
      <c r="G125" s="10" t="s">
        <v>20</v>
      </c>
      <c r="H125" s="10" t="s">
        <v>17</v>
      </c>
      <c r="I125" s="10" t="s">
        <v>66</v>
      </c>
      <c r="J125" s="10" t="s">
        <v>19</v>
      </c>
      <c r="K125" s="10" t="s">
        <v>19</v>
      </c>
      <c r="L125" s="10" t="s">
        <v>19</v>
      </c>
      <c r="M125" s="12"/>
      <c r="N125" s="10" t="s">
        <v>20</v>
      </c>
      <c r="O125" s="10" t="s">
        <v>2054</v>
      </c>
      <c r="P125" s="25" t="str">
        <f>IFERROR(
IF(OR(O125="anulado",O125="stand by"),CONCATENATE(O125,": ",H125),
IF(OR(YEAR(M125)=2022,YEAR(M125)=2023),CONCATENATE("Se activó en ",YEAR(M125)),
IF(AND(OR(O125="En proceso",O125="facturando"),AND(J125="-",M125="")),"Por revisar",
IF(M125="",IF(J125="NUEVAS",CONCATENATE("Estado: ",O125,", ",J125),
IF(L125=Meses!$A$3,"Por revisar",
IF(H125="","Sin registro","En programación Frcst."))),"En programación")))),
"Error")</f>
        <v>Por revisar</v>
      </c>
      <c r="Q125" s="9" t="str">
        <f t="shared" si="3"/>
        <v>programación de act. NO, estado: Facturando, Comercializador: SPECTRUM, Etapa: Instalado y Activado</v>
      </c>
      <c r="R125" s="25" t="str">
        <f>IF(P125="En programación Frcst.",VLOOKUP(L125,Meses!$A$1:$H$14,3+HLOOKUP(Cronograma!J125,Meses!$D$1:$G$2,2,FALSE),FALSE),
IF(P125="En programación",M125,""))</f>
        <v/>
      </c>
      <c r="S125" s="25" t="str">
        <f t="shared" si="5"/>
        <v/>
      </c>
      <c r="T125" s="21" t="str">
        <f>IFERROR(
(VLOOKUP(MONTH(R125),Meses!$B$3:$C$14,2,FALSE)-DAY(R125))/VLOOKUP(MONTH(R125),Meses!$B$3:$C$14,2,FALSE)*U125,
"")</f>
        <v/>
      </c>
      <c r="U125" s="22">
        <f t="shared" si="4"/>
        <v>180000</v>
      </c>
    </row>
    <row r="126" spans="1:21" ht="32.4" hidden="1" thickBot="1" x14ac:dyDescent="0.6">
      <c r="A126" s="10" t="s">
        <v>192</v>
      </c>
      <c r="B126" s="10" t="s">
        <v>193</v>
      </c>
      <c r="C126" s="12">
        <v>44952</v>
      </c>
      <c r="D126" s="10" t="s">
        <v>14</v>
      </c>
      <c r="E126" s="10" t="s">
        <v>14</v>
      </c>
      <c r="F126" s="10">
        <v>4000</v>
      </c>
      <c r="G126" s="10" t="s">
        <v>15</v>
      </c>
      <c r="H126" s="10" t="s">
        <v>17</v>
      </c>
      <c r="I126" s="10" t="s">
        <v>18</v>
      </c>
      <c r="J126" s="10" t="s">
        <v>19</v>
      </c>
      <c r="K126" s="10" t="s">
        <v>19</v>
      </c>
      <c r="L126" s="10" t="s">
        <v>19</v>
      </c>
      <c r="M126" s="12"/>
      <c r="N126" s="10" t="s">
        <v>20</v>
      </c>
      <c r="O126" s="10" t="s">
        <v>2054</v>
      </c>
      <c r="P126" s="25" t="str">
        <f>IFERROR(
IF(OR(O126="anulado",O126="stand by"),CONCATENATE(O126,": ",H126),
IF(OR(YEAR(M126)=2022,YEAR(M126)=2023),CONCATENATE("Se activó en ",YEAR(M126)),
IF(AND(OR(O126="En proceso",O126="facturando"),AND(J126="-",M126="")),"Por revisar",
IF(M126="",IF(J126="NUEVAS",CONCATENATE("Estado: ",O126,", ",J126),
IF(L126=Meses!$A$3,"Por revisar",
IF(H126="","Sin registro","En programación Frcst."))),"En programación")))),
"Error")</f>
        <v>Por revisar</v>
      </c>
      <c r="Q126" s="9" t="str">
        <f t="shared" si="3"/>
        <v>programación de act. NO, estado: Facturando, Comercializador: ENEL, Etapa: Instalado y Activado</v>
      </c>
      <c r="R126" s="25" t="str">
        <f>IF(P126="En programación Frcst.",VLOOKUP(L126,Meses!$A$1:$H$14,3+HLOOKUP(Cronograma!J126,Meses!$D$1:$G$2,2,FALSE),FALSE),
IF(P126="En programación",M126,""))</f>
        <v/>
      </c>
      <c r="S126" s="25" t="str">
        <f t="shared" si="5"/>
        <v/>
      </c>
      <c r="T126" s="21" t="str">
        <f>IFERROR(
(VLOOKUP(MONTH(R126),Meses!$B$3:$C$14,2,FALSE)-DAY(R126))/VLOOKUP(MONTH(R126),Meses!$B$3:$C$14,2,FALSE)*U126,
"")</f>
        <v/>
      </c>
      <c r="U126" s="22">
        <f t="shared" si="4"/>
        <v>4000</v>
      </c>
    </row>
    <row r="127" spans="1:21" ht="32.4" hidden="1" thickBot="1" x14ac:dyDescent="0.6">
      <c r="A127" s="10" t="s">
        <v>194</v>
      </c>
      <c r="B127" s="10" t="s">
        <v>195</v>
      </c>
      <c r="C127" s="12">
        <v>44952</v>
      </c>
      <c r="D127" s="10" t="s">
        <v>14</v>
      </c>
      <c r="E127" s="10" t="s">
        <v>14</v>
      </c>
      <c r="F127" s="10">
        <v>3520</v>
      </c>
      <c r="G127" s="10" t="s">
        <v>15</v>
      </c>
      <c r="H127" s="10" t="s">
        <v>17</v>
      </c>
      <c r="I127" s="10" t="s">
        <v>18</v>
      </c>
      <c r="J127" s="10" t="s">
        <v>19</v>
      </c>
      <c r="K127" s="10" t="s">
        <v>19</v>
      </c>
      <c r="L127" s="10" t="s">
        <v>19</v>
      </c>
      <c r="M127" s="12"/>
      <c r="N127" s="10" t="s">
        <v>20</v>
      </c>
      <c r="O127" s="10" t="s">
        <v>2054</v>
      </c>
      <c r="P127" s="25" t="str">
        <f>IFERROR(
IF(OR(O127="anulado",O127="stand by"),CONCATENATE(O127,": ",H127),
IF(OR(YEAR(M127)=2022,YEAR(M127)=2023),CONCATENATE("Se activó en ",YEAR(M127)),
IF(AND(OR(O127="En proceso",O127="facturando"),AND(J127="-",M127="")),"Por revisar",
IF(M127="",IF(J127="NUEVAS",CONCATENATE("Estado: ",O127,", ",J127),
IF(L127=Meses!$A$3,"Por revisar",
IF(H127="","Sin registro","En programación Frcst."))),"En programación")))),
"Error")</f>
        <v>Por revisar</v>
      </c>
      <c r="Q127" s="9" t="str">
        <f t="shared" si="3"/>
        <v>programación de act. NO, estado: Facturando, Comercializador: ENEL, Etapa: Instalado y Activado</v>
      </c>
      <c r="R127" s="25" t="str">
        <f>IF(P127="En programación Frcst.",VLOOKUP(L127,Meses!$A$1:$H$14,3+HLOOKUP(Cronograma!J127,Meses!$D$1:$G$2,2,FALSE),FALSE),
IF(P127="En programación",M127,""))</f>
        <v/>
      </c>
      <c r="S127" s="25" t="str">
        <f t="shared" si="5"/>
        <v/>
      </c>
      <c r="T127" s="21" t="str">
        <f>IFERROR(
(VLOOKUP(MONTH(R127),Meses!$B$3:$C$14,2,FALSE)-DAY(R127))/VLOOKUP(MONTH(R127),Meses!$B$3:$C$14,2,FALSE)*U127,
"")</f>
        <v/>
      </c>
      <c r="U127" s="22">
        <f t="shared" si="4"/>
        <v>3520</v>
      </c>
    </row>
    <row r="128" spans="1:21" ht="32.4" hidden="1" thickBot="1" x14ac:dyDescent="0.6">
      <c r="A128" s="10" t="s">
        <v>194</v>
      </c>
      <c r="B128" s="10" t="s">
        <v>196</v>
      </c>
      <c r="C128" s="12">
        <v>44952</v>
      </c>
      <c r="D128" s="10" t="s">
        <v>14</v>
      </c>
      <c r="E128" s="10" t="s">
        <v>14</v>
      </c>
      <c r="F128" s="10">
        <v>6891</v>
      </c>
      <c r="G128" s="10" t="s">
        <v>15</v>
      </c>
      <c r="H128" s="10" t="s">
        <v>17</v>
      </c>
      <c r="I128" s="10" t="s">
        <v>18</v>
      </c>
      <c r="J128" s="10" t="s">
        <v>19</v>
      </c>
      <c r="K128" s="10" t="s">
        <v>19</v>
      </c>
      <c r="L128" s="10" t="s">
        <v>19</v>
      </c>
      <c r="M128" s="12"/>
      <c r="N128" s="10" t="s">
        <v>20</v>
      </c>
      <c r="O128" s="10" t="s">
        <v>2054</v>
      </c>
      <c r="P128" s="25" t="str">
        <f>IFERROR(
IF(OR(O128="anulado",O128="stand by"),CONCATENATE(O128,": ",H128),
IF(OR(YEAR(M128)=2022,YEAR(M128)=2023),CONCATENATE("Se activó en ",YEAR(M128)),
IF(AND(OR(O128="En proceso",O128="facturando"),AND(J128="-",M128="")),"Por revisar",
IF(M128="",IF(J128="NUEVAS",CONCATENATE("Estado: ",O128,", ",J128),
IF(L128=Meses!$A$3,"Por revisar",
IF(H128="","Sin registro","En programación Frcst."))),"En programación")))),
"Error")</f>
        <v>Por revisar</v>
      </c>
      <c r="Q128" s="9" t="str">
        <f t="shared" si="3"/>
        <v>programación de act. NO, estado: Facturando, Comercializador: ENEL, Etapa: Instalado y Activado</v>
      </c>
      <c r="R128" s="25" t="str">
        <f>IF(P128="En programación Frcst.",VLOOKUP(L128,Meses!$A$1:$H$14,3+HLOOKUP(Cronograma!J128,Meses!$D$1:$G$2,2,FALSE),FALSE),
IF(P128="En programación",M128,""))</f>
        <v/>
      </c>
      <c r="S128" s="25" t="str">
        <f t="shared" si="5"/>
        <v/>
      </c>
      <c r="T128" s="21" t="str">
        <f>IFERROR(
(VLOOKUP(MONTH(R128),Meses!$B$3:$C$14,2,FALSE)-DAY(R128))/VLOOKUP(MONTH(R128),Meses!$B$3:$C$14,2,FALSE)*U128,
"")</f>
        <v/>
      </c>
      <c r="U128" s="22">
        <f t="shared" si="4"/>
        <v>6891</v>
      </c>
    </row>
    <row r="129" spans="1:21" ht="32.4" hidden="1" thickBot="1" x14ac:dyDescent="0.6">
      <c r="A129" s="10" t="s">
        <v>194</v>
      </c>
      <c r="B129" s="10" t="s">
        <v>197</v>
      </c>
      <c r="C129" s="12">
        <v>44952</v>
      </c>
      <c r="D129" s="10" t="s">
        <v>14</v>
      </c>
      <c r="E129" s="10" t="s">
        <v>14</v>
      </c>
      <c r="F129" s="10">
        <v>5259</v>
      </c>
      <c r="G129" s="10" t="s">
        <v>15</v>
      </c>
      <c r="H129" s="10" t="s">
        <v>17</v>
      </c>
      <c r="I129" s="10" t="s">
        <v>18</v>
      </c>
      <c r="J129" s="10" t="s">
        <v>19</v>
      </c>
      <c r="K129" s="10" t="s">
        <v>19</v>
      </c>
      <c r="L129" s="10" t="s">
        <v>19</v>
      </c>
      <c r="M129" s="12"/>
      <c r="N129" s="10" t="s">
        <v>20</v>
      </c>
      <c r="O129" s="10" t="s">
        <v>2054</v>
      </c>
      <c r="P129" s="25" t="str">
        <f>IFERROR(
IF(OR(O129="anulado",O129="stand by"),CONCATENATE(O129,": ",H129),
IF(OR(YEAR(M129)=2022,YEAR(M129)=2023),CONCATENATE("Se activó en ",YEAR(M129)),
IF(AND(OR(O129="En proceso",O129="facturando"),AND(J129="-",M129="")),"Por revisar",
IF(M129="",IF(J129="NUEVAS",CONCATENATE("Estado: ",O129,", ",J129),
IF(L129=Meses!$A$3,"Por revisar",
IF(H129="","Sin registro","En programación Frcst."))),"En programación")))),
"Error")</f>
        <v>Por revisar</v>
      </c>
      <c r="Q129" s="9" t="str">
        <f t="shared" si="3"/>
        <v>programación de act. NO, estado: Facturando, Comercializador: ENEL, Etapa: Instalado y Activado</v>
      </c>
      <c r="R129" s="25" t="str">
        <f>IF(P129="En programación Frcst.",VLOOKUP(L129,Meses!$A$1:$H$14,3+HLOOKUP(Cronograma!J129,Meses!$D$1:$G$2,2,FALSE),FALSE),
IF(P129="En programación",M129,""))</f>
        <v/>
      </c>
      <c r="S129" s="25" t="str">
        <f t="shared" si="5"/>
        <v/>
      </c>
      <c r="T129" s="21" t="str">
        <f>IFERROR(
(VLOOKUP(MONTH(R129),Meses!$B$3:$C$14,2,FALSE)-DAY(R129))/VLOOKUP(MONTH(R129),Meses!$B$3:$C$14,2,FALSE)*U129,
"")</f>
        <v/>
      </c>
      <c r="U129" s="22">
        <f t="shared" si="4"/>
        <v>5259</v>
      </c>
    </row>
    <row r="130" spans="1:21" ht="32.4" hidden="1" thickBot="1" x14ac:dyDescent="0.6">
      <c r="A130" s="10" t="s">
        <v>116</v>
      </c>
      <c r="B130" s="10" t="s">
        <v>198</v>
      </c>
      <c r="C130" s="12">
        <v>44945</v>
      </c>
      <c r="D130" s="10" t="s">
        <v>14</v>
      </c>
      <c r="E130" s="10" t="s">
        <v>14</v>
      </c>
      <c r="F130" s="10">
        <v>2930</v>
      </c>
      <c r="G130" s="10" t="s">
        <v>15</v>
      </c>
      <c r="H130" s="10" t="s">
        <v>17</v>
      </c>
      <c r="I130" s="10" t="s">
        <v>18</v>
      </c>
      <c r="J130" s="10" t="s">
        <v>19</v>
      </c>
      <c r="K130" s="10" t="s">
        <v>19</v>
      </c>
      <c r="L130" s="10" t="s">
        <v>19</v>
      </c>
      <c r="M130" s="12"/>
      <c r="N130" s="10" t="s">
        <v>20</v>
      </c>
      <c r="O130" s="10" t="s">
        <v>2054</v>
      </c>
      <c r="P130" s="25" t="str">
        <f>IFERROR(
IF(OR(O130="anulado",O130="stand by"),CONCATENATE(O130,": ",H130),
IF(OR(YEAR(M130)=2022,YEAR(M130)=2023),CONCATENATE("Se activó en ",YEAR(M130)),
IF(AND(OR(O130="En proceso",O130="facturando"),AND(J130="-",M130="")),"Por revisar",
IF(M130="",IF(J130="NUEVAS",CONCATENATE("Estado: ",O130,", ",J130),
IF(L130=Meses!$A$3,"Por revisar",
IF(H130="","Sin registro","En programación Frcst."))),"En programación")))),
"Error")</f>
        <v>Por revisar</v>
      </c>
      <c r="Q130" s="9" t="str">
        <f t="shared" ref="Q130:Q193" si="6">IF(P130="Por revisar",CONCATENATE("programación de act. ",N130,", estado: ",O130,", Comercializador: ",D130,", Etapa: ",H130),"")</f>
        <v>programación de act. NO, estado: Facturando, Comercializador: ENEL, Etapa: Instalado y Activado</v>
      </c>
      <c r="R130" s="25" t="str">
        <f>IF(P130="En programación Frcst.",VLOOKUP(L130,Meses!$A$1:$H$14,3+HLOOKUP(Cronograma!J130,Meses!$D$1:$G$2,2,FALSE),FALSE),
IF(P130="En programación",M130,""))</f>
        <v/>
      </c>
      <c r="S130" s="25" t="str">
        <f t="shared" si="5"/>
        <v/>
      </c>
      <c r="T130" s="21" t="str">
        <f>IFERROR(
(VLOOKUP(MONTH(R130),Meses!$B$3:$C$14,2,FALSE)-DAY(R130))/VLOOKUP(MONTH(R130),Meses!$B$3:$C$14,2,FALSE)*U130,
"")</f>
        <v/>
      </c>
      <c r="U130" s="22">
        <f t="shared" ref="U130:U193" si="7">F130</f>
        <v>2930</v>
      </c>
    </row>
    <row r="131" spans="1:21" ht="32.4" hidden="1" thickBot="1" x14ac:dyDescent="0.6">
      <c r="A131" s="10" t="s">
        <v>116</v>
      </c>
      <c r="B131" s="10" t="s">
        <v>199</v>
      </c>
      <c r="C131" s="12">
        <v>44945</v>
      </c>
      <c r="D131" s="10" t="s">
        <v>14</v>
      </c>
      <c r="E131" s="10" t="s">
        <v>14</v>
      </c>
      <c r="F131" s="10">
        <v>2930</v>
      </c>
      <c r="G131" s="10" t="s">
        <v>15</v>
      </c>
      <c r="H131" s="10" t="s">
        <v>17</v>
      </c>
      <c r="I131" s="10" t="s">
        <v>18</v>
      </c>
      <c r="J131" s="10" t="s">
        <v>19</v>
      </c>
      <c r="K131" s="10" t="s">
        <v>19</v>
      </c>
      <c r="L131" s="10" t="s">
        <v>19</v>
      </c>
      <c r="M131" s="12"/>
      <c r="N131" s="10" t="s">
        <v>20</v>
      </c>
      <c r="O131" s="10" t="s">
        <v>2054</v>
      </c>
      <c r="P131" s="25" t="str">
        <f>IFERROR(
IF(OR(O131="anulado",O131="stand by"),CONCATENATE(O131,": ",H131),
IF(OR(YEAR(M131)=2022,YEAR(M131)=2023),CONCATENATE("Se activó en ",YEAR(M131)),
IF(AND(OR(O131="En proceso",O131="facturando"),AND(J131="-",M131="")),"Por revisar",
IF(M131="",IF(J131="NUEVAS",CONCATENATE("Estado: ",O131,", ",J131),
IF(L131=Meses!$A$3,"Por revisar",
IF(H131="","Sin registro","En programación Frcst."))),"En programación")))),
"Error")</f>
        <v>Por revisar</v>
      </c>
      <c r="Q131" s="9" t="str">
        <f t="shared" si="6"/>
        <v>programación de act. NO, estado: Facturando, Comercializador: ENEL, Etapa: Instalado y Activado</v>
      </c>
      <c r="R131" s="25" t="str">
        <f>IF(P131="En programación Frcst.",VLOOKUP(L131,Meses!$A$1:$H$14,3+HLOOKUP(Cronograma!J131,Meses!$D$1:$G$2,2,FALSE),FALSE),
IF(P131="En programación",M131,""))</f>
        <v/>
      </c>
      <c r="S131" s="25" t="str">
        <f t="shared" ref="S131:S194" si="8">IFERROR(CONCATENATE(YEAR(R131),"/",MONTH(R131)),"")</f>
        <v/>
      </c>
      <c r="T131" s="21" t="str">
        <f>IFERROR(
(VLOOKUP(MONTH(R131),Meses!$B$3:$C$14,2,FALSE)-DAY(R131))/VLOOKUP(MONTH(R131),Meses!$B$3:$C$14,2,FALSE)*U131,
"")</f>
        <v/>
      </c>
      <c r="U131" s="22">
        <f t="shared" si="7"/>
        <v>2930</v>
      </c>
    </row>
    <row r="132" spans="1:21" ht="32.4" hidden="1" thickBot="1" x14ac:dyDescent="0.6">
      <c r="A132" s="10" t="s">
        <v>116</v>
      </c>
      <c r="B132" s="10" t="s">
        <v>200</v>
      </c>
      <c r="C132" s="12">
        <v>44945</v>
      </c>
      <c r="D132" s="10" t="s">
        <v>14</v>
      </c>
      <c r="E132" s="10" t="s">
        <v>14</v>
      </c>
      <c r="F132" s="10">
        <v>2903</v>
      </c>
      <c r="G132" s="10" t="s">
        <v>15</v>
      </c>
      <c r="H132" s="10" t="s">
        <v>17</v>
      </c>
      <c r="I132" s="10" t="s">
        <v>18</v>
      </c>
      <c r="J132" s="10" t="s">
        <v>19</v>
      </c>
      <c r="K132" s="10" t="s">
        <v>19</v>
      </c>
      <c r="L132" s="10" t="s">
        <v>19</v>
      </c>
      <c r="M132" s="12"/>
      <c r="N132" s="10" t="s">
        <v>20</v>
      </c>
      <c r="O132" s="10" t="s">
        <v>2054</v>
      </c>
      <c r="P132" s="25" t="str">
        <f>IFERROR(
IF(OR(O132="anulado",O132="stand by"),CONCATENATE(O132,": ",H132),
IF(OR(YEAR(M132)=2022,YEAR(M132)=2023),CONCATENATE("Se activó en ",YEAR(M132)),
IF(AND(OR(O132="En proceso",O132="facturando"),AND(J132="-",M132="")),"Por revisar",
IF(M132="",IF(J132="NUEVAS",CONCATENATE("Estado: ",O132,", ",J132),
IF(L132=Meses!$A$3,"Por revisar",
IF(H132="","Sin registro","En programación Frcst."))),"En programación")))),
"Error")</f>
        <v>Por revisar</v>
      </c>
      <c r="Q132" s="9" t="str">
        <f t="shared" si="6"/>
        <v>programación de act. NO, estado: Facturando, Comercializador: ENEL, Etapa: Instalado y Activado</v>
      </c>
      <c r="R132" s="25" t="str">
        <f>IF(P132="En programación Frcst.",VLOOKUP(L132,Meses!$A$1:$H$14,3+HLOOKUP(Cronograma!J132,Meses!$D$1:$G$2,2,FALSE),FALSE),
IF(P132="En programación",M132,""))</f>
        <v/>
      </c>
      <c r="S132" s="25" t="str">
        <f t="shared" si="8"/>
        <v/>
      </c>
      <c r="T132" s="21" t="str">
        <f>IFERROR(
(VLOOKUP(MONTH(R132),Meses!$B$3:$C$14,2,FALSE)-DAY(R132))/VLOOKUP(MONTH(R132),Meses!$B$3:$C$14,2,FALSE)*U132,
"")</f>
        <v/>
      </c>
      <c r="U132" s="22">
        <f t="shared" si="7"/>
        <v>2903</v>
      </c>
    </row>
    <row r="133" spans="1:21" ht="31.8" hidden="1" thickBot="1" x14ac:dyDescent="0.6">
      <c r="A133" s="10" t="s">
        <v>116</v>
      </c>
      <c r="B133" s="10" t="s">
        <v>201</v>
      </c>
      <c r="C133" s="12">
        <v>44952</v>
      </c>
      <c r="D133" s="10" t="s">
        <v>14</v>
      </c>
      <c r="E133" s="10" t="s">
        <v>14</v>
      </c>
      <c r="F133" s="10">
        <v>2930</v>
      </c>
      <c r="G133" s="10" t="s">
        <v>15</v>
      </c>
      <c r="H133" s="10" t="s">
        <v>2406</v>
      </c>
      <c r="I133" s="10" t="s">
        <v>18</v>
      </c>
      <c r="J133" s="10" t="s">
        <v>292</v>
      </c>
      <c r="K133" s="10" t="s">
        <v>283</v>
      </c>
      <c r="L133" s="10" t="s">
        <v>279</v>
      </c>
      <c r="M133" s="12"/>
      <c r="N133" s="10" t="s">
        <v>20</v>
      </c>
      <c r="O133" s="10" t="s">
        <v>2054</v>
      </c>
      <c r="P133" s="25" t="str">
        <f>IFERROR(
IF(OR(O133="anulado",O133="stand by"),CONCATENATE(O133,": ",H133),
IF(OR(YEAR(M133)=2022,YEAR(M133)=2023),CONCATENATE("Se activó en ",YEAR(M133)),
IF(AND(OR(O133="En proceso",O133="facturando"),AND(J133="-",M133="")),"Por revisar",
IF(M133="",IF(J133="NUEVAS",CONCATENATE("Estado: ",O133,", ",J133),
IF(L133=Meses!$A$3,"Por revisar",
IF(H133="","Sin registro","En programación Frcst."))),"En programación")))),
"Error")</f>
        <v>En programación Frcst.</v>
      </c>
      <c r="Q133" s="9" t="str">
        <f t="shared" si="6"/>
        <v/>
      </c>
      <c r="R133" s="25">
        <f>IF(P133="En programación Frcst.",VLOOKUP(L133,Meses!$A$1:$H$14,3+HLOOKUP(Cronograma!J133,Meses!$D$1:$G$2,2,FALSE),FALSE),
IF(P133="En programación",M133,""))</f>
        <v>45316</v>
      </c>
      <c r="S133" s="25" t="str">
        <f t="shared" si="8"/>
        <v>2024/1</v>
      </c>
      <c r="T133" s="21">
        <f>IFERROR(
(VLOOKUP(MONTH(R133),Meses!$B$3:$C$14,2,FALSE)-DAY(R133))/VLOOKUP(MONTH(R133),Meses!$B$3:$C$14,2,FALSE)*U133,
"")</f>
        <v>567.09677419354841</v>
      </c>
      <c r="U133" s="22">
        <f t="shared" si="7"/>
        <v>2930</v>
      </c>
    </row>
    <row r="134" spans="1:21" ht="31.8" hidden="1" thickBot="1" x14ac:dyDescent="0.6">
      <c r="A134" s="10" t="s">
        <v>116</v>
      </c>
      <c r="B134" s="10" t="s">
        <v>202</v>
      </c>
      <c r="C134" s="12"/>
      <c r="D134" s="10" t="s">
        <v>14</v>
      </c>
      <c r="E134" s="10" t="s">
        <v>14</v>
      </c>
      <c r="F134" s="10">
        <v>2930</v>
      </c>
      <c r="G134" s="10" t="s">
        <v>15</v>
      </c>
      <c r="H134" s="10" t="s">
        <v>140</v>
      </c>
      <c r="I134" s="10" t="s">
        <v>18</v>
      </c>
      <c r="J134" s="10" t="s">
        <v>19</v>
      </c>
      <c r="K134" s="10" t="s">
        <v>19</v>
      </c>
      <c r="L134" s="10" t="s">
        <v>19</v>
      </c>
      <c r="M134" s="12"/>
      <c r="N134" s="10" t="s">
        <v>20</v>
      </c>
      <c r="O134" s="10" t="s">
        <v>2056</v>
      </c>
      <c r="P134" s="25" t="str">
        <f>IFERROR(
IF(OR(O134="anulado",O134="stand by"),CONCATENATE(O134,": ",H134),
IF(OR(YEAR(M134)=2022,YEAR(M134)=2023),CONCATENATE("Se activó en ",YEAR(M134)),
IF(AND(OR(O134="En proceso",O134="facturando"),AND(J134="-",M134="")),"Por revisar",
IF(M134="",IF(J134="NUEVAS",CONCATENATE("Estado: ",O134,", ",J134),
IF(L134=Meses!$A$3,"Por revisar",
IF(H134="","Sin registro","En programación Frcst."))),"En programación")))),
"Error")</f>
        <v>anulado: Desistido</v>
      </c>
      <c r="Q134" s="9" t="str">
        <f t="shared" si="6"/>
        <v/>
      </c>
      <c r="R134" s="25" t="str">
        <f>IF(P134="En programación Frcst.",VLOOKUP(L134,Meses!$A$1:$H$14,3+HLOOKUP(Cronograma!J134,Meses!$D$1:$G$2,2,FALSE),FALSE),
IF(P134="En programación",M134,""))</f>
        <v/>
      </c>
      <c r="S134" s="25" t="str">
        <f t="shared" si="8"/>
        <v/>
      </c>
      <c r="T134" s="21" t="str">
        <f>IFERROR(
(VLOOKUP(MONTH(R134),Meses!$B$3:$C$14,2,FALSE)-DAY(R134))/VLOOKUP(MONTH(R134),Meses!$B$3:$C$14,2,FALSE)*U134,
"")</f>
        <v/>
      </c>
      <c r="U134" s="22">
        <f t="shared" si="7"/>
        <v>2930</v>
      </c>
    </row>
    <row r="135" spans="1:21" ht="47.4" hidden="1" thickBot="1" x14ac:dyDescent="0.6">
      <c r="A135" s="10" t="s">
        <v>203</v>
      </c>
      <c r="B135" s="10" t="s">
        <v>204</v>
      </c>
      <c r="C135" s="12">
        <v>44952</v>
      </c>
      <c r="D135" s="10" t="s">
        <v>65</v>
      </c>
      <c r="E135" s="10" t="s">
        <v>41</v>
      </c>
      <c r="F135" s="10">
        <v>6148.94</v>
      </c>
      <c r="G135" s="10" t="s">
        <v>15</v>
      </c>
      <c r="H135" s="10" t="s">
        <v>17</v>
      </c>
      <c r="I135" s="10" t="s">
        <v>66</v>
      </c>
      <c r="J135" s="10" t="s">
        <v>19</v>
      </c>
      <c r="K135" s="10" t="s">
        <v>19</v>
      </c>
      <c r="L135" s="10" t="s">
        <v>19</v>
      </c>
      <c r="M135" s="12"/>
      <c r="N135" s="10" t="s">
        <v>20</v>
      </c>
      <c r="O135" s="10" t="s">
        <v>2054</v>
      </c>
      <c r="P135" s="25" t="str">
        <f>IFERROR(
IF(OR(O135="anulado",O135="stand by"),CONCATENATE(O135,": ",H135),
IF(OR(YEAR(M135)=2022,YEAR(M135)=2023),CONCATENATE("Se activó en ",YEAR(M135)),
IF(AND(OR(O135="En proceso",O135="facturando"),AND(J135="-",M135="")),"Por revisar",
IF(M135="",IF(J135="NUEVAS",CONCATENATE("Estado: ",O135,", ",J135),
IF(L135=Meses!$A$3,"Por revisar",
IF(H135="","Sin registro","En programación Frcst."))),"En programación")))),
"Error")</f>
        <v>Por revisar</v>
      </c>
      <c r="Q135" s="9" t="str">
        <f t="shared" si="6"/>
        <v>programación de act. NO, estado: Facturando, Comercializador: NEU, Etapa: Instalado y Activado</v>
      </c>
      <c r="R135" s="25" t="str">
        <f>IF(P135="En programación Frcst.",VLOOKUP(L135,Meses!$A$1:$H$14,3+HLOOKUP(Cronograma!J135,Meses!$D$1:$G$2,2,FALSE),FALSE),
IF(P135="En programación",M135,""))</f>
        <v/>
      </c>
      <c r="S135" s="25" t="str">
        <f t="shared" si="8"/>
        <v/>
      </c>
      <c r="T135" s="21" t="str">
        <f>IFERROR(
(VLOOKUP(MONTH(R135),Meses!$B$3:$C$14,2,FALSE)-DAY(R135))/VLOOKUP(MONTH(R135),Meses!$B$3:$C$14,2,FALSE)*U135,
"")</f>
        <v/>
      </c>
      <c r="U135" s="22">
        <f t="shared" si="7"/>
        <v>6148.94</v>
      </c>
    </row>
    <row r="136" spans="1:21" ht="32.4" hidden="1" thickBot="1" x14ac:dyDescent="0.6">
      <c r="A136" s="10" t="s">
        <v>205</v>
      </c>
      <c r="B136" s="10" t="s">
        <v>206</v>
      </c>
      <c r="C136" s="12">
        <v>44966</v>
      </c>
      <c r="D136" s="10" t="s">
        <v>14</v>
      </c>
      <c r="E136" s="10" t="s">
        <v>14</v>
      </c>
      <c r="F136" s="10">
        <v>4200</v>
      </c>
      <c r="G136" s="10" t="s">
        <v>15</v>
      </c>
      <c r="H136" s="10" t="s">
        <v>17</v>
      </c>
      <c r="I136" s="10" t="s">
        <v>18</v>
      </c>
      <c r="J136" s="10" t="s">
        <v>19</v>
      </c>
      <c r="K136" s="10" t="s">
        <v>19</v>
      </c>
      <c r="L136" s="10" t="s">
        <v>19</v>
      </c>
      <c r="M136" s="12"/>
      <c r="N136" s="10" t="s">
        <v>20</v>
      </c>
      <c r="O136" s="10" t="s">
        <v>2054</v>
      </c>
      <c r="P136" s="25" t="str">
        <f>IFERROR(
IF(OR(O136="anulado",O136="stand by"),CONCATENATE(O136,": ",H136),
IF(OR(YEAR(M136)=2022,YEAR(M136)=2023),CONCATENATE("Se activó en ",YEAR(M136)),
IF(AND(OR(O136="En proceso",O136="facturando"),AND(J136="-",M136="")),"Por revisar",
IF(M136="",IF(J136="NUEVAS",CONCATENATE("Estado: ",O136,", ",J136),
IF(L136=Meses!$A$3,"Por revisar",
IF(H136="","Sin registro","En programación Frcst."))),"En programación")))),
"Error")</f>
        <v>Por revisar</v>
      </c>
      <c r="Q136" s="9" t="str">
        <f t="shared" si="6"/>
        <v>programación de act. NO, estado: Facturando, Comercializador: ENEL, Etapa: Instalado y Activado</v>
      </c>
      <c r="R136" s="25" t="str">
        <f>IF(P136="En programación Frcst.",VLOOKUP(L136,Meses!$A$1:$H$14,3+HLOOKUP(Cronograma!J136,Meses!$D$1:$G$2,2,FALSE),FALSE),
IF(P136="En programación",M136,""))</f>
        <v/>
      </c>
      <c r="S136" s="25" t="str">
        <f t="shared" si="8"/>
        <v/>
      </c>
      <c r="T136" s="21" t="str">
        <f>IFERROR(
(VLOOKUP(MONTH(R136),Meses!$B$3:$C$14,2,FALSE)-DAY(R136))/VLOOKUP(MONTH(R136),Meses!$B$3:$C$14,2,FALSE)*U136,
"")</f>
        <v/>
      </c>
      <c r="U136" s="22">
        <f t="shared" si="7"/>
        <v>4200</v>
      </c>
    </row>
    <row r="137" spans="1:21" ht="32.4" hidden="1" thickBot="1" x14ac:dyDescent="0.6">
      <c r="A137" s="10" t="s">
        <v>205</v>
      </c>
      <c r="B137" s="10" t="s">
        <v>207</v>
      </c>
      <c r="C137" s="12">
        <v>44966</v>
      </c>
      <c r="D137" s="10" t="s">
        <v>14</v>
      </c>
      <c r="E137" s="10" t="s">
        <v>14</v>
      </c>
      <c r="F137" s="10">
        <v>128</v>
      </c>
      <c r="G137" s="10" t="s">
        <v>15</v>
      </c>
      <c r="H137" s="10" t="s">
        <v>17</v>
      </c>
      <c r="I137" s="10" t="s">
        <v>18</v>
      </c>
      <c r="J137" s="10" t="s">
        <v>19</v>
      </c>
      <c r="K137" s="10" t="s">
        <v>19</v>
      </c>
      <c r="L137" s="10" t="s">
        <v>19</v>
      </c>
      <c r="M137" s="12"/>
      <c r="N137" s="10" t="s">
        <v>20</v>
      </c>
      <c r="O137" s="10" t="s">
        <v>2054</v>
      </c>
      <c r="P137" s="25" t="str">
        <f>IFERROR(
IF(OR(O137="anulado",O137="stand by"),CONCATENATE(O137,": ",H137),
IF(OR(YEAR(M137)=2022,YEAR(M137)=2023),CONCATENATE("Se activó en ",YEAR(M137)),
IF(AND(OR(O137="En proceso",O137="facturando"),AND(J137="-",M137="")),"Por revisar",
IF(M137="",IF(J137="NUEVAS",CONCATENATE("Estado: ",O137,", ",J137),
IF(L137=Meses!$A$3,"Por revisar",
IF(H137="","Sin registro","En programación Frcst."))),"En programación")))),
"Error")</f>
        <v>Por revisar</v>
      </c>
      <c r="Q137" s="9" t="str">
        <f t="shared" si="6"/>
        <v>programación de act. NO, estado: Facturando, Comercializador: ENEL, Etapa: Instalado y Activado</v>
      </c>
      <c r="R137" s="25" t="str">
        <f>IF(P137="En programación Frcst.",VLOOKUP(L137,Meses!$A$1:$H$14,3+HLOOKUP(Cronograma!J137,Meses!$D$1:$G$2,2,FALSE),FALSE),
IF(P137="En programación",M137,""))</f>
        <v/>
      </c>
      <c r="S137" s="25" t="str">
        <f t="shared" si="8"/>
        <v/>
      </c>
      <c r="T137" s="21" t="str">
        <f>IFERROR(
(VLOOKUP(MONTH(R137),Meses!$B$3:$C$14,2,FALSE)-DAY(R137))/VLOOKUP(MONTH(R137),Meses!$B$3:$C$14,2,FALSE)*U137,
"")</f>
        <v/>
      </c>
      <c r="U137" s="22">
        <f t="shared" si="7"/>
        <v>128</v>
      </c>
    </row>
    <row r="138" spans="1:21" ht="32.4" hidden="1" thickBot="1" x14ac:dyDescent="0.6">
      <c r="A138" s="10" t="s">
        <v>208</v>
      </c>
      <c r="B138" s="10" t="s">
        <v>209</v>
      </c>
      <c r="C138" s="12">
        <v>44966</v>
      </c>
      <c r="D138" s="10" t="s">
        <v>65</v>
      </c>
      <c r="E138" s="10" t="s">
        <v>14</v>
      </c>
      <c r="F138" s="10">
        <v>46102</v>
      </c>
      <c r="G138" s="10" t="s">
        <v>15</v>
      </c>
      <c r="H138" s="10" t="s">
        <v>17</v>
      </c>
      <c r="I138" s="10" t="s">
        <v>66</v>
      </c>
      <c r="J138" s="10" t="s">
        <v>19</v>
      </c>
      <c r="K138" s="10" t="s">
        <v>19</v>
      </c>
      <c r="L138" s="10" t="s">
        <v>19</v>
      </c>
      <c r="M138" s="12"/>
      <c r="N138" s="10" t="s">
        <v>20</v>
      </c>
      <c r="O138" s="10" t="s">
        <v>2054</v>
      </c>
      <c r="P138" s="25" t="str">
        <f>IFERROR(
IF(OR(O138="anulado",O138="stand by"),CONCATENATE(O138,": ",H138),
IF(OR(YEAR(M138)=2022,YEAR(M138)=2023),CONCATENATE("Se activó en ",YEAR(M138)),
IF(AND(OR(O138="En proceso",O138="facturando"),AND(J138="-",M138="")),"Por revisar",
IF(M138="",IF(J138="NUEVAS",CONCATENATE("Estado: ",O138,", ",J138),
IF(L138=Meses!$A$3,"Por revisar",
IF(H138="","Sin registro","En programación Frcst."))),"En programación")))),
"Error")</f>
        <v>Por revisar</v>
      </c>
      <c r="Q138" s="9" t="str">
        <f t="shared" si="6"/>
        <v>programación de act. NO, estado: Facturando, Comercializador: NEU, Etapa: Instalado y Activado</v>
      </c>
      <c r="R138" s="25" t="str">
        <f>IF(P138="En programación Frcst.",VLOOKUP(L138,Meses!$A$1:$H$14,3+HLOOKUP(Cronograma!J138,Meses!$D$1:$G$2,2,FALSE),FALSE),
IF(P138="En programación",M138,""))</f>
        <v/>
      </c>
      <c r="S138" s="25" t="str">
        <f t="shared" si="8"/>
        <v/>
      </c>
      <c r="T138" s="21" t="str">
        <f>IFERROR(
(VLOOKUP(MONTH(R138),Meses!$B$3:$C$14,2,FALSE)-DAY(R138))/VLOOKUP(MONTH(R138),Meses!$B$3:$C$14,2,FALSE)*U138,
"")</f>
        <v/>
      </c>
      <c r="U138" s="22">
        <f t="shared" si="7"/>
        <v>46102</v>
      </c>
    </row>
    <row r="139" spans="1:21" ht="32.4" hidden="1" thickBot="1" x14ac:dyDescent="0.6">
      <c r="A139" s="10" t="s">
        <v>208</v>
      </c>
      <c r="B139" s="10" t="s">
        <v>210</v>
      </c>
      <c r="C139" s="12">
        <v>44966</v>
      </c>
      <c r="D139" s="10" t="s">
        <v>65</v>
      </c>
      <c r="E139" s="10" t="s">
        <v>14</v>
      </c>
      <c r="F139" s="10">
        <v>569</v>
      </c>
      <c r="G139" s="10" t="s">
        <v>15</v>
      </c>
      <c r="H139" s="10" t="s">
        <v>17</v>
      </c>
      <c r="I139" s="10" t="s">
        <v>66</v>
      </c>
      <c r="J139" s="10" t="s">
        <v>19</v>
      </c>
      <c r="K139" s="10" t="s">
        <v>19</v>
      </c>
      <c r="L139" s="10" t="s">
        <v>19</v>
      </c>
      <c r="M139" s="12"/>
      <c r="N139" s="10" t="s">
        <v>20</v>
      </c>
      <c r="O139" s="10" t="s">
        <v>2054</v>
      </c>
      <c r="P139" s="25" t="str">
        <f>IFERROR(
IF(OR(O139="anulado",O139="stand by"),CONCATENATE(O139,": ",H139),
IF(OR(YEAR(M139)=2022,YEAR(M139)=2023),CONCATENATE("Se activó en ",YEAR(M139)),
IF(AND(OR(O139="En proceso",O139="facturando"),AND(J139="-",M139="")),"Por revisar",
IF(M139="",IF(J139="NUEVAS",CONCATENATE("Estado: ",O139,", ",J139),
IF(L139=Meses!$A$3,"Por revisar",
IF(H139="","Sin registro","En programación Frcst."))),"En programación")))),
"Error")</f>
        <v>Por revisar</v>
      </c>
      <c r="Q139" s="9" t="str">
        <f t="shared" si="6"/>
        <v>programación de act. NO, estado: Facturando, Comercializador: NEU, Etapa: Instalado y Activado</v>
      </c>
      <c r="R139" s="25" t="str">
        <f>IF(P139="En programación Frcst.",VLOOKUP(L139,Meses!$A$1:$H$14,3+HLOOKUP(Cronograma!J139,Meses!$D$1:$G$2,2,FALSE),FALSE),
IF(P139="En programación",M139,""))</f>
        <v/>
      </c>
      <c r="S139" s="25" t="str">
        <f t="shared" si="8"/>
        <v/>
      </c>
      <c r="T139" s="21" t="str">
        <f>IFERROR(
(VLOOKUP(MONTH(R139),Meses!$B$3:$C$14,2,FALSE)-DAY(R139))/VLOOKUP(MONTH(R139),Meses!$B$3:$C$14,2,FALSE)*U139,
"")</f>
        <v/>
      </c>
      <c r="U139" s="22">
        <f t="shared" si="7"/>
        <v>569</v>
      </c>
    </row>
    <row r="140" spans="1:21" ht="32.4" hidden="1" thickBot="1" x14ac:dyDescent="0.6">
      <c r="A140" s="10" t="s">
        <v>208</v>
      </c>
      <c r="B140" s="10" t="s">
        <v>211</v>
      </c>
      <c r="C140" s="12">
        <v>44966</v>
      </c>
      <c r="D140" s="10" t="s">
        <v>65</v>
      </c>
      <c r="E140" s="10" t="s">
        <v>14</v>
      </c>
      <c r="F140" s="10">
        <v>617</v>
      </c>
      <c r="G140" s="10" t="s">
        <v>15</v>
      </c>
      <c r="H140" s="10" t="s">
        <v>17</v>
      </c>
      <c r="I140" s="10" t="s">
        <v>66</v>
      </c>
      <c r="J140" s="10" t="s">
        <v>19</v>
      </c>
      <c r="K140" s="10" t="s">
        <v>19</v>
      </c>
      <c r="L140" s="10" t="s">
        <v>19</v>
      </c>
      <c r="M140" s="12"/>
      <c r="N140" s="10" t="s">
        <v>20</v>
      </c>
      <c r="O140" s="10" t="s">
        <v>2054</v>
      </c>
      <c r="P140" s="25" t="str">
        <f>IFERROR(
IF(OR(O140="anulado",O140="stand by"),CONCATENATE(O140,": ",H140),
IF(OR(YEAR(M140)=2022,YEAR(M140)=2023),CONCATENATE("Se activó en ",YEAR(M140)),
IF(AND(OR(O140="En proceso",O140="facturando"),AND(J140="-",M140="")),"Por revisar",
IF(M140="",IF(J140="NUEVAS",CONCATENATE("Estado: ",O140,", ",J140),
IF(L140=Meses!$A$3,"Por revisar",
IF(H140="","Sin registro","En programación Frcst."))),"En programación")))),
"Error")</f>
        <v>Por revisar</v>
      </c>
      <c r="Q140" s="9" t="str">
        <f t="shared" si="6"/>
        <v>programación de act. NO, estado: Facturando, Comercializador: NEU, Etapa: Instalado y Activado</v>
      </c>
      <c r="R140" s="25" t="str">
        <f>IF(P140="En programación Frcst.",VLOOKUP(L140,Meses!$A$1:$H$14,3+HLOOKUP(Cronograma!J140,Meses!$D$1:$G$2,2,FALSE),FALSE),
IF(P140="En programación",M140,""))</f>
        <v/>
      </c>
      <c r="S140" s="25" t="str">
        <f t="shared" si="8"/>
        <v/>
      </c>
      <c r="T140" s="21" t="str">
        <f>IFERROR(
(VLOOKUP(MONTH(R140),Meses!$B$3:$C$14,2,FALSE)-DAY(R140))/VLOOKUP(MONTH(R140),Meses!$B$3:$C$14,2,FALSE)*U140,
"")</f>
        <v/>
      </c>
      <c r="U140" s="22">
        <f t="shared" si="7"/>
        <v>617</v>
      </c>
    </row>
    <row r="141" spans="1:21" ht="32.4" hidden="1" thickBot="1" x14ac:dyDescent="0.6">
      <c r="A141" s="10" t="s">
        <v>205</v>
      </c>
      <c r="B141" s="10" t="s">
        <v>212</v>
      </c>
      <c r="C141" s="12">
        <v>45113</v>
      </c>
      <c r="D141" s="10" t="s">
        <v>74</v>
      </c>
      <c r="E141" s="10" t="s">
        <v>74</v>
      </c>
      <c r="F141" s="10">
        <v>4710</v>
      </c>
      <c r="G141" s="10" t="s">
        <v>15</v>
      </c>
      <c r="H141" s="10" t="s">
        <v>17</v>
      </c>
      <c r="I141" s="10" t="s">
        <v>43</v>
      </c>
      <c r="J141" s="10" t="s">
        <v>19</v>
      </c>
      <c r="K141" s="10" t="s">
        <v>19</v>
      </c>
      <c r="L141" s="10" t="s">
        <v>19</v>
      </c>
      <c r="M141" s="12"/>
      <c r="N141" s="10" t="s">
        <v>20</v>
      </c>
      <c r="O141" s="10" t="s">
        <v>2054</v>
      </c>
      <c r="P141" s="25" t="str">
        <f>IFERROR(
IF(OR(O141="anulado",O141="stand by"),CONCATENATE(O141,": ",H141),
IF(OR(YEAR(M141)=2022,YEAR(M141)=2023),CONCATENATE("Se activó en ",YEAR(M141)),
IF(AND(OR(O141="En proceso",O141="facturando"),AND(J141="-",M141="")),"Por revisar",
IF(M141="",IF(J141="NUEVAS",CONCATENATE("Estado: ",O141,", ",J141),
IF(L141=Meses!$A$3,"Por revisar",
IF(H141="","Sin registro","En programación Frcst."))),"En programación")))),
"Error")</f>
        <v>Por revisar</v>
      </c>
      <c r="Q141" s="9" t="str">
        <f t="shared" si="6"/>
        <v>programación de act. NO, estado: Facturando, Comercializador: AIR-E, Etapa: Instalado y Activado</v>
      </c>
      <c r="R141" s="25" t="str">
        <f>IF(P141="En programación Frcst.",VLOOKUP(L141,Meses!$A$1:$H$14,3+HLOOKUP(Cronograma!J141,Meses!$D$1:$G$2,2,FALSE),FALSE),
IF(P141="En programación",M141,""))</f>
        <v/>
      </c>
      <c r="S141" s="25" t="str">
        <f t="shared" si="8"/>
        <v/>
      </c>
      <c r="T141" s="21" t="str">
        <f>IFERROR(
(VLOOKUP(MONTH(R141),Meses!$B$3:$C$14,2,FALSE)-DAY(R141))/VLOOKUP(MONTH(R141),Meses!$B$3:$C$14,2,FALSE)*U141,
"")</f>
        <v/>
      </c>
      <c r="U141" s="22">
        <f t="shared" si="7"/>
        <v>4710</v>
      </c>
    </row>
    <row r="142" spans="1:21" ht="32.4" hidden="1" thickBot="1" x14ac:dyDescent="0.6">
      <c r="A142" s="10" t="s">
        <v>205</v>
      </c>
      <c r="B142" s="10" t="s">
        <v>213</v>
      </c>
      <c r="C142" s="12">
        <v>45274</v>
      </c>
      <c r="D142" s="10" t="s">
        <v>74</v>
      </c>
      <c r="E142" s="10" t="s">
        <v>74</v>
      </c>
      <c r="F142" s="10">
        <v>6230</v>
      </c>
      <c r="G142" s="10" t="s">
        <v>15</v>
      </c>
      <c r="H142" s="10" t="s">
        <v>17</v>
      </c>
      <c r="I142" s="10" t="s">
        <v>43</v>
      </c>
      <c r="J142" s="10" t="s">
        <v>143</v>
      </c>
      <c r="K142" s="10" t="s">
        <v>144</v>
      </c>
      <c r="L142" s="10" t="s">
        <v>145</v>
      </c>
      <c r="M142" s="12"/>
      <c r="N142" s="10" t="s">
        <v>15</v>
      </c>
      <c r="O142" s="10" t="s">
        <v>2054</v>
      </c>
      <c r="P142" s="25" t="str">
        <f>IFERROR(
IF(OR(O142="anulado",O142="stand by"),CONCATENATE(O142,": ",H142),
IF(OR(YEAR(M142)=2022,YEAR(M142)=2023),CONCATENATE("Se activó en ",YEAR(M142)),
IF(AND(OR(O142="En proceso",O142="facturando"),AND(J142="-",M142="")),"Por revisar",
IF(M142="",IF(J142="NUEVAS",CONCATENATE("Estado: ",O142,", ",J142),
IF(L142=Meses!$A$3,"Por revisar",
IF(H142="","Sin registro","En programación Frcst."))),"En programación")))),
"Error")</f>
        <v>Por revisar</v>
      </c>
      <c r="Q142" s="9" t="str">
        <f t="shared" si="6"/>
        <v>programación de act. SI, estado: Facturando, Comercializador: AIR-E, Etapa: Instalado y Activado</v>
      </c>
      <c r="R142" s="25" t="str">
        <f>IF(P142="En programación Frcst.",VLOOKUP(L142,Meses!$A$1:$H$14,3+HLOOKUP(Cronograma!J142,Meses!$D$1:$G$2,2,FALSE),FALSE),
IF(P142="En programación",M142,""))</f>
        <v/>
      </c>
      <c r="S142" s="25" t="str">
        <f t="shared" si="8"/>
        <v/>
      </c>
      <c r="T142" s="21" t="str">
        <f>IFERROR(
(VLOOKUP(MONTH(R142),Meses!$B$3:$C$14,2,FALSE)-DAY(R142))/VLOOKUP(MONTH(R142),Meses!$B$3:$C$14,2,FALSE)*U142,
"")</f>
        <v/>
      </c>
      <c r="U142" s="22">
        <f t="shared" si="7"/>
        <v>6230</v>
      </c>
    </row>
    <row r="143" spans="1:21" ht="32.4" hidden="1" thickBot="1" x14ac:dyDescent="0.6">
      <c r="A143" s="10" t="s">
        <v>214</v>
      </c>
      <c r="B143" s="10" t="s">
        <v>215</v>
      </c>
      <c r="C143" s="12">
        <v>45120</v>
      </c>
      <c r="D143" s="10" t="s">
        <v>44</v>
      </c>
      <c r="E143" s="10" t="s">
        <v>44</v>
      </c>
      <c r="F143" s="10">
        <v>3500</v>
      </c>
      <c r="G143" s="10" t="s">
        <v>15</v>
      </c>
      <c r="H143" s="10" t="s">
        <v>17</v>
      </c>
      <c r="I143" s="10" t="s">
        <v>43</v>
      </c>
      <c r="J143" s="10" t="s">
        <v>19</v>
      </c>
      <c r="K143" s="10" t="s">
        <v>19</v>
      </c>
      <c r="L143" s="10" t="s">
        <v>19</v>
      </c>
      <c r="M143" s="12"/>
      <c r="N143" s="10" t="s">
        <v>20</v>
      </c>
      <c r="O143" s="10" t="s">
        <v>2054</v>
      </c>
      <c r="P143" s="25" t="str">
        <f>IFERROR(
IF(OR(O143="anulado",O143="stand by"),CONCATENATE(O143,": ",H143),
IF(OR(YEAR(M143)=2022,YEAR(M143)=2023),CONCATENATE("Se activó en ",YEAR(M143)),
IF(AND(OR(O143="En proceso",O143="facturando"),AND(J143="-",M143="")),"Por revisar",
IF(M143="",IF(J143="NUEVAS",CONCATENATE("Estado: ",O143,", ",J143),
IF(L143=Meses!$A$3,"Por revisar",
IF(H143="","Sin registro","En programación Frcst."))),"En programación")))),
"Error")</f>
        <v>Por revisar</v>
      </c>
      <c r="Q143" s="9" t="str">
        <f t="shared" si="6"/>
        <v>programación de act. NO, estado: Facturando, Comercializador: AFINIA, Etapa: Instalado y Activado</v>
      </c>
      <c r="R143" s="25" t="str">
        <f>IF(P143="En programación Frcst.",VLOOKUP(L143,Meses!$A$1:$H$14,3+HLOOKUP(Cronograma!J143,Meses!$D$1:$G$2,2,FALSE),FALSE),
IF(P143="En programación",M143,""))</f>
        <v/>
      </c>
      <c r="S143" s="25" t="str">
        <f t="shared" si="8"/>
        <v/>
      </c>
      <c r="T143" s="21" t="str">
        <f>IFERROR(
(VLOOKUP(MONTH(R143),Meses!$B$3:$C$14,2,FALSE)-DAY(R143))/VLOOKUP(MONTH(R143),Meses!$B$3:$C$14,2,FALSE)*U143,
"")</f>
        <v/>
      </c>
      <c r="U143" s="22">
        <f t="shared" si="7"/>
        <v>3500</v>
      </c>
    </row>
    <row r="144" spans="1:21" ht="32.4" hidden="1" thickBot="1" x14ac:dyDescent="0.6">
      <c r="A144" s="10" t="s">
        <v>216</v>
      </c>
      <c r="B144" s="10" t="s">
        <v>217</v>
      </c>
      <c r="C144" s="12">
        <v>44966</v>
      </c>
      <c r="D144" s="10" t="s">
        <v>74</v>
      </c>
      <c r="E144" s="10" t="s">
        <v>14</v>
      </c>
      <c r="F144" s="10">
        <v>20432</v>
      </c>
      <c r="G144" s="10" t="s">
        <v>20</v>
      </c>
      <c r="H144" s="10" t="s">
        <v>17</v>
      </c>
      <c r="I144" s="10" t="s">
        <v>43</v>
      </c>
      <c r="J144" s="10" t="s">
        <v>19</v>
      </c>
      <c r="K144" s="10" t="s">
        <v>19</v>
      </c>
      <c r="L144" s="10" t="s">
        <v>19</v>
      </c>
      <c r="M144" s="12"/>
      <c r="N144" s="10" t="s">
        <v>20</v>
      </c>
      <c r="O144" s="10" t="s">
        <v>2054</v>
      </c>
      <c r="P144" s="25" t="str">
        <f>IFERROR(
IF(OR(O144="anulado",O144="stand by"),CONCATENATE(O144,": ",H144),
IF(OR(YEAR(M144)=2022,YEAR(M144)=2023),CONCATENATE("Se activó en ",YEAR(M144)),
IF(AND(OR(O144="En proceso",O144="facturando"),AND(J144="-",M144="")),"Por revisar",
IF(M144="",IF(J144="NUEVAS",CONCATENATE("Estado: ",O144,", ",J144),
IF(L144=Meses!$A$3,"Por revisar",
IF(H144="","Sin registro","En programación Frcst."))),"En programación")))),
"Error")</f>
        <v>Por revisar</v>
      </c>
      <c r="Q144" s="9" t="str">
        <f t="shared" si="6"/>
        <v>programación de act. NO, estado: Facturando, Comercializador: AIR-E, Etapa: Instalado y Activado</v>
      </c>
      <c r="R144" s="25" t="str">
        <f>IF(P144="En programación Frcst.",VLOOKUP(L144,Meses!$A$1:$H$14,3+HLOOKUP(Cronograma!J144,Meses!$D$1:$G$2,2,FALSE),FALSE),
IF(P144="En programación",M144,""))</f>
        <v/>
      </c>
      <c r="S144" s="25" t="str">
        <f t="shared" si="8"/>
        <v/>
      </c>
      <c r="T144" s="21" t="str">
        <f>IFERROR(
(VLOOKUP(MONTH(R144),Meses!$B$3:$C$14,2,FALSE)-DAY(R144))/VLOOKUP(MONTH(R144),Meses!$B$3:$C$14,2,FALSE)*U144,
"")</f>
        <v/>
      </c>
      <c r="U144" s="22">
        <f t="shared" si="7"/>
        <v>20432</v>
      </c>
    </row>
    <row r="145" spans="1:21" ht="32.4" hidden="1" thickBot="1" x14ac:dyDescent="0.6">
      <c r="A145" s="10" t="s">
        <v>218</v>
      </c>
      <c r="B145" s="10" t="s">
        <v>219</v>
      </c>
      <c r="C145" s="12">
        <v>44980</v>
      </c>
      <c r="D145" s="10" t="s">
        <v>14</v>
      </c>
      <c r="E145" s="10" t="s">
        <v>14</v>
      </c>
      <c r="F145" s="10">
        <v>5795</v>
      </c>
      <c r="G145" s="10" t="s">
        <v>15</v>
      </c>
      <c r="H145" s="10" t="s">
        <v>17</v>
      </c>
      <c r="I145" s="10" t="s">
        <v>18</v>
      </c>
      <c r="J145" s="10" t="s">
        <v>19</v>
      </c>
      <c r="K145" s="10" t="s">
        <v>19</v>
      </c>
      <c r="L145" s="10" t="s">
        <v>19</v>
      </c>
      <c r="M145" s="12"/>
      <c r="N145" s="10" t="s">
        <v>20</v>
      </c>
      <c r="O145" s="10" t="s">
        <v>2054</v>
      </c>
      <c r="P145" s="25" t="str">
        <f>IFERROR(
IF(OR(O145="anulado",O145="stand by"),CONCATENATE(O145,": ",H145),
IF(OR(YEAR(M145)=2022,YEAR(M145)=2023),CONCATENATE("Se activó en ",YEAR(M145)),
IF(AND(OR(O145="En proceso",O145="facturando"),AND(J145="-",M145="")),"Por revisar",
IF(M145="",IF(J145="NUEVAS",CONCATENATE("Estado: ",O145,", ",J145),
IF(L145=Meses!$A$3,"Por revisar",
IF(H145="","Sin registro","En programación Frcst."))),"En programación")))),
"Error")</f>
        <v>Por revisar</v>
      </c>
      <c r="Q145" s="9" t="str">
        <f t="shared" si="6"/>
        <v>programación de act. NO, estado: Facturando, Comercializador: ENEL, Etapa: Instalado y Activado</v>
      </c>
      <c r="R145" s="25" t="str">
        <f>IF(P145="En programación Frcst.",VLOOKUP(L145,Meses!$A$1:$H$14,3+HLOOKUP(Cronograma!J145,Meses!$D$1:$G$2,2,FALSE),FALSE),
IF(P145="En programación",M145,""))</f>
        <v/>
      </c>
      <c r="S145" s="25" t="str">
        <f t="shared" si="8"/>
        <v/>
      </c>
      <c r="T145" s="21" t="str">
        <f>IFERROR(
(VLOOKUP(MONTH(R145),Meses!$B$3:$C$14,2,FALSE)-DAY(R145))/VLOOKUP(MONTH(R145),Meses!$B$3:$C$14,2,FALSE)*U145,
"")</f>
        <v/>
      </c>
      <c r="U145" s="22">
        <f t="shared" si="7"/>
        <v>5795</v>
      </c>
    </row>
    <row r="146" spans="1:21" ht="32.4" hidden="1" thickBot="1" x14ac:dyDescent="0.6">
      <c r="A146" s="10" t="s">
        <v>218</v>
      </c>
      <c r="B146" s="10" t="s">
        <v>220</v>
      </c>
      <c r="C146" s="12">
        <v>45085</v>
      </c>
      <c r="D146" s="10" t="s">
        <v>74</v>
      </c>
      <c r="E146" s="10" t="s">
        <v>74</v>
      </c>
      <c r="F146" s="10">
        <v>14447</v>
      </c>
      <c r="G146" s="10" t="s">
        <v>15</v>
      </c>
      <c r="H146" s="10" t="s">
        <v>17</v>
      </c>
      <c r="I146" s="10" t="s">
        <v>43</v>
      </c>
      <c r="J146" s="10" t="s">
        <v>19</v>
      </c>
      <c r="K146" s="10" t="s">
        <v>19</v>
      </c>
      <c r="L146" s="10" t="s">
        <v>19</v>
      </c>
      <c r="M146" s="12"/>
      <c r="N146" s="10" t="s">
        <v>20</v>
      </c>
      <c r="O146" s="10" t="s">
        <v>2054</v>
      </c>
      <c r="P146" s="25" t="str">
        <f>IFERROR(
IF(OR(O146="anulado",O146="stand by"),CONCATENATE(O146,": ",H146),
IF(OR(YEAR(M146)=2022,YEAR(M146)=2023),CONCATENATE("Se activó en ",YEAR(M146)),
IF(AND(OR(O146="En proceso",O146="facturando"),AND(J146="-",M146="")),"Por revisar",
IF(M146="",IF(J146="NUEVAS",CONCATENATE("Estado: ",O146,", ",J146),
IF(L146=Meses!$A$3,"Por revisar",
IF(H146="","Sin registro","En programación Frcst."))),"En programación")))),
"Error")</f>
        <v>Por revisar</v>
      </c>
      <c r="Q146" s="9" t="str">
        <f t="shared" si="6"/>
        <v>programación de act. NO, estado: Facturando, Comercializador: AIR-E, Etapa: Instalado y Activado</v>
      </c>
      <c r="R146" s="25" t="str">
        <f>IF(P146="En programación Frcst.",VLOOKUP(L146,Meses!$A$1:$H$14,3+HLOOKUP(Cronograma!J146,Meses!$D$1:$G$2,2,FALSE),FALSE),
IF(P146="En programación",M146,""))</f>
        <v/>
      </c>
      <c r="S146" s="25" t="str">
        <f t="shared" si="8"/>
        <v/>
      </c>
      <c r="T146" s="21" t="str">
        <f>IFERROR(
(VLOOKUP(MONTH(R146),Meses!$B$3:$C$14,2,FALSE)-DAY(R146))/VLOOKUP(MONTH(R146),Meses!$B$3:$C$14,2,FALSE)*U146,
"")</f>
        <v/>
      </c>
      <c r="U146" s="22">
        <f t="shared" si="7"/>
        <v>14447</v>
      </c>
    </row>
    <row r="147" spans="1:21" ht="32.4" hidden="1" thickBot="1" x14ac:dyDescent="0.6">
      <c r="A147" s="10" t="s">
        <v>218</v>
      </c>
      <c r="B147" s="10" t="s">
        <v>221</v>
      </c>
      <c r="C147" s="12">
        <v>45085</v>
      </c>
      <c r="D147" s="10" t="s">
        <v>74</v>
      </c>
      <c r="E147" s="10" t="s">
        <v>74</v>
      </c>
      <c r="F147" s="10">
        <v>11559</v>
      </c>
      <c r="G147" s="10" t="s">
        <v>15</v>
      </c>
      <c r="H147" s="10" t="s">
        <v>17</v>
      </c>
      <c r="I147" s="10" t="s">
        <v>43</v>
      </c>
      <c r="J147" s="10" t="s">
        <v>19</v>
      </c>
      <c r="K147" s="10" t="s">
        <v>19</v>
      </c>
      <c r="L147" s="10" t="s">
        <v>19</v>
      </c>
      <c r="M147" s="12"/>
      <c r="N147" s="10" t="s">
        <v>20</v>
      </c>
      <c r="O147" s="10" t="s">
        <v>2054</v>
      </c>
      <c r="P147" s="25" t="str">
        <f>IFERROR(
IF(OR(O147="anulado",O147="stand by"),CONCATENATE(O147,": ",H147),
IF(OR(YEAR(M147)=2022,YEAR(M147)=2023),CONCATENATE("Se activó en ",YEAR(M147)),
IF(AND(OR(O147="En proceso",O147="facturando"),AND(J147="-",M147="")),"Por revisar",
IF(M147="",IF(J147="NUEVAS",CONCATENATE("Estado: ",O147,", ",J147),
IF(L147=Meses!$A$3,"Por revisar",
IF(H147="","Sin registro","En programación Frcst."))),"En programación")))),
"Error")</f>
        <v>Por revisar</v>
      </c>
      <c r="Q147" s="9" t="str">
        <f t="shared" si="6"/>
        <v>programación de act. NO, estado: Facturando, Comercializador: AIR-E, Etapa: Instalado y Activado</v>
      </c>
      <c r="R147" s="25" t="str">
        <f>IF(P147="En programación Frcst.",VLOOKUP(L147,Meses!$A$1:$H$14,3+HLOOKUP(Cronograma!J147,Meses!$D$1:$G$2,2,FALSE),FALSE),
IF(P147="En programación",M147,""))</f>
        <v/>
      </c>
      <c r="S147" s="25" t="str">
        <f t="shared" si="8"/>
        <v/>
      </c>
      <c r="T147" s="21" t="str">
        <f>IFERROR(
(VLOOKUP(MONTH(R147),Meses!$B$3:$C$14,2,FALSE)-DAY(R147))/VLOOKUP(MONTH(R147),Meses!$B$3:$C$14,2,FALSE)*U147,
"")</f>
        <v/>
      </c>
      <c r="U147" s="22">
        <f t="shared" si="7"/>
        <v>11559</v>
      </c>
    </row>
    <row r="148" spans="1:21" ht="32.4" hidden="1" thickBot="1" x14ac:dyDescent="0.6">
      <c r="A148" s="10" t="s">
        <v>218</v>
      </c>
      <c r="B148" s="10" t="s">
        <v>222</v>
      </c>
      <c r="C148" s="12">
        <v>45085</v>
      </c>
      <c r="D148" s="10" t="s">
        <v>74</v>
      </c>
      <c r="E148" s="10" t="s">
        <v>74</v>
      </c>
      <c r="F148" s="10">
        <v>3108</v>
      </c>
      <c r="G148" s="10" t="s">
        <v>15</v>
      </c>
      <c r="H148" s="10" t="s">
        <v>17</v>
      </c>
      <c r="I148" s="10" t="s">
        <v>43</v>
      </c>
      <c r="J148" s="10" t="s">
        <v>19</v>
      </c>
      <c r="K148" s="10" t="s">
        <v>19</v>
      </c>
      <c r="L148" s="10" t="s">
        <v>19</v>
      </c>
      <c r="M148" s="12"/>
      <c r="N148" s="10" t="s">
        <v>20</v>
      </c>
      <c r="O148" s="10" t="s">
        <v>2054</v>
      </c>
      <c r="P148" s="25" t="str">
        <f>IFERROR(
IF(OR(O148="anulado",O148="stand by"),CONCATENATE(O148,": ",H148),
IF(OR(YEAR(M148)=2022,YEAR(M148)=2023),CONCATENATE("Se activó en ",YEAR(M148)),
IF(AND(OR(O148="En proceso",O148="facturando"),AND(J148="-",M148="")),"Por revisar",
IF(M148="",IF(J148="NUEVAS",CONCATENATE("Estado: ",O148,", ",J148),
IF(L148=Meses!$A$3,"Por revisar",
IF(H148="","Sin registro","En programación Frcst."))),"En programación")))),
"Error")</f>
        <v>Por revisar</v>
      </c>
      <c r="Q148" s="9" t="str">
        <f t="shared" si="6"/>
        <v>programación de act. NO, estado: Facturando, Comercializador: AIR-E, Etapa: Instalado y Activado</v>
      </c>
      <c r="R148" s="25" t="str">
        <f>IF(P148="En programación Frcst.",VLOOKUP(L148,Meses!$A$1:$H$14,3+HLOOKUP(Cronograma!J148,Meses!$D$1:$G$2,2,FALSE),FALSE),
IF(P148="En programación",M148,""))</f>
        <v/>
      </c>
      <c r="S148" s="25" t="str">
        <f t="shared" si="8"/>
        <v/>
      </c>
      <c r="T148" s="21" t="str">
        <f>IFERROR(
(VLOOKUP(MONTH(R148),Meses!$B$3:$C$14,2,FALSE)-DAY(R148))/VLOOKUP(MONTH(R148),Meses!$B$3:$C$14,2,FALSE)*U148,
"")</f>
        <v/>
      </c>
      <c r="U148" s="22">
        <f t="shared" si="7"/>
        <v>3108</v>
      </c>
    </row>
    <row r="149" spans="1:21" ht="32.4" hidden="1" thickBot="1" x14ac:dyDescent="0.6">
      <c r="A149" s="10" t="s">
        <v>223</v>
      </c>
      <c r="B149" s="10" t="s">
        <v>224</v>
      </c>
      <c r="C149" s="12">
        <v>44980</v>
      </c>
      <c r="D149" s="10" t="s">
        <v>14</v>
      </c>
      <c r="E149" s="10" t="s">
        <v>14</v>
      </c>
      <c r="F149" s="10">
        <v>1329</v>
      </c>
      <c r="G149" s="10" t="s">
        <v>15</v>
      </c>
      <c r="H149" s="10" t="s">
        <v>17</v>
      </c>
      <c r="I149" s="10" t="s">
        <v>18</v>
      </c>
      <c r="J149" s="10" t="s">
        <v>19</v>
      </c>
      <c r="K149" s="10" t="s">
        <v>19</v>
      </c>
      <c r="L149" s="10" t="s">
        <v>19</v>
      </c>
      <c r="M149" s="12"/>
      <c r="N149" s="10" t="s">
        <v>20</v>
      </c>
      <c r="O149" s="10" t="s">
        <v>2054</v>
      </c>
      <c r="P149" s="25" t="str">
        <f>IFERROR(
IF(OR(O149="anulado",O149="stand by"),CONCATENATE(O149,": ",H149),
IF(OR(YEAR(M149)=2022,YEAR(M149)=2023),CONCATENATE("Se activó en ",YEAR(M149)),
IF(AND(OR(O149="En proceso",O149="facturando"),AND(J149="-",M149="")),"Por revisar",
IF(M149="",IF(J149="NUEVAS",CONCATENATE("Estado: ",O149,", ",J149),
IF(L149=Meses!$A$3,"Por revisar",
IF(H149="","Sin registro","En programación Frcst."))),"En programación")))),
"Error")</f>
        <v>Por revisar</v>
      </c>
      <c r="Q149" s="9" t="str">
        <f t="shared" si="6"/>
        <v>programación de act. NO, estado: Facturando, Comercializador: ENEL, Etapa: Instalado y Activado</v>
      </c>
      <c r="R149" s="25" t="str">
        <f>IF(P149="En programación Frcst.",VLOOKUP(L149,Meses!$A$1:$H$14,3+HLOOKUP(Cronograma!J149,Meses!$D$1:$G$2,2,FALSE),FALSE),
IF(P149="En programación",M149,""))</f>
        <v/>
      </c>
      <c r="S149" s="25" t="str">
        <f t="shared" si="8"/>
        <v/>
      </c>
      <c r="T149" s="21" t="str">
        <f>IFERROR(
(VLOOKUP(MONTH(R149),Meses!$B$3:$C$14,2,FALSE)-DAY(R149))/VLOOKUP(MONTH(R149),Meses!$B$3:$C$14,2,FALSE)*U149,
"")</f>
        <v/>
      </c>
      <c r="U149" s="22">
        <f t="shared" si="7"/>
        <v>1329</v>
      </c>
    </row>
    <row r="150" spans="1:21" ht="32.4" hidden="1" thickBot="1" x14ac:dyDescent="0.6">
      <c r="A150" s="10" t="s">
        <v>225</v>
      </c>
      <c r="B150" s="10" t="s">
        <v>226</v>
      </c>
      <c r="C150" s="12">
        <v>45148</v>
      </c>
      <c r="D150" s="10" t="s">
        <v>74</v>
      </c>
      <c r="E150" s="10" t="s">
        <v>74</v>
      </c>
      <c r="F150" s="10">
        <v>14096</v>
      </c>
      <c r="G150" s="10" t="s">
        <v>15</v>
      </c>
      <c r="H150" s="10" t="s">
        <v>17</v>
      </c>
      <c r="I150" s="10" t="s">
        <v>43</v>
      </c>
      <c r="J150" s="10" t="s">
        <v>19</v>
      </c>
      <c r="K150" s="10" t="s">
        <v>19</v>
      </c>
      <c r="L150" s="10" t="s">
        <v>19</v>
      </c>
      <c r="M150" s="12"/>
      <c r="N150" s="10" t="s">
        <v>20</v>
      </c>
      <c r="O150" s="10" t="s">
        <v>2054</v>
      </c>
      <c r="P150" s="25" t="str">
        <f>IFERROR(
IF(OR(O150="anulado",O150="stand by"),CONCATENATE(O150,": ",H150),
IF(OR(YEAR(M150)=2022,YEAR(M150)=2023),CONCATENATE("Se activó en ",YEAR(M150)),
IF(AND(OR(O150="En proceso",O150="facturando"),AND(J150="-",M150="")),"Por revisar",
IF(M150="",IF(J150="NUEVAS",CONCATENATE("Estado: ",O150,", ",J150),
IF(L150=Meses!$A$3,"Por revisar",
IF(H150="","Sin registro","En programación Frcst."))),"En programación")))),
"Error")</f>
        <v>Por revisar</v>
      </c>
      <c r="Q150" s="9" t="str">
        <f t="shared" si="6"/>
        <v>programación de act. NO, estado: Facturando, Comercializador: AIR-E, Etapa: Instalado y Activado</v>
      </c>
      <c r="R150" s="25" t="str">
        <f>IF(P150="En programación Frcst.",VLOOKUP(L150,Meses!$A$1:$H$14,3+HLOOKUP(Cronograma!J150,Meses!$D$1:$G$2,2,FALSE),FALSE),
IF(P150="En programación",M150,""))</f>
        <v/>
      </c>
      <c r="S150" s="25" t="str">
        <f t="shared" si="8"/>
        <v/>
      </c>
      <c r="T150" s="21" t="str">
        <f>IFERROR(
(VLOOKUP(MONTH(R150),Meses!$B$3:$C$14,2,FALSE)-DAY(R150))/VLOOKUP(MONTH(R150),Meses!$B$3:$C$14,2,FALSE)*U150,
"")</f>
        <v/>
      </c>
      <c r="U150" s="22">
        <f t="shared" si="7"/>
        <v>14096</v>
      </c>
    </row>
    <row r="151" spans="1:21" ht="32.4" hidden="1" thickBot="1" x14ac:dyDescent="0.6">
      <c r="A151" s="10" t="s">
        <v>227</v>
      </c>
      <c r="B151" s="10" t="s">
        <v>228</v>
      </c>
      <c r="C151" s="12">
        <v>44994</v>
      </c>
      <c r="D151" s="10" t="s">
        <v>14</v>
      </c>
      <c r="E151" s="10" t="s">
        <v>14</v>
      </c>
      <c r="F151" s="10">
        <v>5723</v>
      </c>
      <c r="G151" s="10" t="s">
        <v>15</v>
      </c>
      <c r="H151" s="10" t="s">
        <v>17</v>
      </c>
      <c r="I151" s="10" t="s">
        <v>18</v>
      </c>
      <c r="J151" s="10" t="s">
        <v>19</v>
      </c>
      <c r="K151" s="10" t="s">
        <v>19</v>
      </c>
      <c r="L151" s="10" t="s">
        <v>19</v>
      </c>
      <c r="M151" s="12"/>
      <c r="N151" s="10" t="s">
        <v>20</v>
      </c>
      <c r="O151" s="10" t="s">
        <v>2054</v>
      </c>
      <c r="P151" s="25" t="str">
        <f>IFERROR(
IF(OR(O151="anulado",O151="stand by"),CONCATENATE(O151,": ",H151),
IF(OR(YEAR(M151)=2022,YEAR(M151)=2023),CONCATENATE("Se activó en ",YEAR(M151)),
IF(AND(OR(O151="En proceso",O151="facturando"),AND(J151="-",M151="")),"Por revisar",
IF(M151="",IF(J151="NUEVAS",CONCATENATE("Estado: ",O151,", ",J151),
IF(L151=Meses!$A$3,"Por revisar",
IF(H151="","Sin registro","En programación Frcst."))),"En programación")))),
"Error")</f>
        <v>Por revisar</v>
      </c>
      <c r="Q151" s="9" t="str">
        <f t="shared" si="6"/>
        <v>programación de act. NO, estado: Facturando, Comercializador: ENEL, Etapa: Instalado y Activado</v>
      </c>
      <c r="R151" s="25" t="str">
        <f>IF(P151="En programación Frcst.",VLOOKUP(L151,Meses!$A$1:$H$14,3+HLOOKUP(Cronograma!J151,Meses!$D$1:$G$2,2,FALSE),FALSE),
IF(P151="En programación",M151,""))</f>
        <v/>
      </c>
      <c r="S151" s="25" t="str">
        <f t="shared" si="8"/>
        <v/>
      </c>
      <c r="T151" s="21" t="str">
        <f>IFERROR(
(VLOOKUP(MONTH(R151),Meses!$B$3:$C$14,2,FALSE)-DAY(R151))/VLOOKUP(MONTH(R151),Meses!$B$3:$C$14,2,FALSE)*U151,
"")</f>
        <v/>
      </c>
      <c r="U151" s="22">
        <f t="shared" si="7"/>
        <v>5723</v>
      </c>
    </row>
    <row r="152" spans="1:21" ht="32.4" hidden="1" thickBot="1" x14ac:dyDescent="0.6">
      <c r="A152" s="10" t="s">
        <v>227</v>
      </c>
      <c r="B152" s="10" t="s">
        <v>229</v>
      </c>
      <c r="C152" s="12">
        <v>44994</v>
      </c>
      <c r="D152" s="10" t="s">
        <v>14</v>
      </c>
      <c r="E152" s="10" t="s">
        <v>14</v>
      </c>
      <c r="F152" s="10">
        <v>522</v>
      </c>
      <c r="G152" s="10" t="s">
        <v>15</v>
      </c>
      <c r="H152" s="10" t="s">
        <v>17</v>
      </c>
      <c r="I152" s="10" t="s">
        <v>18</v>
      </c>
      <c r="J152" s="10" t="s">
        <v>19</v>
      </c>
      <c r="K152" s="10" t="s">
        <v>19</v>
      </c>
      <c r="L152" s="10" t="s">
        <v>19</v>
      </c>
      <c r="M152" s="12"/>
      <c r="N152" s="10" t="s">
        <v>20</v>
      </c>
      <c r="O152" s="10" t="s">
        <v>2054</v>
      </c>
      <c r="P152" s="25" t="str">
        <f>IFERROR(
IF(OR(O152="anulado",O152="stand by"),CONCATENATE(O152,": ",H152),
IF(OR(YEAR(M152)=2022,YEAR(M152)=2023),CONCATENATE("Se activó en ",YEAR(M152)),
IF(AND(OR(O152="En proceso",O152="facturando"),AND(J152="-",M152="")),"Por revisar",
IF(M152="",IF(J152="NUEVAS",CONCATENATE("Estado: ",O152,", ",J152),
IF(L152=Meses!$A$3,"Por revisar",
IF(H152="","Sin registro","En programación Frcst."))),"En programación")))),
"Error")</f>
        <v>Por revisar</v>
      </c>
      <c r="Q152" s="9" t="str">
        <f t="shared" si="6"/>
        <v>programación de act. NO, estado: Facturando, Comercializador: ENEL, Etapa: Instalado y Activado</v>
      </c>
      <c r="R152" s="25" t="str">
        <f>IF(P152="En programación Frcst.",VLOOKUP(L152,Meses!$A$1:$H$14,3+HLOOKUP(Cronograma!J152,Meses!$D$1:$G$2,2,FALSE),FALSE),
IF(P152="En programación",M152,""))</f>
        <v/>
      </c>
      <c r="S152" s="25" t="str">
        <f t="shared" si="8"/>
        <v/>
      </c>
      <c r="T152" s="21" t="str">
        <f>IFERROR(
(VLOOKUP(MONTH(R152),Meses!$B$3:$C$14,2,FALSE)-DAY(R152))/VLOOKUP(MONTH(R152),Meses!$B$3:$C$14,2,FALSE)*U152,
"")</f>
        <v/>
      </c>
      <c r="U152" s="22">
        <f t="shared" si="7"/>
        <v>522</v>
      </c>
    </row>
    <row r="153" spans="1:21" ht="32.4" hidden="1" thickBot="1" x14ac:dyDescent="0.6">
      <c r="A153" s="10" t="s">
        <v>230</v>
      </c>
      <c r="B153" s="10" t="s">
        <v>231</v>
      </c>
      <c r="C153" s="12">
        <v>45134</v>
      </c>
      <c r="D153" s="10" t="s">
        <v>23</v>
      </c>
      <c r="E153" s="10" t="s">
        <v>23</v>
      </c>
      <c r="F153" s="10">
        <v>12816</v>
      </c>
      <c r="G153" s="10" t="s">
        <v>15</v>
      </c>
      <c r="H153" s="10" t="s">
        <v>17</v>
      </c>
      <c r="I153" s="10" t="s">
        <v>43</v>
      </c>
      <c r="J153" s="10" t="s">
        <v>19</v>
      </c>
      <c r="K153" s="10" t="s">
        <v>19</v>
      </c>
      <c r="L153" s="10" t="s">
        <v>19</v>
      </c>
      <c r="M153" s="12"/>
      <c r="N153" s="10" t="s">
        <v>20</v>
      </c>
      <c r="O153" s="10" t="s">
        <v>2054</v>
      </c>
      <c r="P153" s="25" t="str">
        <f>IFERROR(
IF(OR(O153="anulado",O153="stand by"),CONCATENATE(O153,": ",H153),
IF(OR(YEAR(M153)=2022,YEAR(M153)=2023),CONCATENATE("Se activó en ",YEAR(M153)),
IF(AND(OR(O153="En proceso",O153="facturando"),AND(J153="-",M153="")),"Por revisar",
IF(M153="",IF(J153="NUEVAS",CONCATENATE("Estado: ",O153,", ",J153),
IF(L153=Meses!$A$3,"Por revisar",
IF(H153="","Sin registro","En programación Frcst."))),"En programación")))),
"Error")</f>
        <v>Por revisar</v>
      </c>
      <c r="Q153" s="9" t="str">
        <f t="shared" si="6"/>
        <v>programación de act. NO, estado: Facturando, Comercializador: EMCALI, Etapa: Instalado y Activado</v>
      </c>
      <c r="R153" s="25" t="str">
        <f>IF(P153="En programación Frcst.",VLOOKUP(L153,Meses!$A$1:$H$14,3+HLOOKUP(Cronograma!J153,Meses!$D$1:$G$2,2,FALSE),FALSE),
IF(P153="En programación",M153,""))</f>
        <v/>
      </c>
      <c r="S153" s="25" t="str">
        <f t="shared" si="8"/>
        <v/>
      </c>
      <c r="T153" s="21" t="str">
        <f>IFERROR(
(VLOOKUP(MONTH(R153),Meses!$B$3:$C$14,2,FALSE)-DAY(R153))/VLOOKUP(MONTH(R153),Meses!$B$3:$C$14,2,FALSE)*U153,
"")</f>
        <v/>
      </c>
      <c r="U153" s="22">
        <f t="shared" si="7"/>
        <v>12816</v>
      </c>
    </row>
    <row r="154" spans="1:21" ht="31.8" hidden="1" thickBot="1" x14ac:dyDescent="0.6">
      <c r="A154" s="10" t="s">
        <v>230</v>
      </c>
      <c r="B154" s="10" t="s">
        <v>232</v>
      </c>
      <c r="C154" s="12"/>
      <c r="D154" s="10" t="s">
        <v>188</v>
      </c>
      <c r="E154" s="10" t="s">
        <v>188</v>
      </c>
      <c r="F154" s="10">
        <v>8363</v>
      </c>
      <c r="G154" s="10" t="s">
        <v>15</v>
      </c>
      <c r="H154" s="10" t="s">
        <v>140</v>
      </c>
      <c r="I154" s="10" t="s">
        <v>43</v>
      </c>
      <c r="J154" s="10" t="s">
        <v>19</v>
      </c>
      <c r="K154" s="10" t="s">
        <v>19</v>
      </c>
      <c r="L154" s="10" t="s">
        <v>19</v>
      </c>
      <c r="M154" s="12"/>
      <c r="N154" s="10" t="s">
        <v>20</v>
      </c>
      <c r="O154" s="10" t="s">
        <v>2056</v>
      </c>
      <c r="P154" s="25" t="str">
        <f>IFERROR(
IF(OR(O154="anulado",O154="stand by"),CONCATENATE(O154,": ",H154),
IF(OR(YEAR(M154)=2022,YEAR(M154)=2023),CONCATENATE("Se activó en ",YEAR(M154)),
IF(AND(OR(O154="En proceso",O154="facturando"),AND(J154="-",M154="")),"Por revisar",
IF(M154="",IF(J154="NUEVAS",CONCATENATE("Estado: ",O154,", ",J154),
IF(L154=Meses!$A$3,"Por revisar",
IF(H154="","Sin registro","En programación Frcst."))),"En programación")))),
"Error")</f>
        <v>anulado: Desistido</v>
      </c>
      <c r="Q154" s="9" t="str">
        <f t="shared" si="6"/>
        <v/>
      </c>
      <c r="R154" s="25" t="str">
        <f>IF(P154="En programación Frcst.",VLOOKUP(L154,Meses!$A$1:$H$14,3+HLOOKUP(Cronograma!J154,Meses!$D$1:$G$2,2,FALSE),FALSE),
IF(P154="En programación",M154,""))</f>
        <v/>
      </c>
      <c r="S154" s="25" t="str">
        <f t="shared" si="8"/>
        <v/>
      </c>
      <c r="T154" s="21" t="str">
        <f>IFERROR(
(VLOOKUP(MONTH(R154),Meses!$B$3:$C$14,2,FALSE)-DAY(R154))/VLOOKUP(MONTH(R154),Meses!$B$3:$C$14,2,FALSE)*U154,
"")</f>
        <v/>
      </c>
      <c r="U154" s="22">
        <f t="shared" si="7"/>
        <v>8363</v>
      </c>
    </row>
    <row r="155" spans="1:21" ht="31.8" hidden="1" thickBot="1" x14ac:dyDescent="0.6">
      <c r="A155" s="10" t="s">
        <v>230</v>
      </c>
      <c r="B155" s="10" t="s">
        <v>234</v>
      </c>
      <c r="C155" s="12"/>
      <c r="D155" s="10" t="s">
        <v>233</v>
      </c>
      <c r="E155" s="10" t="s">
        <v>233</v>
      </c>
      <c r="F155" s="10">
        <v>7980</v>
      </c>
      <c r="G155" s="10" t="s">
        <v>15</v>
      </c>
      <c r="H155" s="10" t="s">
        <v>140</v>
      </c>
      <c r="I155" s="10" t="s">
        <v>18</v>
      </c>
      <c r="J155" s="10" t="s">
        <v>292</v>
      </c>
      <c r="K155" s="10" t="s">
        <v>1697</v>
      </c>
      <c r="L155" s="10" t="s">
        <v>1120</v>
      </c>
      <c r="M155" s="12">
        <v>45379</v>
      </c>
      <c r="N155" s="10" t="s">
        <v>15</v>
      </c>
      <c r="O155" s="10" t="s">
        <v>2056</v>
      </c>
      <c r="P155" s="25" t="str">
        <f>IFERROR(
IF(OR(O155="anulado",O155="stand by"),CONCATENATE(O155,": ",H155),
IF(OR(YEAR(M155)=2022,YEAR(M155)=2023),CONCATENATE("Se activó en ",YEAR(M155)),
IF(AND(OR(O155="En proceso",O155="facturando"),AND(J155="-",M155="")),"Por revisar",
IF(M155="",IF(J155="NUEVAS",CONCATENATE("Estado: ",O155,", ",J155),
IF(L155=Meses!$A$3,"Por revisar",
IF(H155="","Sin registro","En programación Frcst."))),"En programación")))),
"Error")</f>
        <v>anulado: Desistido</v>
      </c>
      <c r="Q155" s="9" t="str">
        <f t="shared" si="6"/>
        <v/>
      </c>
      <c r="R155" s="25" t="str">
        <f>IF(P155="En programación Frcst.",VLOOKUP(L155,Meses!$A$1:$H$14,3+HLOOKUP(Cronograma!J155,Meses!$D$1:$G$2,2,FALSE),FALSE),
IF(P155="En programación",M155,""))</f>
        <v/>
      </c>
      <c r="S155" s="25" t="str">
        <f t="shared" si="8"/>
        <v/>
      </c>
      <c r="T155" s="21" t="str">
        <f>IFERROR(
(VLOOKUP(MONTH(R155),Meses!$B$3:$C$14,2,FALSE)-DAY(R155))/VLOOKUP(MONTH(R155),Meses!$B$3:$C$14,2,FALSE)*U155,
"")</f>
        <v/>
      </c>
      <c r="U155" s="22">
        <f t="shared" si="7"/>
        <v>7980</v>
      </c>
    </row>
    <row r="156" spans="1:21" ht="32.4" hidden="1" thickBot="1" x14ac:dyDescent="0.6">
      <c r="A156" s="10" t="s">
        <v>230</v>
      </c>
      <c r="B156" s="10" t="s">
        <v>235</v>
      </c>
      <c r="C156" s="12">
        <v>45064</v>
      </c>
      <c r="D156" s="10" t="s">
        <v>23</v>
      </c>
      <c r="E156" s="10" t="s">
        <v>23</v>
      </c>
      <c r="F156" s="10">
        <v>6660</v>
      </c>
      <c r="G156" s="10" t="s">
        <v>15</v>
      </c>
      <c r="H156" s="10" t="s">
        <v>17</v>
      </c>
      <c r="I156" s="10" t="s">
        <v>43</v>
      </c>
      <c r="J156" s="10" t="s">
        <v>19</v>
      </c>
      <c r="K156" s="10" t="s">
        <v>19</v>
      </c>
      <c r="L156" s="10" t="s">
        <v>19</v>
      </c>
      <c r="M156" s="12"/>
      <c r="N156" s="10" t="s">
        <v>20</v>
      </c>
      <c r="O156" s="10" t="s">
        <v>2054</v>
      </c>
      <c r="P156" s="25" t="str">
        <f>IFERROR(
IF(OR(O156="anulado",O156="stand by"),CONCATENATE(O156,": ",H156),
IF(OR(YEAR(M156)=2022,YEAR(M156)=2023),CONCATENATE("Se activó en ",YEAR(M156)),
IF(AND(OR(O156="En proceso",O156="facturando"),AND(J156="-",M156="")),"Por revisar",
IF(M156="",IF(J156="NUEVAS",CONCATENATE("Estado: ",O156,", ",J156),
IF(L156=Meses!$A$3,"Por revisar",
IF(H156="","Sin registro","En programación Frcst."))),"En programación")))),
"Error")</f>
        <v>Por revisar</v>
      </c>
      <c r="Q156" s="9" t="str">
        <f t="shared" si="6"/>
        <v>programación de act. NO, estado: Facturando, Comercializador: EMCALI, Etapa: Instalado y Activado</v>
      </c>
      <c r="R156" s="25" t="str">
        <f>IF(P156="En programación Frcst.",VLOOKUP(L156,Meses!$A$1:$H$14,3+HLOOKUP(Cronograma!J156,Meses!$D$1:$G$2,2,FALSE),FALSE),
IF(P156="En programación",M156,""))</f>
        <v/>
      </c>
      <c r="S156" s="25" t="str">
        <f t="shared" si="8"/>
        <v/>
      </c>
      <c r="T156" s="21" t="str">
        <f>IFERROR(
(VLOOKUP(MONTH(R156),Meses!$B$3:$C$14,2,FALSE)-DAY(R156))/VLOOKUP(MONTH(R156),Meses!$B$3:$C$14,2,FALSE)*U156,
"")</f>
        <v/>
      </c>
      <c r="U156" s="22">
        <f t="shared" si="7"/>
        <v>6660</v>
      </c>
    </row>
    <row r="157" spans="1:21" ht="32.4" hidden="1" thickBot="1" x14ac:dyDescent="0.6">
      <c r="A157" s="10" t="s">
        <v>236</v>
      </c>
      <c r="B157" s="10" t="s">
        <v>237</v>
      </c>
      <c r="C157" s="12">
        <v>44980</v>
      </c>
      <c r="D157" s="10" t="s">
        <v>14</v>
      </c>
      <c r="E157" s="10" t="s">
        <v>14</v>
      </c>
      <c r="F157" s="10">
        <v>1354</v>
      </c>
      <c r="G157" s="10" t="s">
        <v>15</v>
      </c>
      <c r="H157" s="10" t="s">
        <v>17</v>
      </c>
      <c r="I157" s="10" t="s">
        <v>18</v>
      </c>
      <c r="J157" s="10" t="s">
        <v>19</v>
      </c>
      <c r="K157" s="10" t="s">
        <v>19</v>
      </c>
      <c r="L157" s="10" t="s">
        <v>19</v>
      </c>
      <c r="M157" s="12"/>
      <c r="N157" s="10" t="s">
        <v>20</v>
      </c>
      <c r="O157" s="10" t="s">
        <v>2054</v>
      </c>
      <c r="P157" s="25" t="str">
        <f>IFERROR(
IF(OR(O157="anulado",O157="stand by"),CONCATENATE(O157,": ",H157),
IF(OR(YEAR(M157)=2022,YEAR(M157)=2023),CONCATENATE("Se activó en ",YEAR(M157)),
IF(AND(OR(O157="En proceso",O157="facturando"),AND(J157="-",M157="")),"Por revisar",
IF(M157="",IF(J157="NUEVAS",CONCATENATE("Estado: ",O157,", ",J157),
IF(L157=Meses!$A$3,"Por revisar",
IF(H157="","Sin registro","En programación Frcst."))),"En programación")))),
"Error")</f>
        <v>Por revisar</v>
      </c>
      <c r="Q157" s="9" t="str">
        <f t="shared" si="6"/>
        <v>programación de act. NO, estado: Facturando, Comercializador: ENEL, Etapa: Instalado y Activado</v>
      </c>
      <c r="R157" s="25" t="str">
        <f>IF(P157="En programación Frcst.",VLOOKUP(L157,Meses!$A$1:$H$14,3+HLOOKUP(Cronograma!J157,Meses!$D$1:$G$2,2,FALSE),FALSE),
IF(P157="En programación",M157,""))</f>
        <v/>
      </c>
      <c r="S157" s="25" t="str">
        <f t="shared" si="8"/>
        <v/>
      </c>
      <c r="T157" s="21" t="str">
        <f>IFERROR(
(VLOOKUP(MONTH(R157),Meses!$B$3:$C$14,2,FALSE)-DAY(R157))/VLOOKUP(MONTH(R157),Meses!$B$3:$C$14,2,FALSE)*U157,
"")</f>
        <v/>
      </c>
      <c r="U157" s="22">
        <f t="shared" si="7"/>
        <v>1354</v>
      </c>
    </row>
    <row r="158" spans="1:21" ht="32.4" hidden="1" thickBot="1" x14ac:dyDescent="0.6">
      <c r="A158" s="10" t="s">
        <v>25</v>
      </c>
      <c r="B158" s="10" t="s">
        <v>238</v>
      </c>
      <c r="C158" s="12">
        <v>44980</v>
      </c>
      <c r="D158" s="10" t="s">
        <v>14</v>
      </c>
      <c r="E158" s="10" t="s">
        <v>14</v>
      </c>
      <c r="F158" s="10">
        <v>6482</v>
      </c>
      <c r="G158" s="10" t="s">
        <v>15</v>
      </c>
      <c r="H158" s="10" t="s">
        <v>17</v>
      </c>
      <c r="I158" s="10" t="s">
        <v>18</v>
      </c>
      <c r="J158" s="10" t="s">
        <v>19</v>
      </c>
      <c r="K158" s="10" t="s">
        <v>19</v>
      </c>
      <c r="L158" s="10" t="s">
        <v>19</v>
      </c>
      <c r="M158" s="12"/>
      <c r="N158" s="10" t="s">
        <v>20</v>
      </c>
      <c r="O158" s="10" t="s">
        <v>2054</v>
      </c>
      <c r="P158" s="25" t="str">
        <f>IFERROR(
IF(OR(O158="anulado",O158="stand by"),CONCATENATE(O158,": ",H158),
IF(OR(YEAR(M158)=2022,YEAR(M158)=2023),CONCATENATE("Se activó en ",YEAR(M158)),
IF(AND(OR(O158="En proceso",O158="facturando"),AND(J158="-",M158="")),"Por revisar",
IF(M158="",IF(J158="NUEVAS",CONCATENATE("Estado: ",O158,", ",J158),
IF(L158=Meses!$A$3,"Por revisar",
IF(H158="","Sin registro","En programación Frcst."))),"En programación")))),
"Error")</f>
        <v>Por revisar</v>
      </c>
      <c r="Q158" s="9" t="str">
        <f t="shared" si="6"/>
        <v>programación de act. NO, estado: Facturando, Comercializador: ENEL, Etapa: Instalado y Activado</v>
      </c>
      <c r="R158" s="25" t="str">
        <f>IF(P158="En programación Frcst.",VLOOKUP(L158,Meses!$A$1:$H$14,3+HLOOKUP(Cronograma!J158,Meses!$D$1:$G$2,2,FALSE),FALSE),
IF(P158="En programación",M158,""))</f>
        <v/>
      </c>
      <c r="S158" s="25" t="str">
        <f t="shared" si="8"/>
        <v/>
      </c>
      <c r="T158" s="21" t="str">
        <f>IFERROR(
(VLOOKUP(MONTH(R158),Meses!$B$3:$C$14,2,FALSE)-DAY(R158))/VLOOKUP(MONTH(R158),Meses!$B$3:$C$14,2,FALSE)*U158,
"")</f>
        <v/>
      </c>
      <c r="U158" s="22">
        <f t="shared" si="7"/>
        <v>6482</v>
      </c>
    </row>
    <row r="159" spans="1:21" ht="32.4" hidden="1" thickBot="1" x14ac:dyDescent="0.6">
      <c r="A159" s="10" t="s">
        <v>25</v>
      </c>
      <c r="B159" s="10" t="s">
        <v>239</v>
      </c>
      <c r="C159" s="12">
        <v>44980</v>
      </c>
      <c r="D159" s="10" t="s">
        <v>14</v>
      </c>
      <c r="E159" s="10" t="s">
        <v>14</v>
      </c>
      <c r="F159" s="10">
        <v>4312</v>
      </c>
      <c r="G159" s="10" t="s">
        <v>15</v>
      </c>
      <c r="H159" s="10" t="s">
        <v>17</v>
      </c>
      <c r="I159" s="10" t="s">
        <v>18</v>
      </c>
      <c r="J159" s="10" t="s">
        <v>19</v>
      </c>
      <c r="K159" s="10" t="s">
        <v>19</v>
      </c>
      <c r="L159" s="10" t="s">
        <v>19</v>
      </c>
      <c r="M159" s="12"/>
      <c r="N159" s="10" t="s">
        <v>20</v>
      </c>
      <c r="O159" s="10" t="s">
        <v>2054</v>
      </c>
      <c r="P159" s="25" t="str">
        <f>IFERROR(
IF(OR(O159="anulado",O159="stand by"),CONCATENATE(O159,": ",H159),
IF(OR(YEAR(M159)=2022,YEAR(M159)=2023),CONCATENATE("Se activó en ",YEAR(M159)),
IF(AND(OR(O159="En proceso",O159="facturando"),AND(J159="-",M159="")),"Por revisar",
IF(M159="",IF(J159="NUEVAS",CONCATENATE("Estado: ",O159,", ",J159),
IF(L159=Meses!$A$3,"Por revisar",
IF(H159="","Sin registro","En programación Frcst."))),"En programación")))),
"Error")</f>
        <v>Por revisar</v>
      </c>
      <c r="Q159" s="9" t="str">
        <f t="shared" si="6"/>
        <v>programación de act. NO, estado: Facturando, Comercializador: ENEL, Etapa: Instalado y Activado</v>
      </c>
      <c r="R159" s="25" t="str">
        <f>IF(P159="En programación Frcst.",VLOOKUP(L159,Meses!$A$1:$H$14,3+HLOOKUP(Cronograma!J159,Meses!$D$1:$G$2,2,FALSE),FALSE),
IF(P159="En programación",M159,""))</f>
        <v/>
      </c>
      <c r="S159" s="25" t="str">
        <f t="shared" si="8"/>
        <v/>
      </c>
      <c r="T159" s="21" t="str">
        <f>IFERROR(
(VLOOKUP(MONTH(R159),Meses!$B$3:$C$14,2,FALSE)-DAY(R159))/VLOOKUP(MONTH(R159),Meses!$B$3:$C$14,2,FALSE)*U159,
"")</f>
        <v/>
      </c>
      <c r="U159" s="22">
        <f t="shared" si="7"/>
        <v>4312</v>
      </c>
    </row>
    <row r="160" spans="1:21" ht="32.4" hidden="1" thickBot="1" x14ac:dyDescent="0.6">
      <c r="A160" s="10" t="s">
        <v>173</v>
      </c>
      <c r="B160" s="10" t="s">
        <v>240</v>
      </c>
      <c r="C160" s="12">
        <v>44980</v>
      </c>
      <c r="D160" s="10" t="s">
        <v>14</v>
      </c>
      <c r="E160" s="10" t="s">
        <v>14</v>
      </c>
      <c r="F160" s="10">
        <v>9382</v>
      </c>
      <c r="G160" s="10" t="s">
        <v>15</v>
      </c>
      <c r="H160" s="10" t="s">
        <v>17</v>
      </c>
      <c r="I160" s="10" t="s">
        <v>18</v>
      </c>
      <c r="J160" s="10" t="s">
        <v>19</v>
      </c>
      <c r="K160" s="10" t="s">
        <v>19</v>
      </c>
      <c r="L160" s="10" t="s">
        <v>19</v>
      </c>
      <c r="M160" s="12"/>
      <c r="N160" s="10" t="s">
        <v>20</v>
      </c>
      <c r="O160" s="10" t="s">
        <v>2054</v>
      </c>
      <c r="P160" s="25" t="str">
        <f>IFERROR(
IF(OR(O160="anulado",O160="stand by"),CONCATENATE(O160,": ",H160),
IF(OR(YEAR(M160)=2022,YEAR(M160)=2023),CONCATENATE("Se activó en ",YEAR(M160)),
IF(AND(OR(O160="En proceso",O160="facturando"),AND(J160="-",M160="")),"Por revisar",
IF(M160="",IF(J160="NUEVAS",CONCATENATE("Estado: ",O160,", ",J160),
IF(L160=Meses!$A$3,"Por revisar",
IF(H160="","Sin registro","En programación Frcst."))),"En programación")))),
"Error")</f>
        <v>Por revisar</v>
      </c>
      <c r="Q160" s="9" t="str">
        <f t="shared" si="6"/>
        <v>programación de act. NO, estado: Facturando, Comercializador: ENEL, Etapa: Instalado y Activado</v>
      </c>
      <c r="R160" s="25" t="str">
        <f>IF(P160="En programación Frcst.",VLOOKUP(L160,Meses!$A$1:$H$14,3+HLOOKUP(Cronograma!J160,Meses!$D$1:$G$2,2,FALSE),FALSE),
IF(P160="En programación",M160,""))</f>
        <v/>
      </c>
      <c r="S160" s="25" t="str">
        <f t="shared" si="8"/>
        <v/>
      </c>
      <c r="T160" s="21" t="str">
        <f>IFERROR(
(VLOOKUP(MONTH(R160),Meses!$B$3:$C$14,2,FALSE)-DAY(R160))/VLOOKUP(MONTH(R160),Meses!$B$3:$C$14,2,FALSE)*U160,
"")</f>
        <v/>
      </c>
      <c r="U160" s="22">
        <f t="shared" si="7"/>
        <v>9382</v>
      </c>
    </row>
    <row r="161" spans="1:21" ht="32.4" hidden="1" thickBot="1" x14ac:dyDescent="0.6">
      <c r="A161" s="10" t="s">
        <v>241</v>
      </c>
      <c r="B161" s="10" t="s">
        <v>242</v>
      </c>
      <c r="C161" s="12">
        <v>44980</v>
      </c>
      <c r="D161" s="10" t="s">
        <v>14</v>
      </c>
      <c r="E161" s="10" t="s">
        <v>14</v>
      </c>
      <c r="F161" s="10">
        <v>1566</v>
      </c>
      <c r="G161" s="10" t="s">
        <v>15</v>
      </c>
      <c r="H161" s="10" t="s">
        <v>17</v>
      </c>
      <c r="I161" s="10" t="s">
        <v>18</v>
      </c>
      <c r="J161" s="10" t="s">
        <v>19</v>
      </c>
      <c r="K161" s="10" t="s">
        <v>19</v>
      </c>
      <c r="L161" s="10" t="s">
        <v>19</v>
      </c>
      <c r="M161" s="12"/>
      <c r="N161" s="10" t="s">
        <v>20</v>
      </c>
      <c r="O161" s="10" t="s">
        <v>2054</v>
      </c>
      <c r="P161" s="25" t="str">
        <f>IFERROR(
IF(OR(O161="anulado",O161="stand by"),CONCATENATE(O161,": ",H161),
IF(OR(YEAR(M161)=2022,YEAR(M161)=2023),CONCATENATE("Se activó en ",YEAR(M161)),
IF(AND(OR(O161="En proceso",O161="facturando"),AND(J161="-",M161="")),"Por revisar",
IF(M161="",IF(J161="NUEVAS",CONCATENATE("Estado: ",O161,", ",J161),
IF(L161=Meses!$A$3,"Por revisar",
IF(H161="","Sin registro","En programación Frcst."))),"En programación")))),
"Error")</f>
        <v>Por revisar</v>
      </c>
      <c r="Q161" s="9" t="str">
        <f t="shared" si="6"/>
        <v>programación de act. NO, estado: Facturando, Comercializador: ENEL, Etapa: Instalado y Activado</v>
      </c>
      <c r="R161" s="25" t="str">
        <f>IF(P161="En programación Frcst.",VLOOKUP(L161,Meses!$A$1:$H$14,3+HLOOKUP(Cronograma!J161,Meses!$D$1:$G$2,2,FALSE),FALSE),
IF(P161="En programación",M161,""))</f>
        <v/>
      </c>
      <c r="S161" s="25" t="str">
        <f t="shared" si="8"/>
        <v/>
      </c>
      <c r="T161" s="21" t="str">
        <f>IFERROR(
(VLOOKUP(MONTH(R161),Meses!$B$3:$C$14,2,FALSE)-DAY(R161))/VLOOKUP(MONTH(R161),Meses!$B$3:$C$14,2,FALSE)*U161,
"")</f>
        <v/>
      </c>
      <c r="U161" s="22">
        <f t="shared" si="7"/>
        <v>1566</v>
      </c>
    </row>
    <row r="162" spans="1:21" ht="32.4" hidden="1" thickBot="1" x14ac:dyDescent="0.6">
      <c r="A162" s="10" t="s">
        <v>243</v>
      </c>
      <c r="B162" s="10" t="s">
        <v>244</v>
      </c>
      <c r="C162" s="12">
        <v>44980</v>
      </c>
      <c r="D162" s="10" t="s">
        <v>14</v>
      </c>
      <c r="E162" s="10" t="s">
        <v>14</v>
      </c>
      <c r="F162" s="10">
        <v>3083</v>
      </c>
      <c r="G162" s="10" t="s">
        <v>15</v>
      </c>
      <c r="H162" s="10" t="s">
        <v>17</v>
      </c>
      <c r="I162" s="10" t="s">
        <v>18</v>
      </c>
      <c r="J162" s="10" t="s">
        <v>19</v>
      </c>
      <c r="K162" s="10" t="s">
        <v>19</v>
      </c>
      <c r="L162" s="10" t="s">
        <v>19</v>
      </c>
      <c r="M162" s="12"/>
      <c r="N162" s="10" t="s">
        <v>20</v>
      </c>
      <c r="O162" s="10" t="s">
        <v>2054</v>
      </c>
      <c r="P162" s="25" t="str">
        <f>IFERROR(
IF(OR(O162="anulado",O162="stand by"),CONCATENATE(O162,": ",H162),
IF(OR(YEAR(M162)=2022,YEAR(M162)=2023),CONCATENATE("Se activó en ",YEAR(M162)),
IF(AND(OR(O162="En proceso",O162="facturando"),AND(J162="-",M162="")),"Por revisar",
IF(M162="",IF(J162="NUEVAS",CONCATENATE("Estado: ",O162,", ",J162),
IF(L162=Meses!$A$3,"Por revisar",
IF(H162="","Sin registro","En programación Frcst."))),"En programación")))),
"Error")</f>
        <v>Por revisar</v>
      </c>
      <c r="Q162" s="9" t="str">
        <f t="shared" si="6"/>
        <v>programación de act. NO, estado: Facturando, Comercializador: ENEL, Etapa: Instalado y Activado</v>
      </c>
      <c r="R162" s="25" t="str">
        <f>IF(P162="En programación Frcst.",VLOOKUP(L162,Meses!$A$1:$H$14,3+HLOOKUP(Cronograma!J162,Meses!$D$1:$G$2,2,FALSE),FALSE),
IF(P162="En programación",M162,""))</f>
        <v/>
      </c>
      <c r="S162" s="25" t="str">
        <f t="shared" si="8"/>
        <v/>
      </c>
      <c r="T162" s="21" t="str">
        <f>IFERROR(
(VLOOKUP(MONTH(R162),Meses!$B$3:$C$14,2,FALSE)-DAY(R162))/VLOOKUP(MONTH(R162),Meses!$B$3:$C$14,2,FALSE)*U162,
"")</f>
        <v/>
      </c>
      <c r="U162" s="22">
        <f t="shared" si="7"/>
        <v>3083</v>
      </c>
    </row>
    <row r="163" spans="1:21" ht="32.4" hidden="1" thickBot="1" x14ac:dyDescent="0.6">
      <c r="A163" s="10" t="s">
        <v>243</v>
      </c>
      <c r="B163" s="10" t="s">
        <v>245</v>
      </c>
      <c r="C163" s="12">
        <v>44980</v>
      </c>
      <c r="D163" s="10" t="s">
        <v>14</v>
      </c>
      <c r="E163" s="10" t="s">
        <v>14</v>
      </c>
      <c r="F163" s="10">
        <v>1873</v>
      </c>
      <c r="G163" s="10" t="s">
        <v>15</v>
      </c>
      <c r="H163" s="10" t="s">
        <v>17</v>
      </c>
      <c r="I163" s="10" t="s">
        <v>18</v>
      </c>
      <c r="J163" s="10" t="s">
        <v>19</v>
      </c>
      <c r="K163" s="10" t="s">
        <v>19</v>
      </c>
      <c r="L163" s="10" t="s">
        <v>19</v>
      </c>
      <c r="M163" s="12"/>
      <c r="N163" s="10" t="s">
        <v>20</v>
      </c>
      <c r="O163" s="10" t="s">
        <v>2054</v>
      </c>
      <c r="P163" s="25" t="str">
        <f>IFERROR(
IF(OR(O163="anulado",O163="stand by"),CONCATENATE(O163,": ",H163),
IF(OR(YEAR(M163)=2022,YEAR(M163)=2023),CONCATENATE("Se activó en ",YEAR(M163)),
IF(AND(OR(O163="En proceso",O163="facturando"),AND(J163="-",M163="")),"Por revisar",
IF(M163="",IF(J163="NUEVAS",CONCATENATE("Estado: ",O163,", ",J163),
IF(L163=Meses!$A$3,"Por revisar",
IF(H163="","Sin registro","En programación Frcst."))),"En programación")))),
"Error")</f>
        <v>Por revisar</v>
      </c>
      <c r="Q163" s="9" t="str">
        <f t="shared" si="6"/>
        <v>programación de act. NO, estado: Facturando, Comercializador: ENEL, Etapa: Instalado y Activado</v>
      </c>
      <c r="R163" s="25" t="str">
        <f>IF(P163="En programación Frcst.",VLOOKUP(L163,Meses!$A$1:$H$14,3+HLOOKUP(Cronograma!J163,Meses!$D$1:$G$2,2,FALSE),FALSE),
IF(P163="En programación",M163,""))</f>
        <v/>
      </c>
      <c r="S163" s="25" t="str">
        <f t="shared" si="8"/>
        <v/>
      </c>
      <c r="T163" s="21" t="str">
        <f>IFERROR(
(VLOOKUP(MONTH(R163),Meses!$B$3:$C$14,2,FALSE)-DAY(R163))/VLOOKUP(MONTH(R163),Meses!$B$3:$C$14,2,FALSE)*U163,
"")</f>
        <v/>
      </c>
      <c r="U163" s="22">
        <f t="shared" si="7"/>
        <v>1873</v>
      </c>
    </row>
    <row r="164" spans="1:21" ht="32.4" hidden="1" thickBot="1" x14ac:dyDescent="0.6">
      <c r="A164" s="10" t="s">
        <v>243</v>
      </c>
      <c r="B164" s="10" t="s">
        <v>246</v>
      </c>
      <c r="C164" s="12">
        <v>44980</v>
      </c>
      <c r="D164" s="10" t="s">
        <v>14</v>
      </c>
      <c r="E164" s="10" t="s">
        <v>14</v>
      </c>
      <c r="F164" s="10">
        <v>2012</v>
      </c>
      <c r="G164" s="10" t="s">
        <v>15</v>
      </c>
      <c r="H164" s="10" t="s">
        <v>17</v>
      </c>
      <c r="I164" s="10" t="s">
        <v>18</v>
      </c>
      <c r="J164" s="10" t="s">
        <v>19</v>
      </c>
      <c r="K164" s="10" t="s">
        <v>19</v>
      </c>
      <c r="L164" s="10" t="s">
        <v>19</v>
      </c>
      <c r="M164" s="12"/>
      <c r="N164" s="10" t="s">
        <v>20</v>
      </c>
      <c r="O164" s="10" t="s">
        <v>2054</v>
      </c>
      <c r="P164" s="25" t="str">
        <f>IFERROR(
IF(OR(O164="anulado",O164="stand by"),CONCATENATE(O164,": ",H164),
IF(OR(YEAR(M164)=2022,YEAR(M164)=2023),CONCATENATE("Se activó en ",YEAR(M164)),
IF(AND(OR(O164="En proceso",O164="facturando"),AND(J164="-",M164="")),"Por revisar",
IF(M164="",IF(J164="NUEVAS",CONCATENATE("Estado: ",O164,", ",J164),
IF(L164=Meses!$A$3,"Por revisar",
IF(H164="","Sin registro","En programación Frcst."))),"En programación")))),
"Error")</f>
        <v>Por revisar</v>
      </c>
      <c r="Q164" s="9" t="str">
        <f t="shared" si="6"/>
        <v>programación de act. NO, estado: Facturando, Comercializador: ENEL, Etapa: Instalado y Activado</v>
      </c>
      <c r="R164" s="25" t="str">
        <f>IF(P164="En programación Frcst.",VLOOKUP(L164,Meses!$A$1:$H$14,3+HLOOKUP(Cronograma!J164,Meses!$D$1:$G$2,2,FALSE),FALSE),
IF(P164="En programación",M164,""))</f>
        <v/>
      </c>
      <c r="S164" s="25" t="str">
        <f t="shared" si="8"/>
        <v/>
      </c>
      <c r="T164" s="21" t="str">
        <f>IFERROR(
(VLOOKUP(MONTH(R164),Meses!$B$3:$C$14,2,FALSE)-DAY(R164))/VLOOKUP(MONTH(R164),Meses!$B$3:$C$14,2,FALSE)*U164,
"")</f>
        <v/>
      </c>
      <c r="U164" s="22">
        <f t="shared" si="7"/>
        <v>2012</v>
      </c>
    </row>
    <row r="165" spans="1:21" ht="32.4" hidden="1" thickBot="1" x14ac:dyDescent="0.6">
      <c r="A165" s="10" t="s">
        <v>241</v>
      </c>
      <c r="B165" s="10" t="s">
        <v>247</v>
      </c>
      <c r="C165" s="12">
        <v>44987</v>
      </c>
      <c r="D165" s="10" t="s">
        <v>14</v>
      </c>
      <c r="E165" s="10" t="s">
        <v>14</v>
      </c>
      <c r="F165" s="10">
        <v>2729</v>
      </c>
      <c r="G165" s="10" t="s">
        <v>15</v>
      </c>
      <c r="H165" s="10" t="s">
        <v>17</v>
      </c>
      <c r="I165" s="10" t="s">
        <v>18</v>
      </c>
      <c r="J165" s="10" t="s">
        <v>19</v>
      </c>
      <c r="K165" s="10" t="s">
        <v>19</v>
      </c>
      <c r="L165" s="10" t="s">
        <v>19</v>
      </c>
      <c r="M165" s="12"/>
      <c r="N165" s="10" t="s">
        <v>20</v>
      </c>
      <c r="O165" s="10" t="s">
        <v>2054</v>
      </c>
      <c r="P165" s="25" t="str">
        <f>IFERROR(
IF(OR(O165="anulado",O165="stand by"),CONCATENATE(O165,": ",H165),
IF(OR(YEAR(M165)=2022,YEAR(M165)=2023),CONCATENATE("Se activó en ",YEAR(M165)),
IF(AND(OR(O165="En proceso",O165="facturando"),AND(J165="-",M165="")),"Por revisar",
IF(M165="",IF(J165="NUEVAS",CONCATENATE("Estado: ",O165,", ",J165),
IF(L165=Meses!$A$3,"Por revisar",
IF(H165="","Sin registro","En programación Frcst."))),"En programación")))),
"Error")</f>
        <v>Por revisar</v>
      </c>
      <c r="Q165" s="9" t="str">
        <f t="shared" si="6"/>
        <v>programación de act. NO, estado: Facturando, Comercializador: ENEL, Etapa: Instalado y Activado</v>
      </c>
      <c r="R165" s="25" t="str">
        <f>IF(P165="En programación Frcst.",VLOOKUP(L165,Meses!$A$1:$H$14,3+HLOOKUP(Cronograma!J165,Meses!$D$1:$G$2,2,FALSE),FALSE),
IF(P165="En programación",M165,""))</f>
        <v/>
      </c>
      <c r="S165" s="25" t="str">
        <f t="shared" si="8"/>
        <v/>
      </c>
      <c r="T165" s="21" t="str">
        <f>IFERROR(
(VLOOKUP(MONTH(R165),Meses!$B$3:$C$14,2,FALSE)-DAY(R165))/VLOOKUP(MONTH(R165),Meses!$B$3:$C$14,2,FALSE)*U165,
"")</f>
        <v/>
      </c>
      <c r="U165" s="22">
        <f t="shared" si="7"/>
        <v>2729</v>
      </c>
    </row>
    <row r="166" spans="1:21" ht="32.4" hidden="1" thickBot="1" x14ac:dyDescent="0.6">
      <c r="A166" s="10" t="s">
        <v>241</v>
      </c>
      <c r="B166" s="10" t="s">
        <v>248</v>
      </c>
      <c r="C166" s="12">
        <v>44987</v>
      </c>
      <c r="D166" s="10" t="s">
        <v>14</v>
      </c>
      <c r="E166" s="10" t="s">
        <v>14</v>
      </c>
      <c r="F166" s="10">
        <v>494</v>
      </c>
      <c r="G166" s="10" t="s">
        <v>15</v>
      </c>
      <c r="H166" s="10" t="s">
        <v>17</v>
      </c>
      <c r="I166" s="10" t="s">
        <v>18</v>
      </c>
      <c r="J166" s="10" t="s">
        <v>19</v>
      </c>
      <c r="K166" s="10" t="s">
        <v>19</v>
      </c>
      <c r="L166" s="10" t="s">
        <v>19</v>
      </c>
      <c r="M166" s="12"/>
      <c r="N166" s="10" t="s">
        <v>20</v>
      </c>
      <c r="O166" s="10" t="s">
        <v>2054</v>
      </c>
      <c r="P166" s="25" t="str">
        <f>IFERROR(
IF(OR(O166="anulado",O166="stand by"),CONCATENATE(O166,": ",H166),
IF(OR(YEAR(M166)=2022,YEAR(M166)=2023),CONCATENATE("Se activó en ",YEAR(M166)),
IF(AND(OR(O166="En proceso",O166="facturando"),AND(J166="-",M166="")),"Por revisar",
IF(M166="",IF(J166="NUEVAS",CONCATENATE("Estado: ",O166,", ",J166),
IF(L166=Meses!$A$3,"Por revisar",
IF(H166="","Sin registro","En programación Frcst."))),"En programación")))),
"Error")</f>
        <v>Por revisar</v>
      </c>
      <c r="Q166" s="9" t="str">
        <f t="shared" si="6"/>
        <v>programación de act. NO, estado: Facturando, Comercializador: ENEL, Etapa: Instalado y Activado</v>
      </c>
      <c r="R166" s="25" t="str">
        <f>IF(P166="En programación Frcst.",VLOOKUP(L166,Meses!$A$1:$H$14,3+HLOOKUP(Cronograma!J166,Meses!$D$1:$G$2,2,FALSE),FALSE),
IF(P166="En programación",M166,""))</f>
        <v/>
      </c>
      <c r="S166" s="25" t="str">
        <f t="shared" si="8"/>
        <v/>
      </c>
      <c r="T166" s="21" t="str">
        <f>IFERROR(
(VLOOKUP(MONTH(R166),Meses!$B$3:$C$14,2,FALSE)-DAY(R166))/VLOOKUP(MONTH(R166),Meses!$B$3:$C$14,2,FALSE)*U166,
"")</f>
        <v/>
      </c>
      <c r="U166" s="22">
        <f t="shared" si="7"/>
        <v>494</v>
      </c>
    </row>
    <row r="167" spans="1:21" ht="32.4" hidden="1" thickBot="1" x14ac:dyDescent="0.6">
      <c r="A167" s="10" t="s">
        <v>241</v>
      </c>
      <c r="B167" s="10" t="s">
        <v>249</v>
      </c>
      <c r="C167" s="12">
        <v>44987</v>
      </c>
      <c r="D167" s="10" t="s">
        <v>14</v>
      </c>
      <c r="E167" s="10" t="s">
        <v>14</v>
      </c>
      <c r="F167" s="10">
        <v>2139</v>
      </c>
      <c r="G167" s="10" t="s">
        <v>15</v>
      </c>
      <c r="H167" s="10" t="s">
        <v>17</v>
      </c>
      <c r="I167" s="10" t="s">
        <v>18</v>
      </c>
      <c r="J167" s="10" t="s">
        <v>19</v>
      </c>
      <c r="K167" s="10" t="s">
        <v>19</v>
      </c>
      <c r="L167" s="10" t="s">
        <v>19</v>
      </c>
      <c r="M167" s="12"/>
      <c r="N167" s="10" t="s">
        <v>20</v>
      </c>
      <c r="O167" s="10" t="s">
        <v>2054</v>
      </c>
      <c r="P167" s="25" t="str">
        <f>IFERROR(
IF(OR(O167="anulado",O167="stand by"),CONCATENATE(O167,": ",H167),
IF(OR(YEAR(M167)=2022,YEAR(M167)=2023),CONCATENATE("Se activó en ",YEAR(M167)),
IF(AND(OR(O167="En proceso",O167="facturando"),AND(J167="-",M167="")),"Por revisar",
IF(M167="",IF(J167="NUEVAS",CONCATENATE("Estado: ",O167,", ",J167),
IF(L167=Meses!$A$3,"Por revisar",
IF(H167="","Sin registro","En programación Frcst."))),"En programación")))),
"Error")</f>
        <v>Por revisar</v>
      </c>
      <c r="Q167" s="9" t="str">
        <f t="shared" si="6"/>
        <v>programación de act. NO, estado: Facturando, Comercializador: ENEL, Etapa: Instalado y Activado</v>
      </c>
      <c r="R167" s="25" t="str">
        <f>IF(P167="En programación Frcst.",VLOOKUP(L167,Meses!$A$1:$H$14,3+HLOOKUP(Cronograma!J167,Meses!$D$1:$G$2,2,FALSE),FALSE),
IF(P167="En programación",M167,""))</f>
        <v/>
      </c>
      <c r="S167" s="25" t="str">
        <f t="shared" si="8"/>
        <v/>
      </c>
      <c r="T167" s="21" t="str">
        <f>IFERROR(
(VLOOKUP(MONTH(R167),Meses!$B$3:$C$14,2,FALSE)-DAY(R167))/VLOOKUP(MONTH(R167),Meses!$B$3:$C$14,2,FALSE)*U167,
"")</f>
        <v/>
      </c>
      <c r="U167" s="22">
        <f t="shared" si="7"/>
        <v>2139</v>
      </c>
    </row>
    <row r="168" spans="1:21" ht="32.4" hidden="1" thickBot="1" x14ac:dyDescent="0.6">
      <c r="A168" s="10" t="s">
        <v>241</v>
      </c>
      <c r="B168" s="10" t="s">
        <v>250</v>
      </c>
      <c r="C168" s="12">
        <v>44987</v>
      </c>
      <c r="D168" s="10" t="s">
        <v>14</v>
      </c>
      <c r="E168" s="10" t="s">
        <v>14</v>
      </c>
      <c r="F168" s="10">
        <v>2389</v>
      </c>
      <c r="G168" s="10" t="s">
        <v>15</v>
      </c>
      <c r="H168" s="10" t="s">
        <v>17</v>
      </c>
      <c r="I168" s="10" t="s">
        <v>18</v>
      </c>
      <c r="J168" s="10" t="s">
        <v>19</v>
      </c>
      <c r="K168" s="10" t="s">
        <v>19</v>
      </c>
      <c r="L168" s="10" t="s">
        <v>19</v>
      </c>
      <c r="M168" s="12"/>
      <c r="N168" s="10" t="s">
        <v>20</v>
      </c>
      <c r="O168" s="10" t="s">
        <v>2054</v>
      </c>
      <c r="P168" s="25" t="str">
        <f>IFERROR(
IF(OR(O168="anulado",O168="stand by"),CONCATENATE(O168,": ",H168),
IF(OR(YEAR(M168)=2022,YEAR(M168)=2023),CONCATENATE("Se activó en ",YEAR(M168)),
IF(AND(OR(O168="En proceso",O168="facturando"),AND(J168="-",M168="")),"Por revisar",
IF(M168="",IF(J168="NUEVAS",CONCATENATE("Estado: ",O168,", ",J168),
IF(L168=Meses!$A$3,"Por revisar",
IF(H168="","Sin registro","En programación Frcst."))),"En programación")))),
"Error")</f>
        <v>Por revisar</v>
      </c>
      <c r="Q168" s="9" t="str">
        <f t="shared" si="6"/>
        <v>programación de act. NO, estado: Facturando, Comercializador: ENEL, Etapa: Instalado y Activado</v>
      </c>
      <c r="R168" s="25" t="str">
        <f>IF(P168="En programación Frcst.",VLOOKUP(L168,Meses!$A$1:$H$14,3+HLOOKUP(Cronograma!J168,Meses!$D$1:$G$2,2,FALSE),FALSE),
IF(P168="En programación",M168,""))</f>
        <v/>
      </c>
      <c r="S168" s="25" t="str">
        <f t="shared" si="8"/>
        <v/>
      </c>
      <c r="T168" s="21" t="str">
        <f>IFERROR(
(VLOOKUP(MONTH(R168),Meses!$B$3:$C$14,2,FALSE)-DAY(R168))/VLOOKUP(MONTH(R168),Meses!$B$3:$C$14,2,FALSE)*U168,
"")</f>
        <v/>
      </c>
      <c r="U168" s="22">
        <f t="shared" si="7"/>
        <v>2389</v>
      </c>
    </row>
    <row r="169" spans="1:21" ht="32.4" hidden="1" thickBot="1" x14ac:dyDescent="0.6">
      <c r="A169" s="10" t="s">
        <v>241</v>
      </c>
      <c r="B169" s="10" t="s">
        <v>251</v>
      </c>
      <c r="C169" s="12">
        <v>44987</v>
      </c>
      <c r="D169" s="10" t="s">
        <v>14</v>
      </c>
      <c r="E169" s="10" t="s">
        <v>14</v>
      </c>
      <c r="F169" s="10">
        <v>2875</v>
      </c>
      <c r="G169" s="10" t="s">
        <v>15</v>
      </c>
      <c r="H169" s="10" t="s">
        <v>17</v>
      </c>
      <c r="I169" s="10" t="s">
        <v>18</v>
      </c>
      <c r="J169" s="10" t="s">
        <v>19</v>
      </c>
      <c r="K169" s="10" t="s">
        <v>19</v>
      </c>
      <c r="L169" s="10" t="s">
        <v>19</v>
      </c>
      <c r="M169" s="12"/>
      <c r="N169" s="10" t="s">
        <v>20</v>
      </c>
      <c r="O169" s="10" t="s">
        <v>2054</v>
      </c>
      <c r="P169" s="25" t="str">
        <f>IFERROR(
IF(OR(O169="anulado",O169="stand by"),CONCATENATE(O169,": ",H169),
IF(OR(YEAR(M169)=2022,YEAR(M169)=2023),CONCATENATE("Se activó en ",YEAR(M169)),
IF(AND(OR(O169="En proceso",O169="facturando"),AND(J169="-",M169="")),"Por revisar",
IF(M169="",IF(J169="NUEVAS",CONCATENATE("Estado: ",O169,", ",J169),
IF(L169=Meses!$A$3,"Por revisar",
IF(H169="","Sin registro","En programación Frcst."))),"En programación")))),
"Error")</f>
        <v>Por revisar</v>
      </c>
      <c r="Q169" s="9" t="str">
        <f t="shared" si="6"/>
        <v>programación de act. NO, estado: Facturando, Comercializador: ENEL, Etapa: Instalado y Activado</v>
      </c>
      <c r="R169" s="25" t="str">
        <f>IF(P169="En programación Frcst.",VLOOKUP(L169,Meses!$A$1:$H$14,3+HLOOKUP(Cronograma!J169,Meses!$D$1:$G$2,2,FALSE),FALSE),
IF(P169="En programación",M169,""))</f>
        <v/>
      </c>
      <c r="S169" s="25" t="str">
        <f t="shared" si="8"/>
        <v/>
      </c>
      <c r="T169" s="21" t="str">
        <f>IFERROR(
(VLOOKUP(MONTH(R169),Meses!$B$3:$C$14,2,FALSE)-DAY(R169))/VLOOKUP(MONTH(R169),Meses!$B$3:$C$14,2,FALSE)*U169,
"")</f>
        <v/>
      </c>
      <c r="U169" s="22">
        <f t="shared" si="7"/>
        <v>2875</v>
      </c>
    </row>
    <row r="170" spans="1:21" ht="31.8" hidden="1" thickBot="1" x14ac:dyDescent="0.6">
      <c r="A170" s="10" t="s">
        <v>241</v>
      </c>
      <c r="B170" s="10" t="s">
        <v>2861</v>
      </c>
      <c r="C170" s="12"/>
      <c r="D170" s="10" t="s">
        <v>14</v>
      </c>
      <c r="E170" s="10" t="s">
        <v>14</v>
      </c>
      <c r="F170" s="10">
        <v>1843</v>
      </c>
      <c r="G170" s="10" t="s">
        <v>15</v>
      </c>
      <c r="H170" s="10" t="s">
        <v>140</v>
      </c>
      <c r="I170" s="10" t="s">
        <v>18</v>
      </c>
      <c r="J170" s="10" t="s">
        <v>19</v>
      </c>
      <c r="K170" s="10" t="s">
        <v>19</v>
      </c>
      <c r="L170" s="10" t="s">
        <v>19</v>
      </c>
      <c r="M170" s="12"/>
      <c r="N170" s="10" t="s">
        <v>20</v>
      </c>
      <c r="O170" s="10" t="s">
        <v>2056</v>
      </c>
      <c r="P170" s="25" t="str">
        <f>IFERROR(
IF(OR(O170="anulado",O170="stand by"),CONCATENATE(O170,": ",H170),
IF(OR(YEAR(M170)=2022,YEAR(M170)=2023),CONCATENATE("Se activó en ",YEAR(M170)),
IF(AND(OR(O170="En proceso",O170="facturando"),AND(J170="-",M170="")),"Por revisar",
IF(M170="",IF(J170="NUEVAS",CONCATENATE("Estado: ",O170,", ",J170),
IF(L170=Meses!$A$3,"Por revisar",
IF(H170="","Sin registro","En programación Frcst."))),"En programación")))),
"Error")</f>
        <v>anulado: Desistido</v>
      </c>
      <c r="Q170" s="9" t="str">
        <f t="shared" si="6"/>
        <v/>
      </c>
      <c r="R170" s="25" t="str">
        <f>IF(P170="En programación Frcst.",VLOOKUP(L170,Meses!$A$1:$H$14,3+HLOOKUP(Cronograma!J170,Meses!$D$1:$G$2,2,FALSE),FALSE),
IF(P170="En programación",M170,""))</f>
        <v/>
      </c>
      <c r="S170" s="25" t="str">
        <f t="shared" si="8"/>
        <v/>
      </c>
      <c r="T170" s="21" t="str">
        <f>IFERROR(
(VLOOKUP(MONTH(R170),Meses!$B$3:$C$14,2,FALSE)-DAY(R170))/VLOOKUP(MONTH(R170),Meses!$B$3:$C$14,2,FALSE)*U170,
"")</f>
        <v/>
      </c>
      <c r="U170" s="22">
        <f t="shared" si="7"/>
        <v>1843</v>
      </c>
    </row>
    <row r="171" spans="1:21" ht="32.4" hidden="1" thickBot="1" x14ac:dyDescent="0.6">
      <c r="A171" s="10" t="s">
        <v>241</v>
      </c>
      <c r="B171" s="10" t="s">
        <v>252</v>
      </c>
      <c r="C171" s="12">
        <v>44987</v>
      </c>
      <c r="D171" s="10" t="s">
        <v>14</v>
      </c>
      <c r="E171" s="10" t="s">
        <v>14</v>
      </c>
      <c r="F171" s="10">
        <v>2778</v>
      </c>
      <c r="G171" s="10" t="s">
        <v>15</v>
      </c>
      <c r="H171" s="10" t="s">
        <v>17</v>
      </c>
      <c r="I171" s="10" t="s">
        <v>18</v>
      </c>
      <c r="J171" s="10" t="s">
        <v>19</v>
      </c>
      <c r="K171" s="10" t="s">
        <v>19</v>
      </c>
      <c r="L171" s="10" t="s">
        <v>19</v>
      </c>
      <c r="M171" s="12"/>
      <c r="N171" s="10" t="s">
        <v>20</v>
      </c>
      <c r="O171" s="10" t="s">
        <v>2054</v>
      </c>
      <c r="P171" s="25" t="str">
        <f>IFERROR(
IF(OR(O171="anulado",O171="stand by"),CONCATENATE(O171,": ",H171),
IF(OR(YEAR(M171)=2022,YEAR(M171)=2023),CONCATENATE("Se activó en ",YEAR(M171)),
IF(AND(OR(O171="En proceso",O171="facturando"),AND(J171="-",M171="")),"Por revisar",
IF(M171="",IF(J171="NUEVAS",CONCATENATE("Estado: ",O171,", ",J171),
IF(L171=Meses!$A$3,"Por revisar",
IF(H171="","Sin registro","En programación Frcst."))),"En programación")))),
"Error")</f>
        <v>Por revisar</v>
      </c>
      <c r="Q171" s="9" t="str">
        <f t="shared" si="6"/>
        <v>programación de act. NO, estado: Facturando, Comercializador: ENEL, Etapa: Instalado y Activado</v>
      </c>
      <c r="R171" s="25" t="str">
        <f>IF(P171="En programación Frcst.",VLOOKUP(L171,Meses!$A$1:$H$14,3+HLOOKUP(Cronograma!J171,Meses!$D$1:$G$2,2,FALSE),FALSE),
IF(P171="En programación",M171,""))</f>
        <v/>
      </c>
      <c r="S171" s="25" t="str">
        <f t="shared" si="8"/>
        <v/>
      </c>
      <c r="T171" s="21" t="str">
        <f>IFERROR(
(VLOOKUP(MONTH(R171),Meses!$B$3:$C$14,2,FALSE)-DAY(R171))/VLOOKUP(MONTH(R171),Meses!$B$3:$C$14,2,FALSE)*U171,
"")</f>
        <v/>
      </c>
      <c r="U171" s="22">
        <f t="shared" si="7"/>
        <v>2778</v>
      </c>
    </row>
    <row r="172" spans="1:21" ht="32.4" hidden="1" thickBot="1" x14ac:dyDescent="0.6">
      <c r="A172" s="10" t="s">
        <v>241</v>
      </c>
      <c r="B172" s="10" t="s">
        <v>253</v>
      </c>
      <c r="C172" s="12">
        <v>44987</v>
      </c>
      <c r="D172" s="10" t="s">
        <v>14</v>
      </c>
      <c r="E172" s="10" t="s">
        <v>14</v>
      </c>
      <c r="F172" s="10">
        <v>2380</v>
      </c>
      <c r="G172" s="10" t="s">
        <v>15</v>
      </c>
      <c r="H172" s="10" t="s">
        <v>17</v>
      </c>
      <c r="I172" s="10" t="s">
        <v>18</v>
      </c>
      <c r="J172" s="10" t="s">
        <v>19</v>
      </c>
      <c r="K172" s="10" t="s">
        <v>19</v>
      </c>
      <c r="L172" s="10" t="s">
        <v>19</v>
      </c>
      <c r="M172" s="12"/>
      <c r="N172" s="10" t="s">
        <v>20</v>
      </c>
      <c r="O172" s="10" t="s">
        <v>2054</v>
      </c>
      <c r="P172" s="25" t="str">
        <f>IFERROR(
IF(OR(O172="anulado",O172="stand by"),CONCATENATE(O172,": ",H172),
IF(OR(YEAR(M172)=2022,YEAR(M172)=2023),CONCATENATE("Se activó en ",YEAR(M172)),
IF(AND(OR(O172="En proceso",O172="facturando"),AND(J172="-",M172="")),"Por revisar",
IF(M172="",IF(J172="NUEVAS",CONCATENATE("Estado: ",O172,", ",J172),
IF(L172=Meses!$A$3,"Por revisar",
IF(H172="","Sin registro","En programación Frcst."))),"En programación")))),
"Error")</f>
        <v>Por revisar</v>
      </c>
      <c r="Q172" s="9" t="str">
        <f t="shared" si="6"/>
        <v>programación de act. NO, estado: Facturando, Comercializador: ENEL, Etapa: Instalado y Activado</v>
      </c>
      <c r="R172" s="25" t="str">
        <f>IF(P172="En programación Frcst.",VLOOKUP(L172,Meses!$A$1:$H$14,3+HLOOKUP(Cronograma!J172,Meses!$D$1:$G$2,2,FALSE),FALSE),
IF(P172="En programación",M172,""))</f>
        <v/>
      </c>
      <c r="S172" s="25" t="str">
        <f t="shared" si="8"/>
        <v/>
      </c>
      <c r="T172" s="21" t="str">
        <f>IFERROR(
(VLOOKUP(MONTH(R172),Meses!$B$3:$C$14,2,FALSE)-DAY(R172))/VLOOKUP(MONTH(R172),Meses!$B$3:$C$14,2,FALSE)*U172,
"")</f>
        <v/>
      </c>
      <c r="U172" s="22">
        <f t="shared" si="7"/>
        <v>2380</v>
      </c>
    </row>
    <row r="173" spans="1:21" ht="32.4" hidden="1" thickBot="1" x14ac:dyDescent="0.6">
      <c r="A173" s="10" t="s">
        <v>241</v>
      </c>
      <c r="B173" s="10" t="s">
        <v>254</v>
      </c>
      <c r="C173" s="12">
        <v>44987</v>
      </c>
      <c r="D173" s="10" t="s">
        <v>14</v>
      </c>
      <c r="E173" s="10" t="s">
        <v>14</v>
      </c>
      <c r="F173" s="10">
        <v>3023</v>
      </c>
      <c r="G173" s="10" t="s">
        <v>15</v>
      </c>
      <c r="H173" s="10" t="s">
        <v>17</v>
      </c>
      <c r="I173" s="10" t="s">
        <v>18</v>
      </c>
      <c r="J173" s="10" t="s">
        <v>19</v>
      </c>
      <c r="K173" s="10" t="s">
        <v>19</v>
      </c>
      <c r="L173" s="10" t="s">
        <v>19</v>
      </c>
      <c r="M173" s="12"/>
      <c r="N173" s="10" t="s">
        <v>20</v>
      </c>
      <c r="O173" s="10" t="s">
        <v>2054</v>
      </c>
      <c r="P173" s="25" t="str">
        <f>IFERROR(
IF(OR(O173="anulado",O173="stand by"),CONCATENATE(O173,": ",H173),
IF(OR(YEAR(M173)=2022,YEAR(M173)=2023),CONCATENATE("Se activó en ",YEAR(M173)),
IF(AND(OR(O173="En proceso",O173="facturando"),AND(J173="-",M173="")),"Por revisar",
IF(M173="",IF(J173="NUEVAS",CONCATENATE("Estado: ",O173,", ",J173),
IF(L173=Meses!$A$3,"Por revisar",
IF(H173="","Sin registro","En programación Frcst."))),"En programación")))),
"Error")</f>
        <v>Por revisar</v>
      </c>
      <c r="Q173" s="9" t="str">
        <f t="shared" si="6"/>
        <v>programación de act. NO, estado: Facturando, Comercializador: ENEL, Etapa: Instalado y Activado</v>
      </c>
      <c r="R173" s="25" t="str">
        <f>IF(P173="En programación Frcst.",VLOOKUP(L173,Meses!$A$1:$H$14,3+HLOOKUP(Cronograma!J173,Meses!$D$1:$G$2,2,FALSE),FALSE),
IF(P173="En programación",M173,""))</f>
        <v/>
      </c>
      <c r="S173" s="25" t="str">
        <f t="shared" si="8"/>
        <v/>
      </c>
      <c r="T173" s="21" t="str">
        <f>IFERROR(
(VLOOKUP(MONTH(R173),Meses!$B$3:$C$14,2,FALSE)-DAY(R173))/VLOOKUP(MONTH(R173),Meses!$B$3:$C$14,2,FALSE)*U173,
"")</f>
        <v/>
      </c>
      <c r="U173" s="22">
        <f t="shared" si="7"/>
        <v>3023</v>
      </c>
    </row>
    <row r="174" spans="1:21" ht="32.4" hidden="1" thickBot="1" x14ac:dyDescent="0.6">
      <c r="A174" s="10" t="s">
        <v>241</v>
      </c>
      <c r="B174" s="10" t="s">
        <v>255</v>
      </c>
      <c r="C174" s="12">
        <v>44987</v>
      </c>
      <c r="D174" s="10" t="s">
        <v>14</v>
      </c>
      <c r="E174" s="10" t="s">
        <v>14</v>
      </c>
      <c r="F174" s="10">
        <v>2725</v>
      </c>
      <c r="G174" s="10" t="s">
        <v>15</v>
      </c>
      <c r="H174" s="10" t="s">
        <v>17</v>
      </c>
      <c r="I174" s="10" t="s">
        <v>18</v>
      </c>
      <c r="J174" s="10" t="s">
        <v>19</v>
      </c>
      <c r="K174" s="10" t="s">
        <v>19</v>
      </c>
      <c r="L174" s="10" t="s">
        <v>19</v>
      </c>
      <c r="M174" s="12"/>
      <c r="N174" s="10" t="s">
        <v>20</v>
      </c>
      <c r="O174" s="10" t="s">
        <v>2054</v>
      </c>
      <c r="P174" s="25" t="str">
        <f>IFERROR(
IF(OR(O174="anulado",O174="stand by"),CONCATENATE(O174,": ",H174),
IF(OR(YEAR(M174)=2022,YEAR(M174)=2023),CONCATENATE("Se activó en ",YEAR(M174)),
IF(AND(OR(O174="En proceso",O174="facturando"),AND(J174="-",M174="")),"Por revisar",
IF(M174="",IF(J174="NUEVAS",CONCATENATE("Estado: ",O174,", ",J174),
IF(L174=Meses!$A$3,"Por revisar",
IF(H174="","Sin registro","En programación Frcst."))),"En programación")))),
"Error")</f>
        <v>Por revisar</v>
      </c>
      <c r="Q174" s="9" t="str">
        <f t="shared" si="6"/>
        <v>programación de act. NO, estado: Facturando, Comercializador: ENEL, Etapa: Instalado y Activado</v>
      </c>
      <c r="R174" s="25" t="str">
        <f>IF(P174="En programación Frcst.",VLOOKUP(L174,Meses!$A$1:$H$14,3+HLOOKUP(Cronograma!J174,Meses!$D$1:$G$2,2,FALSE),FALSE),
IF(P174="En programación",M174,""))</f>
        <v/>
      </c>
      <c r="S174" s="25" t="str">
        <f t="shared" si="8"/>
        <v/>
      </c>
      <c r="T174" s="21" t="str">
        <f>IFERROR(
(VLOOKUP(MONTH(R174),Meses!$B$3:$C$14,2,FALSE)-DAY(R174))/VLOOKUP(MONTH(R174),Meses!$B$3:$C$14,2,FALSE)*U174,
"")</f>
        <v/>
      </c>
      <c r="U174" s="22">
        <f t="shared" si="7"/>
        <v>2725</v>
      </c>
    </row>
    <row r="175" spans="1:21" ht="32.4" hidden="1" thickBot="1" x14ac:dyDescent="0.6">
      <c r="A175" s="10" t="s">
        <v>241</v>
      </c>
      <c r="B175" s="10" t="s">
        <v>256</v>
      </c>
      <c r="C175" s="12">
        <v>44987</v>
      </c>
      <c r="D175" s="10" t="s">
        <v>14</v>
      </c>
      <c r="E175" s="10" t="s">
        <v>14</v>
      </c>
      <c r="F175" s="10">
        <v>2101</v>
      </c>
      <c r="G175" s="10" t="s">
        <v>15</v>
      </c>
      <c r="H175" s="10" t="s">
        <v>17</v>
      </c>
      <c r="I175" s="10" t="s">
        <v>18</v>
      </c>
      <c r="J175" s="10" t="s">
        <v>19</v>
      </c>
      <c r="K175" s="10" t="s">
        <v>19</v>
      </c>
      <c r="L175" s="10" t="s">
        <v>19</v>
      </c>
      <c r="M175" s="12"/>
      <c r="N175" s="10" t="s">
        <v>20</v>
      </c>
      <c r="O175" s="10" t="s">
        <v>2054</v>
      </c>
      <c r="P175" s="25" t="str">
        <f>IFERROR(
IF(OR(O175="anulado",O175="stand by"),CONCATENATE(O175,": ",H175),
IF(OR(YEAR(M175)=2022,YEAR(M175)=2023),CONCATENATE("Se activó en ",YEAR(M175)),
IF(AND(OR(O175="En proceso",O175="facturando"),AND(J175="-",M175="")),"Por revisar",
IF(M175="",IF(J175="NUEVAS",CONCATENATE("Estado: ",O175,", ",J175),
IF(L175=Meses!$A$3,"Por revisar",
IF(H175="","Sin registro","En programación Frcst."))),"En programación")))),
"Error")</f>
        <v>Por revisar</v>
      </c>
      <c r="Q175" s="9" t="str">
        <f t="shared" si="6"/>
        <v>programación de act. NO, estado: Facturando, Comercializador: ENEL, Etapa: Instalado y Activado</v>
      </c>
      <c r="R175" s="25" t="str">
        <f>IF(P175="En programación Frcst.",VLOOKUP(L175,Meses!$A$1:$H$14,3+HLOOKUP(Cronograma!J175,Meses!$D$1:$G$2,2,FALSE),FALSE),
IF(P175="En programación",M175,""))</f>
        <v/>
      </c>
      <c r="S175" s="25" t="str">
        <f t="shared" si="8"/>
        <v/>
      </c>
      <c r="T175" s="21" t="str">
        <f>IFERROR(
(VLOOKUP(MONTH(R175),Meses!$B$3:$C$14,2,FALSE)-DAY(R175))/VLOOKUP(MONTH(R175),Meses!$B$3:$C$14,2,FALSE)*U175,
"")</f>
        <v/>
      </c>
      <c r="U175" s="22">
        <f t="shared" si="7"/>
        <v>2101</v>
      </c>
    </row>
    <row r="176" spans="1:21" ht="32.4" hidden="1" thickBot="1" x14ac:dyDescent="0.6">
      <c r="A176" s="10" t="s">
        <v>241</v>
      </c>
      <c r="B176" s="10" t="s">
        <v>257</v>
      </c>
      <c r="C176" s="12">
        <v>44987</v>
      </c>
      <c r="D176" s="10" t="s">
        <v>14</v>
      </c>
      <c r="E176" s="10" t="s">
        <v>14</v>
      </c>
      <c r="F176" s="10">
        <v>3391</v>
      </c>
      <c r="G176" s="10" t="s">
        <v>15</v>
      </c>
      <c r="H176" s="10" t="s">
        <v>17</v>
      </c>
      <c r="I176" s="10" t="s">
        <v>18</v>
      </c>
      <c r="J176" s="10" t="s">
        <v>19</v>
      </c>
      <c r="K176" s="10" t="s">
        <v>19</v>
      </c>
      <c r="L176" s="10" t="s">
        <v>19</v>
      </c>
      <c r="M176" s="12"/>
      <c r="N176" s="10" t="s">
        <v>20</v>
      </c>
      <c r="O176" s="10" t="s">
        <v>2054</v>
      </c>
      <c r="P176" s="25" t="str">
        <f>IFERROR(
IF(OR(O176="anulado",O176="stand by"),CONCATENATE(O176,": ",H176),
IF(OR(YEAR(M176)=2022,YEAR(M176)=2023),CONCATENATE("Se activó en ",YEAR(M176)),
IF(AND(OR(O176="En proceso",O176="facturando"),AND(J176="-",M176="")),"Por revisar",
IF(M176="",IF(J176="NUEVAS",CONCATENATE("Estado: ",O176,", ",J176),
IF(L176=Meses!$A$3,"Por revisar",
IF(H176="","Sin registro","En programación Frcst."))),"En programación")))),
"Error")</f>
        <v>Por revisar</v>
      </c>
      <c r="Q176" s="9" t="str">
        <f t="shared" si="6"/>
        <v>programación de act. NO, estado: Facturando, Comercializador: ENEL, Etapa: Instalado y Activado</v>
      </c>
      <c r="R176" s="25" t="str">
        <f>IF(P176="En programación Frcst.",VLOOKUP(L176,Meses!$A$1:$H$14,3+HLOOKUP(Cronograma!J176,Meses!$D$1:$G$2,2,FALSE),FALSE),
IF(P176="En programación",M176,""))</f>
        <v/>
      </c>
      <c r="S176" s="25" t="str">
        <f t="shared" si="8"/>
        <v/>
      </c>
      <c r="T176" s="21" t="str">
        <f>IFERROR(
(VLOOKUP(MONTH(R176),Meses!$B$3:$C$14,2,FALSE)-DAY(R176))/VLOOKUP(MONTH(R176),Meses!$B$3:$C$14,2,FALSE)*U176,
"")</f>
        <v/>
      </c>
      <c r="U176" s="22">
        <f t="shared" si="7"/>
        <v>3391</v>
      </c>
    </row>
    <row r="177" spans="1:21" ht="32.4" hidden="1" thickBot="1" x14ac:dyDescent="0.6">
      <c r="A177" s="10" t="s">
        <v>241</v>
      </c>
      <c r="B177" s="10" t="s">
        <v>258</v>
      </c>
      <c r="C177" s="12">
        <v>44987</v>
      </c>
      <c r="D177" s="10" t="s">
        <v>14</v>
      </c>
      <c r="E177" s="10" t="s">
        <v>14</v>
      </c>
      <c r="F177" s="10">
        <v>2548</v>
      </c>
      <c r="G177" s="10" t="s">
        <v>15</v>
      </c>
      <c r="H177" s="10" t="s">
        <v>17</v>
      </c>
      <c r="I177" s="10" t="s">
        <v>18</v>
      </c>
      <c r="J177" s="10" t="s">
        <v>19</v>
      </c>
      <c r="K177" s="10" t="s">
        <v>19</v>
      </c>
      <c r="L177" s="10" t="s">
        <v>19</v>
      </c>
      <c r="M177" s="12"/>
      <c r="N177" s="10" t="s">
        <v>20</v>
      </c>
      <c r="O177" s="10" t="s">
        <v>2054</v>
      </c>
      <c r="P177" s="25" t="str">
        <f>IFERROR(
IF(OR(O177="anulado",O177="stand by"),CONCATENATE(O177,": ",H177),
IF(OR(YEAR(M177)=2022,YEAR(M177)=2023),CONCATENATE("Se activó en ",YEAR(M177)),
IF(AND(OR(O177="En proceso",O177="facturando"),AND(J177="-",M177="")),"Por revisar",
IF(M177="",IF(J177="NUEVAS",CONCATENATE("Estado: ",O177,", ",J177),
IF(L177=Meses!$A$3,"Por revisar",
IF(H177="","Sin registro","En programación Frcst."))),"En programación")))),
"Error")</f>
        <v>Por revisar</v>
      </c>
      <c r="Q177" s="9" t="str">
        <f t="shared" si="6"/>
        <v>programación de act. NO, estado: Facturando, Comercializador: ENEL, Etapa: Instalado y Activado</v>
      </c>
      <c r="R177" s="25" t="str">
        <f>IF(P177="En programación Frcst.",VLOOKUP(L177,Meses!$A$1:$H$14,3+HLOOKUP(Cronograma!J177,Meses!$D$1:$G$2,2,FALSE),FALSE),
IF(P177="En programación",M177,""))</f>
        <v/>
      </c>
      <c r="S177" s="25" t="str">
        <f t="shared" si="8"/>
        <v/>
      </c>
      <c r="T177" s="21" t="str">
        <f>IFERROR(
(VLOOKUP(MONTH(R177),Meses!$B$3:$C$14,2,FALSE)-DAY(R177))/VLOOKUP(MONTH(R177),Meses!$B$3:$C$14,2,FALSE)*U177,
"")</f>
        <v/>
      </c>
      <c r="U177" s="22">
        <f t="shared" si="7"/>
        <v>2548</v>
      </c>
    </row>
    <row r="178" spans="1:21" ht="32.4" hidden="1" thickBot="1" x14ac:dyDescent="0.6">
      <c r="A178" s="10" t="s">
        <v>241</v>
      </c>
      <c r="B178" s="10" t="s">
        <v>259</v>
      </c>
      <c r="C178" s="12">
        <v>44987</v>
      </c>
      <c r="D178" s="10" t="s">
        <v>14</v>
      </c>
      <c r="E178" s="10" t="s">
        <v>14</v>
      </c>
      <c r="F178" s="10">
        <v>1500</v>
      </c>
      <c r="G178" s="10" t="s">
        <v>15</v>
      </c>
      <c r="H178" s="10" t="s">
        <v>17</v>
      </c>
      <c r="I178" s="10" t="s">
        <v>18</v>
      </c>
      <c r="J178" s="10" t="s">
        <v>19</v>
      </c>
      <c r="K178" s="10" t="s">
        <v>19</v>
      </c>
      <c r="L178" s="10" t="s">
        <v>19</v>
      </c>
      <c r="M178" s="12"/>
      <c r="N178" s="10" t="s">
        <v>20</v>
      </c>
      <c r="O178" s="10" t="s">
        <v>2054</v>
      </c>
      <c r="P178" s="25" t="str">
        <f>IFERROR(
IF(OR(O178="anulado",O178="stand by"),CONCATENATE(O178,": ",H178),
IF(OR(YEAR(M178)=2022,YEAR(M178)=2023),CONCATENATE("Se activó en ",YEAR(M178)),
IF(AND(OR(O178="En proceso",O178="facturando"),AND(J178="-",M178="")),"Por revisar",
IF(M178="",IF(J178="NUEVAS",CONCATENATE("Estado: ",O178,", ",J178),
IF(L178=Meses!$A$3,"Por revisar",
IF(H178="","Sin registro","En programación Frcst."))),"En programación")))),
"Error")</f>
        <v>Por revisar</v>
      </c>
      <c r="Q178" s="9" t="str">
        <f t="shared" si="6"/>
        <v>programación de act. NO, estado: Facturando, Comercializador: ENEL, Etapa: Instalado y Activado</v>
      </c>
      <c r="R178" s="25" t="str">
        <f>IF(P178="En programación Frcst.",VLOOKUP(L178,Meses!$A$1:$H$14,3+HLOOKUP(Cronograma!J178,Meses!$D$1:$G$2,2,FALSE),FALSE),
IF(P178="En programación",M178,""))</f>
        <v/>
      </c>
      <c r="S178" s="25" t="str">
        <f t="shared" si="8"/>
        <v/>
      </c>
      <c r="T178" s="21" t="str">
        <f>IFERROR(
(VLOOKUP(MONTH(R178),Meses!$B$3:$C$14,2,FALSE)-DAY(R178))/VLOOKUP(MONTH(R178),Meses!$B$3:$C$14,2,FALSE)*U178,
"")</f>
        <v/>
      </c>
      <c r="U178" s="22">
        <f t="shared" si="7"/>
        <v>1500</v>
      </c>
    </row>
    <row r="179" spans="1:21" ht="32.4" hidden="1" thickBot="1" x14ac:dyDescent="0.6">
      <c r="A179" s="10" t="s">
        <v>260</v>
      </c>
      <c r="B179" s="10" t="s">
        <v>261</v>
      </c>
      <c r="C179" s="12">
        <v>45036</v>
      </c>
      <c r="D179" s="10" t="s">
        <v>44</v>
      </c>
      <c r="E179" s="10" t="s">
        <v>44</v>
      </c>
      <c r="F179" s="10">
        <v>1385</v>
      </c>
      <c r="G179" s="10" t="s">
        <v>15</v>
      </c>
      <c r="H179" s="10" t="s">
        <v>17</v>
      </c>
      <c r="I179" s="10" t="s">
        <v>43</v>
      </c>
      <c r="J179" s="10" t="s">
        <v>19</v>
      </c>
      <c r="K179" s="10" t="s">
        <v>19</v>
      </c>
      <c r="L179" s="10" t="s">
        <v>19</v>
      </c>
      <c r="M179" s="12"/>
      <c r="N179" s="10" t="s">
        <v>20</v>
      </c>
      <c r="O179" s="10" t="s">
        <v>2054</v>
      </c>
      <c r="P179" s="25" t="str">
        <f>IFERROR(
IF(OR(O179="anulado",O179="stand by"),CONCATENATE(O179,": ",H179),
IF(OR(YEAR(M179)=2022,YEAR(M179)=2023),CONCATENATE("Se activó en ",YEAR(M179)),
IF(AND(OR(O179="En proceso",O179="facturando"),AND(J179="-",M179="")),"Por revisar",
IF(M179="",IF(J179="NUEVAS",CONCATENATE("Estado: ",O179,", ",J179),
IF(L179=Meses!$A$3,"Por revisar",
IF(H179="","Sin registro","En programación Frcst."))),"En programación")))),
"Error")</f>
        <v>Por revisar</v>
      </c>
      <c r="Q179" s="9" t="str">
        <f t="shared" si="6"/>
        <v>programación de act. NO, estado: Facturando, Comercializador: AFINIA, Etapa: Instalado y Activado</v>
      </c>
      <c r="R179" s="25" t="str">
        <f>IF(P179="En programación Frcst.",VLOOKUP(L179,Meses!$A$1:$H$14,3+HLOOKUP(Cronograma!J179,Meses!$D$1:$G$2,2,FALSE),FALSE),
IF(P179="En programación",M179,""))</f>
        <v/>
      </c>
      <c r="S179" s="25" t="str">
        <f t="shared" si="8"/>
        <v/>
      </c>
      <c r="T179" s="21" t="str">
        <f>IFERROR(
(VLOOKUP(MONTH(R179),Meses!$B$3:$C$14,2,FALSE)-DAY(R179))/VLOOKUP(MONTH(R179),Meses!$B$3:$C$14,2,FALSE)*U179,
"")</f>
        <v/>
      </c>
      <c r="U179" s="22">
        <f t="shared" si="7"/>
        <v>1385</v>
      </c>
    </row>
    <row r="180" spans="1:21" ht="32.4" hidden="1" thickBot="1" x14ac:dyDescent="0.6">
      <c r="A180" s="10" t="s">
        <v>262</v>
      </c>
      <c r="B180" s="10" t="s">
        <v>263</v>
      </c>
      <c r="C180" s="12">
        <v>45036</v>
      </c>
      <c r="D180" s="10" t="s">
        <v>156</v>
      </c>
      <c r="E180" s="10" t="s">
        <v>156</v>
      </c>
      <c r="F180" s="10">
        <v>2933</v>
      </c>
      <c r="G180" s="10" t="s">
        <v>15</v>
      </c>
      <c r="H180" s="10" t="s">
        <v>17</v>
      </c>
      <c r="I180" s="10" t="s">
        <v>43</v>
      </c>
      <c r="J180" s="10" t="s">
        <v>19</v>
      </c>
      <c r="K180" s="10" t="s">
        <v>19</v>
      </c>
      <c r="L180" s="10" t="s">
        <v>19</v>
      </c>
      <c r="M180" s="12"/>
      <c r="N180" s="10" t="s">
        <v>20</v>
      </c>
      <c r="O180" s="10" t="s">
        <v>2054</v>
      </c>
      <c r="P180" s="25" t="str">
        <f>IFERROR(
IF(OR(O180="anulado",O180="stand by"),CONCATENATE(O180,": ",H180),
IF(OR(YEAR(M180)=2022,YEAR(M180)=2023),CONCATENATE("Se activó en ",YEAR(M180)),
IF(AND(OR(O180="En proceso",O180="facturando"),AND(J180="-",M180="")),"Por revisar",
IF(M180="",IF(J180="NUEVAS",CONCATENATE("Estado: ",O180,", ",J180),
IF(L180=Meses!$A$3,"Por revisar",
IF(H180="","Sin registro","En programación Frcst."))),"En programación")))),
"Error")</f>
        <v>Por revisar</v>
      </c>
      <c r="Q180" s="9" t="str">
        <f t="shared" si="6"/>
        <v>programación de act. NO, estado: Facturando, Comercializador: ESSA, Etapa: Instalado y Activado</v>
      </c>
      <c r="R180" s="25" t="str">
        <f>IF(P180="En programación Frcst.",VLOOKUP(L180,Meses!$A$1:$H$14,3+HLOOKUP(Cronograma!J180,Meses!$D$1:$G$2,2,FALSE),FALSE),
IF(P180="En programación",M180,""))</f>
        <v/>
      </c>
      <c r="S180" s="25" t="str">
        <f t="shared" si="8"/>
        <v/>
      </c>
      <c r="T180" s="21" t="str">
        <f>IFERROR(
(VLOOKUP(MONTH(R180),Meses!$B$3:$C$14,2,FALSE)-DAY(R180))/VLOOKUP(MONTH(R180),Meses!$B$3:$C$14,2,FALSE)*U180,
"")</f>
        <v/>
      </c>
      <c r="U180" s="22">
        <f t="shared" si="7"/>
        <v>2933</v>
      </c>
    </row>
    <row r="181" spans="1:21" ht="32.4" hidden="1" thickBot="1" x14ac:dyDescent="0.6">
      <c r="A181" s="10" t="s">
        <v>208</v>
      </c>
      <c r="B181" s="10" t="s">
        <v>2436</v>
      </c>
      <c r="C181" s="12">
        <v>44980</v>
      </c>
      <c r="D181" s="10" t="s">
        <v>65</v>
      </c>
      <c r="E181" s="10" t="s">
        <v>14</v>
      </c>
      <c r="F181" s="10"/>
      <c r="G181" s="10" t="s">
        <v>61</v>
      </c>
      <c r="H181" s="10" t="s">
        <v>17</v>
      </c>
      <c r="I181" s="10" t="s">
        <v>66</v>
      </c>
      <c r="J181" s="10" t="s">
        <v>19</v>
      </c>
      <c r="K181" s="10" t="s">
        <v>19</v>
      </c>
      <c r="L181" s="10" t="s">
        <v>19</v>
      </c>
      <c r="M181" s="12"/>
      <c r="N181" s="10" t="s">
        <v>20</v>
      </c>
      <c r="O181" s="10" t="s">
        <v>2054</v>
      </c>
      <c r="P181" s="25" t="str">
        <f>IFERROR(
IF(OR(O181="anulado",O181="stand by"),CONCATENATE(O181,": ",H181),
IF(OR(YEAR(M181)=2022,YEAR(M181)=2023),CONCATENATE("Se activó en ",YEAR(M181)),
IF(AND(OR(O181="En proceso",O181="facturando"),AND(J181="-",M181="")),"Por revisar",
IF(M181="",IF(J181="NUEVAS",CONCATENATE("Estado: ",O181,", ",J181),
IF(L181=Meses!$A$3,"Por revisar",
IF(H181="","Sin registro","En programación Frcst."))),"En programación")))),
"Error")</f>
        <v>Por revisar</v>
      </c>
      <c r="Q181" s="9" t="str">
        <f t="shared" si="6"/>
        <v>programación de act. NO, estado: Facturando, Comercializador: NEU, Etapa: Instalado y Activado</v>
      </c>
      <c r="R181" s="25" t="str">
        <f>IF(P181="En programación Frcst.",VLOOKUP(L181,Meses!$A$1:$H$14,3+HLOOKUP(Cronograma!J181,Meses!$D$1:$G$2,2,FALSE),FALSE),
IF(P181="En programación",M181,""))</f>
        <v/>
      </c>
      <c r="S181" s="25" t="str">
        <f t="shared" si="8"/>
        <v/>
      </c>
      <c r="T181" s="21" t="str">
        <f>IFERROR(
(VLOOKUP(MONTH(R181),Meses!$B$3:$C$14,2,FALSE)-DAY(R181))/VLOOKUP(MONTH(R181),Meses!$B$3:$C$14,2,FALSE)*U181,
"")</f>
        <v/>
      </c>
      <c r="U181" s="22">
        <f t="shared" si="7"/>
        <v>0</v>
      </c>
    </row>
    <row r="182" spans="1:21" ht="32.4" hidden="1" thickBot="1" x14ac:dyDescent="0.6">
      <c r="A182" s="10" t="s">
        <v>264</v>
      </c>
      <c r="B182" s="10" t="s">
        <v>265</v>
      </c>
      <c r="C182" s="12">
        <v>45064</v>
      </c>
      <c r="D182" s="10" t="s">
        <v>14</v>
      </c>
      <c r="E182" s="10" t="s">
        <v>14</v>
      </c>
      <c r="F182" s="10">
        <v>19543</v>
      </c>
      <c r="G182" s="10" t="s">
        <v>15</v>
      </c>
      <c r="H182" s="10" t="s">
        <v>17</v>
      </c>
      <c r="I182" s="10" t="s">
        <v>18</v>
      </c>
      <c r="J182" s="10" t="s">
        <v>19</v>
      </c>
      <c r="K182" s="10" t="s">
        <v>19</v>
      </c>
      <c r="L182" s="10" t="s">
        <v>19</v>
      </c>
      <c r="M182" s="12"/>
      <c r="N182" s="10" t="s">
        <v>20</v>
      </c>
      <c r="O182" s="10" t="s">
        <v>2054</v>
      </c>
      <c r="P182" s="25" t="str">
        <f>IFERROR(
IF(OR(O182="anulado",O182="stand by"),CONCATENATE(O182,": ",H182),
IF(OR(YEAR(M182)=2022,YEAR(M182)=2023),CONCATENATE("Se activó en ",YEAR(M182)),
IF(AND(OR(O182="En proceso",O182="facturando"),AND(J182="-",M182="")),"Por revisar",
IF(M182="",IF(J182="NUEVAS",CONCATENATE("Estado: ",O182,", ",J182),
IF(L182=Meses!$A$3,"Por revisar",
IF(H182="","Sin registro","En programación Frcst."))),"En programación")))),
"Error")</f>
        <v>Por revisar</v>
      </c>
      <c r="Q182" s="9" t="str">
        <f t="shared" si="6"/>
        <v>programación de act. NO, estado: Facturando, Comercializador: ENEL, Etapa: Instalado y Activado</v>
      </c>
      <c r="R182" s="25" t="str">
        <f>IF(P182="En programación Frcst.",VLOOKUP(L182,Meses!$A$1:$H$14,3+HLOOKUP(Cronograma!J182,Meses!$D$1:$G$2,2,FALSE),FALSE),
IF(P182="En programación",M182,""))</f>
        <v/>
      </c>
      <c r="S182" s="25" t="str">
        <f t="shared" si="8"/>
        <v/>
      </c>
      <c r="T182" s="21" t="str">
        <f>IFERROR(
(VLOOKUP(MONTH(R182),Meses!$B$3:$C$14,2,FALSE)-DAY(R182))/VLOOKUP(MONTH(R182),Meses!$B$3:$C$14,2,FALSE)*U182,
"")</f>
        <v/>
      </c>
      <c r="U182" s="22">
        <f t="shared" si="7"/>
        <v>19543</v>
      </c>
    </row>
    <row r="183" spans="1:21" ht="32.4" hidden="1" thickBot="1" x14ac:dyDescent="0.6">
      <c r="A183" s="10" t="s">
        <v>266</v>
      </c>
      <c r="B183" s="10" t="s">
        <v>267</v>
      </c>
      <c r="C183" s="12">
        <v>45064</v>
      </c>
      <c r="D183" s="10" t="s">
        <v>14</v>
      </c>
      <c r="E183" s="10" t="s">
        <v>14</v>
      </c>
      <c r="F183" s="10">
        <v>41623</v>
      </c>
      <c r="G183" s="10" t="s">
        <v>15</v>
      </c>
      <c r="H183" s="10" t="s">
        <v>17</v>
      </c>
      <c r="I183" s="10" t="s">
        <v>18</v>
      </c>
      <c r="J183" s="10" t="s">
        <v>19</v>
      </c>
      <c r="K183" s="10" t="s">
        <v>19</v>
      </c>
      <c r="L183" s="10" t="s">
        <v>19</v>
      </c>
      <c r="M183" s="12"/>
      <c r="N183" s="10" t="s">
        <v>20</v>
      </c>
      <c r="O183" s="10" t="s">
        <v>2054</v>
      </c>
      <c r="P183" s="25" t="str">
        <f>IFERROR(
IF(OR(O183="anulado",O183="stand by"),CONCATENATE(O183,": ",H183),
IF(OR(YEAR(M183)=2022,YEAR(M183)=2023),CONCATENATE("Se activó en ",YEAR(M183)),
IF(AND(OR(O183="En proceso",O183="facturando"),AND(J183="-",M183="")),"Por revisar",
IF(M183="",IF(J183="NUEVAS",CONCATENATE("Estado: ",O183,", ",J183),
IF(L183=Meses!$A$3,"Por revisar",
IF(H183="","Sin registro","En programación Frcst."))),"En programación")))),
"Error")</f>
        <v>Por revisar</v>
      </c>
      <c r="Q183" s="9" t="str">
        <f t="shared" si="6"/>
        <v>programación de act. NO, estado: Facturando, Comercializador: ENEL, Etapa: Instalado y Activado</v>
      </c>
      <c r="R183" s="25" t="str">
        <f>IF(P183="En programación Frcst.",VLOOKUP(L183,Meses!$A$1:$H$14,3+HLOOKUP(Cronograma!J183,Meses!$D$1:$G$2,2,FALSE),FALSE),
IF(P183="En programación",M183,""))</f>
        <v/>
      </c>
      <c r="S183" s="25" t="str">
        <f t="shared" si="8"/>
        <v/>
      </c>
      <c r="T183" s="21" t="str">
        <f>IFERROR(
(VLOOKUP(MONTH(R183),Meses!$B$3:$C$14,2,FALSE)-DAY(R183))/VLOOKUP(MONTH(R183),Meses!$B$3:$C$14,2,FALSE)*U183,
"")</f>
        <v/>
      </c>
      <c r="U183" s="22">
        <f t="shared" si="7"/>
        <v>41623</v>
      </c>
    </row>
    <row r="184" spans="1:21" ht="31.8" hidden="1" thickBot="1" x14ac:dyDescent="0.6">
      <c r="A184" s="10" t="s">
        <v>225</v>
      </c>
      <c r="B184" s="10" t="s">
        <v>268</v>
      </c>
      <c r="C184" s="12"/>
      <c r="D184" s="10" t="s">
        <v>23</v>
      </c>
      <c r="E184" s="10" t="s">
        <v>23</v>
      </c>
      <c r="F184" s="10">
        <v>6123</v>
      </c>
      <c r="G184" s="10" t="s">
        <v>15</v>
      </c>
      <c r="H184" s="10" t="s">
        <v>140</v>
      </c>
      <c r="I184" s="10" t="s">
        <v>43</v>
      </c>
      <c r="J184" s="10" t="s">
        <v>19</v>
      </c>
      <c r="K184" s="10" t="s">
        <v>19</v>
      </c>
      <c r="L184" s="10" t="s">
        <v>19</v>
      </c>
      <c r="M184" s="12"/>
      <c r="N184" s="10" t="s">
        <v>20</v>
      </c>
      <c r="O184" s="10" t="s">
        <v>2056</v>
      </c>
      <c r="P184" s="25" t="str">
        <f>IFERROR(
IF(OR(O184="anulado",O184="stand by"),CONCATENATE(O184,": ",H184),
IF(OR(YEAR(M184)=2022,YEAR(M184)=2023),CONCATENATE("Se activó en ",YEAR(M184)),
IF(AND(OR(O184="En proceso",O184="facturando"),AND(J184="-",M184="")),"Por revisar",
IF(M184="",IF(J184="NUEVAS",CONCATENATE("Estado: ",O184,", ",J184),
IF(L184=Meses!$A$3,"Por revisar",
IF(H184="","Sin registro","En programación Frcst."))),"En programación")))),
"Error")</f>
        <v>anulado: Desistido</v>
      </c>
      <c r="Q184" s="9" t="str">
        <f t="shared" si="6"/>
        <v/>
      </c>
      <c r="R184" s="25" t="str">
        <f>IF(P184="En programación Frcst.",VLOOKUP(L184,Meses!$A$1:$H$14,3+HLOOKUP(Cronograma!J184,Meses!$D$1:$G$2,2,FALSE),FALSE),
IF(P184="En programación",M184,""))</f>
        <v/>
      </c>
      <c r="S184" s="25" t="str">
        <f t="shared" si="8"/>
        <v/>
      </c>
      <c r="T184" s="21" t="str">
        <f>IFERROR(
(VLOOKUP(MONTH(R184),Meses!$B$3:$C$14,2,FALSE)-DAY(R184))/VLOOKUP(MONTH(R184),Meses!$B$3:$C$14,2,FALSE)*U184,
"")</f>
        <v/>
      </c>
      <c r="U184" s="22">
        <f t="shared" si="7"/>
        <v>6123</v>
      </c>
    </row>
    <row r="185" spans="1:21" ht="31.8" hidden="1" thickBot="1" x14ac:dyDescent="0.6">
      <c r="A185" s="10" t="s">
        <v>225</v>
      </c>
      <c r="B185" s="10" t="s">
        <v>269</v>
      </c>
      <c r="C185" s="12"/>
      <c r="D185" s="10" t="s">
        <v>23</v>
      </c>
      <c r="E185" s="10" t="s">
        <v>23</v>
      </c>
      <c r="F185" s="10">
        <v>10270</v>
      </c>
      <c r="G185" s="10" t="s">
        <v>15</v>
      </c>
      <c r="H185" s="10" t="s">
        <v>140</v>
      </c>
      <c r="I185" s="10" t="s">
        <v>43</v>
      </c>
      <c r="J185" s="10" t="s">
        <v>19</v>
      </c>
      <c r="K185" s="10" t="s">
        <v>19</v>
      </c>
      <c r="L185" s="10" t="s">
        <v>19</v>
      </c>
      <c r="M185" s="12"/>
      <c r="N185" s="10" t="s">
        <v>20</v>
      </c>
      <c r="O185" s="10" t="s">
        <v>2056</v>
      </c>
      <c r="P185" s="25" t="str">
        <f>IFERROR(
IF(OR(O185="anulado",O185="stand by"),CONCATENATE(O185,": ",H185),
IF(OR(YEAR(M185)=2022,YEAR(M185)=2023),CONCATENATE("Se activó en ",YEAR(M185)),
IF(AND(OR(O185="En proceso",O185="facturando"),AND(J185="-",M185="")),"Por revisar",
IF(M185="",IF(J185="NUEVAS",CONCATENATE("Estado: ",O185,", ",J185),
IF(L185=Meses!$A$3,"Por revisar",
IF(H185="","Sin registro","En programación Frcst."))),"En programación")))),
"Error")</f>
        <v>anulado: Desistido</v>
      </c>
      <c r="Q185" s="9" t="str">
        <f t="shared" si="6"/>
        <v/>
      </c>
      <c r="R185" s="25" t="str">
        <f>IF(P185="En programación Frcst.",VLOOKUP(L185,Meses!$A$1:$H$14,3+HLOOKUP(Cronograma!J185,Meses!$D$1:$G$2,2,FALSE),FALSE),
IF(P185="En programación",M185,""))</f>
        <v/>
      </c>
      <c r="S185" s="25" t="str">
        <f t="shared" si="8"/>
        <v/>
      </c>
      <c r="T185" s="21" t="str">
        <f>IFERROR(
(VLOOKUP(MONTH(R185),Meses!$B$3:$C$14,2,FALSE)-DAY(R185))/VLOOKUP(MONTH(R185),Meses!$B$3:$C$14,2,FALSE)*U185,
"")</f>
        <v/>
      </c>
      <c r="U185" s="22">
        <f t="shared" si="7"/>
        <v>10270</v>
      </c>
    </row>
    <row r="186" spans="1:21" ht="47.4" hidden="1" thickBot="1" x14ac:dyDescent="0.6">
      <c r="A186" s="10" t="s">
        <v>270</v>
      </c>
      <c r="B186" s="10" t="s">
        <v>271</v>
      </c>
      <c r="C186" s="12">
        <v>45001</v>
      </c>
      <c r="D186" s="10" t="s">
        <v>14</v>
      </c>
      <c r="E186" s="10" t="s">
        <v>14</v>
      </c>
      <c r="F186" s="10">
        <v>424157</v>
      </c>
      <c r="G186" s="10" t="s">
        <v>20</v>
      </c>
      <c r="H186" s="10" t="s">
        <v>17</v>
      </c>
      <c r="I186" s="10" t="s">
        <v>18</v>
      </c>
      <c r="J186" s="10" t="s">
        <v>19</v>
      </c>
      <c r="K186" s="10" t="s">
        <v>19</v>
      </c>
      <c r="L186" s="10" t="s">
        <v>19</v>
      </c>
      <c r="M186" s="12"/>
      <c r="N186" s="10" t="s">
        <v>20</v>
      </c>
      <c r="O186" s="10" t="s">
        <v>2054</v>
      </c>
      <c r="P186" s="25" t="str">
        <f>IFERROR(
IF(OR(O186="anulado",O186="stand by"),CONCATENATE(O186,": ",H186),
IF(OR(YEAR(M186)=2022,YEAR(M186)=2023),CONCATENATE("Se activó en ",YEAR(M186)),
IF(AND(OR(O186="En proceso",O186="facturando"),AND(J186="-",M186="")),"Por revisar",
IF(M186="",IF(J186="NUEVAS",CONCATENATE("Estado: ",O186,", ",J186),
IF(L186=Meses!$A$3,"Por revisar",
IF(H186="","Sin registro","En programación Frcst."))),"En programación")))),
"Error")</f>
        <v>Por revisar</v>
      </c>
      <c r="Q186" s="9" t="str">
        <f t="shared" si="6"/>
        <v>programación de act. NO, estado: Facturando, Comercializador: ENEL, Etapa: Instalado y Activado</v>
      </c>
      <c r="R186" s="25" t="str">
        <f>IF(P186="En programación Frcst.",VLOOKUP(L186,Meses!$A$1:$H$14,3+HLOOKUP(Cronograma!J186,Meses!$D$1:$G$2,2,FALSE),FALSE),
IF(P186="En programación",M186,""))</f>
        <v/>
      </c>
      <c r="S186" s="25" t="str">
        <f t="shared" si="8"/>
        <v/>
      </c>
      <c r="T186" s="21" t="str">
        <f>IFERROR(
(VLOOKUP(MONTH(R186),Meses!$B$3:$C$14,2,FALSE)-DAY(R186))/VLOOKUP(MONTH(R186),Meses!$B$3:$C$14,2,FALSE)*U186,
"")</f>
        <v/>
      </c>
      <c r="U186" s="22">
        <f t="shared" si="7"/>
        <v>424157</v>
      </c>
    </row>
    <row r="187" spans="1:21" ht="32.4" hidden="1" thickBot="1" x14ac:dyDescent="0.6">
      <c r="A187" s="10" t="s">
        <v>272</v>
      </c>
      <c r="B187" s="10" t="s">
        <v>273</v>
      </c>
      <c r="C187" s="12">
        <v>45015</v>
      </c>
      <c r="D187" s="10" t="s">
        <v>74</v>
      </c>
      <c r="E187" s="10" t="s">
        <v>14</v>
      </c>
      <c r="F187" s="10">
        <v>40883</v>
      </c>
      <c r="G187" s="10" t="s">
        <v>20</v>
      </c>
      <c r="H187" s="10" t="s">
        <v>17</v>
      </c>
      <c r="I187" s="10" t="s">
        <v>43</v>
      </c>
      <c r="J187" s="10" t="s">
        <v>19</v>
      </c>
      <c r="K187" s="10" t="s">
        <v>19</v>
      </c>
      <c r="L187" s="10" t="s">
        <v>19</v>
      </c>
      <c r="M187" s="12"/>
      <c r="N187" s="10" t="s">
        <v>20</v>
      </c>
      <c r="O187" s="10" t="s">
        <v>2054</v>
      </c>
      <c r="P187" s="25" t="str">
        <f>IFERROR(
IF(OR(O187="anulado",O187="stand by"),CONCATENATE(O187,": ",H187),
IF(OR(YEAR(M187)=2022,YEAR(M187)=2023),CONCATENATE("Se activó en ",YEAR(M187)),
IF(AND(OR(O187="En proceso",O187="facturando"),AND(J187="-",M187="")),"Por revisar",
IF(M187="",IF(J187="NUEVAS",CONCATENATE("Estado: ",O187,", ",J187),
IF(L187=Meses!$A$3,"Por revisar",
IF(H187="","Sin registro","En programación Frcst."))),"En programación")))),
"Error")</f>
        <v>Por revisar</v>
      </c>
      <c r="Q187" s="9" t="str">
        <f t="shared" si="6"/>
        <v>programación de act. NO, estado: Facturando, Comercializador: AIR-E, Etapa: Instalado y Activado</v>
      </c>
      <c r="R187" s="25" t="str">
        <f>IF(P187="En programación Frcst.",VLOOKUP(L187,Meses!$A$1:$H$14,3+HLOOKUP(Cronograma!J187,Meses!$D$1:$G$2,2,FALSE),FALSE),
IF(P187="En programación",M187,""))</f>
        <v/>
      </c>
      <c r="S187" s="25" t="str">
        <f t="shared" si="8"/>
        <v/>
      </c>
      <c r="T187" s="21" t="str">
        <f>IFERROR(
(VLOOKUP(MONTH(R187),Meses!$B$3:$C$14,2,FALSE)-DAY(R187))/VLOOKUP(MONTH(R187),Meses!$B$3:$C$14,2,FALSE)*U187,
"")</f>
        <v/>
      </c>
      <c r="U187" s="22">
        <f t="shared" si="7"/>
        <v>40883</v>
      </c>
    </row>
    <row r="188" spans="1:21" ht="47.4" hidden="1" thickBot="1" x14ac:dyDescent="0.6">
      <c r="A188" s="10" t="s">
        <v>274</v>
      </c>
      <c r="B188" s="10" t="s">
        <v>275</v>
      </c>
      <c r="C188" s="12">
        <v>45204</v>
      </c>
      <c r="D188" s="10" t="s">
        <v>44</v>
      </c>
      <c r="E188" s="10" t="s">
        <v>44</v>
      </c>
      <c r="F188" s="10">
        <v>36090</v>
      </c>
      <c r="G188" s="10" t="s">
        <v>15</v>
      </c>
      <c r="H188" s="10" t="s">
        <v>17</v>
      </c>
      <c r="I188" s="10" t="s">
        <v>43</v>
      </c>
      <c r="J188" s="10" t="s">
        <v>19</v>
      </c>
      <c r="K188" s="10" t="s">
        <v>19</v>
      </c>
      <c r="L188" s="10" t="s">
        <v>19</v>
      </c>
      <c r="M188" s="12"/>
      <c r="N188" s="10" t="s">
        <v>20</v>
      </c>
      <c r="O188" s="10" t="s">
        <v>2054</v>
      </c>
      <c r="P188" s="25" t="str">
        <f>IFERROR(
IF(OR(O188="anulado",O188="stand by"),CONCATENATE(O188,": ",H188),
IF(OR(YEAR(M188)=2022,YEAR(M188)=2023),CONCATENATE("Se activó en ",YEAR(M188)),
IF(AND(OR(O188="En proceso",O188="facturando"),AND(J188="-",M188="")),"Por revisar",
IF(M188="",IF(J188="NUEVAS",CONCATENATE("Estado: ",O188,", ",J188),
IF(L188=Meses!$A$3,"Por revisar",
IF(H188="","Sin registro","En programación Frcst."))),"En programación")))),
"Error")</f>
        <v>Por revisar</v>
      </c>
      <c r="Q188" s="9" t="str">
        <f t="shared" si="6"/>
        <v>programación de act. NO, estado: Facturando, Comercializador: AFINIA, Etapa: Instalado y Activado</v>
      </c>
      <c r="R188" s="25" t="str">
        <f>IF(P188="En programación Frcst.",VLOOKUP(L188,Meses!$A$1:$H$14,3+HLOOKUP(Cronograma!J188,Meses!$D$1:$G$2,2,FALSE),FALSE),
IF(P188="En programación",M188,""))</f>
        <v/>
      </c>
      <c r="S188" s="25" t="str">
        <f t="shared" si="8"/>
        <v/>
      </c>
      <c r="T188" s="21" t="str">
        <f>IFERROR(
(VLOOKUP(MONTH(R188),Meses!$B$3:$C$14,2,FALSE)-DAY(R188))/VLOOKUP(MONTH(R188),Meses!$B$3:$C$14,2,FALSE)*U188,
"")</f>
        <v/>
      </c>
      <c r="U188" s="22">
        <f t="shared" si="7"/>
        <v>36090</v>
      </c>
    </row>
    <row r="189" spans="1:21" ht="47.4" hidden="1" thickBot="1" x14ac:dyDescent="0.6">
      <c r="A189" s="10" t="s">
        <v>274</v>
      </c>
      <c r="B189" s="10" t="s">
        <v>276</v>
      </c>
      <c r="C189" s="12">
        <v>45281</v>
      </c>
      <c r="D189" s="10" t="s">
        <v>233</v>
      </c>
      <c r="E189" s="10" t="s">
        <v>233</v>
      </c>
      <c r="F189" s="10">
        <v>24800</v>
      </c>
      <c r="G189" s="10" t="s">
        <v>15</v>
      </c>
      <c r="H189" s="10" t="s">
        <v>2406</v>
      </c>
      <c r="I189" s="10" t="s">
        <v>18</v>
      </c>
      <c r="J189" s="10" t="s">
        <v>277</v>
      </c>
      <c r="K189" s="10" t="s">
        <v>278</v>
      </c>
      <c r="L189" s="10" t="s">
        <v>279</v>
      </c>
      <c r="M189" s="12"/>
      <c r="N189" s="10" t="s">
        <v>15</v>
      </c>
      <c r="O189" s="10" t="s">
        <v>2054</v>
      </c>
      <c r="P189" s="25" t="str">
        <f>IFERROR(
IF(OR(O189="anulado",O189="stand by"),CONCATENATE(O189,": ",H189),
IF(OR(YEAR(M189)=2022,YEAR(M189)=2023),CONCATENATE("Se activó en ",YEAR(M189)),
IF(AND(OR(O189="En proceso",O189="facturando"),AND(J189="-",M189="")),"Por revisar",
IF(M189="",IF(J189="NUEVAS",CONCATENATE("Estado: ",O189,", ",J189),
IF(L189=Meses!$A$3,"Por revisar",
IF(H189="","Sin registro","En programación Frcst."))),"En programación")))),
"Error")</f>
        <v>En programación Frcst.</v>
      </c>
      <c r="Q189" s="9" t="str">
        <f t="shared" si="6"/>
        <v/>
      </c>
      <c r="R189" s="25">
        <f>IF(P189="En programación Frcst.",VLOOKUP(L189,Meses!$A$1:$H$14,3+HLOOKUP(Cronograma!J189,Meses!$D$1:$G$2,2,FALSE),FALSE),
IF(P189="En programación",M189,""))</f>
        <v>45309</v>
      </c>
      <c r="S189" s="25" t="str">
        <f t="shared" si="8"/>
        <v>2024/1</v>
      </c>
      <c r="T189" s="21">
        <f>IFERROR(
(VLOOKUP(MONTH(R189),Meses!$B$3:$C$14,2,FALSE)-DAY(R189))/VLOOKUP(MONTH(R189),Meses!$B$3:$C$14,2,FALSE)*U189,
"")</f>
        <v>10400</v>
      </c>
      <c r="U189" s="22">
        <f t="shared" si="7"/>
        <v>24800</v>
      </c>
    </row>
    <row r="190" spans="1:21" ht="47.4" hidden="1" thickBot="1" x14ac:dyDescent="0.6">
      <c r="A190" s="10" t="s">
        <v>274</v>
      </c>
      <c r="B190" s="10" t="s">
        <v>280</v>
      </c>
      <c r="C190" s="12"/>
      <c r="D190" s="10" t="s">
        <v>281</v>
      </c>
      <c r="E190" s="10" t="s">
        <v>281</v>
      </c>
      <c r="F190" s="10">
        <v>21230</v>
      </c>
      <c r="G190" s="10" t="s">
        <v>15</v>
      </c>
      <c r="H190" s="10" t="s">
        <v>2916</v>
      </c>
      <c r="I190" s="10" t="s">
        <v>43</v>
      </c>
      <c r="J190" s="10" t="s">
        <v>143</v>
      </c>
      <c r="K190" s="10" t="s">
        <v>2895</v>
      </c>
      <c r="L190" s="10" t="s">
        <v>2292</v>
      </c>
      <c r="M190" s="12">
        <v>45400</v>
      </c>
      <c r="N190" s="10" t="s">
        <v>15</v>
      </c>
      <c r="O190" s="10" t="s">
        <v>2057</v>
      </c>
      <c r="P190" s="25" t="str">
        <f>IFERROR(
IF(OR(O190="anulado",O190="stand by"),CONCATENATE(O190,": ",H190),
IF(OR(YEAR(M190)=2022,YEAR(M190)=2023),CONCATENATE("Se activó en ",YEAR(M190)),
IF(AND(OR(O190="En proceso",O190="facturando"),AND(J190="-",M190="")),"Por revisar",
IF(M190="",IF(J190="NUEVAS",CONCATENATE("Estado: ",O190,", ",J190),
IF(L190=Meses!$A$3,"Por revisar",
IF(H190="","Sin registro","En programación Frcst."))),"En programación")))),
"Error")</f>
        <v>En programación</v>
      </c>
      <c r="Q190" s="9" t="str">
        <f t="shared" si="6"/>
        <v/>
      </c>
      <c r="R190" s="25">
        <f>IF(P190="En programación Frcst.",VLOOKUP(L190,Meses!$A$1:$H$14,3+HLOOKUP(Cronograma!J190,Meses!$D$1:$G$2,2,FALSE),FALSE),
IF(P190="En programación",M190,""))</f>
        <v>45400</v>
      </c>
      <c r="S190" s="25" t="str">
        <f t="shared" si="8"/>
        <v>2024/4</v>
      </c>
      <c r="T190" s="21">
        <f>IFERROR(
(VLOOKUP(MONTH(R190),Meses!$B$3:$C$14,2,FALSE)-DAY(R190))/VLOOKUP(MONTH(R190),Meses!$B$3:$C$14,2,FALSE)*U190,
"")</f>
        <v>8492</v>
      </c>
      <c r="U190" s="22">
        <f t="shared" si="7"/>
        <v>21230</v>
      </c>
    </row>
    <row r="191" spans="1:21" ht="47.4" hidden="1" thickBot="1" x14ac:dyDescent="0.6">
      <c r="A191" s="10" t="s">
        <v>274</v>
      </c>
      <c r="B191" s="10" t="s">
        <v>284</v>
      </c>
      <c r="C191" s="12"/>
      <c r="D191" s="10" t="s">
        <v>44</v>
      </c>
      <c r="E191" s="10" t="s">
        <v>44</v>
      </c>
      <c r="F191" s="10">
        <v>20880</v>
      </c>
      <c r="G191" s="10" t="s">
        <v>15</v>
      </c>
      <c r="H191" s="10" t="s">
        <v>2916</v>
      </c>
      <c r="I191" s="10" t="s">
        <v>43</v>
      </c>
      <c r="J191" s="10" t="s">
        <v>143</v>
      </c>
      <c r="K191" s="10" t="s">
        <v>2895</v>
      </c>
      <c r="L191" s="10" t="s">
        <v>2292</v>
      </c>
      <c r="M191" s="12">
        <v>45400</v>
      </c>
      <c r="N191" s="10" t="s">
        <v>15</v>
      </c>
      <c r="O191" s="10" t="s">
        <v>2057</v>
      </c>
      <c r="P191" s="25" t="str">
        <f>IFERROR(
IF(OR(O191="anulado",O191="stand by"),CONCATENATE(O191,": ",H191),
IF(OR(YEAR(M191)=2022,YEAR(M191)=2023),CONCATENATE("Se activó en ",YEAR(M191)),
IF(AND(OR(O191="En proceso",O191="facturando"),AND(J191="-",M191="")),"Por revisar",
IF(M191="",IF(J191="NUEVAS",CONCATENATE("Estado: ",O191,", ",J191),
IF(L191=Meses!$A$3,"Por revisar",
IF(H191="","Sin registro","En programación Frcst."))),"En programación")))),
"Error")</f>
        <v>En programación</v>
      </c>
      <c r="Q191" s="9" t="str">
        <f t="shared" si="6"/>
        <v/>
      </c>
      <c r="R191" s="25">
        <f>IF(P191="En programación Frcst.",VLOOKUP(L191,Meses!$A$1:$H$14,3+HLOOKUP(Cronograma!J191,Meses!$D$1:$G$2,2,FALSE),FALSE),
IF(P191="En programación",M191,""))</f>
        <v>45400</v>
      </c>
      <c r="S191" s="25" t="str">
        <f t="shared" si="8"/>
        <v>2024/4</v>
      </c>
      <c r="T191" s="21">
        <f>IFERROR(
(VLOOKUP(MONTH(R191),Meses!$B$3:$C$14,2,FALSE)-DAY(R191))/VLOOKUP(MONTH(R191),Meses!$B$3:$C$14,2,FALSE)*U191,
"")</f>
        <v>8352</v>
      </c>
      <c r="U191" s="22">
        <f t="shared" si="7"/>
        <v>20880</v>
      </c>
    </row>
    <row r="192" spans="1:21" ht="47.4" hidden="1" thickBot="1" x14ac:dyDescent="0.6">
      <c r="A192" s="10" t="s">
        <v>274</v>
      </c>
      <c r="B192" s="10" t="s">
        <v>285</v>
      </c>
      <c r="C192" s="12">
        <v>45008</v>
      </c>
      <c r="D192" s="10" t="s">
        <v>14</v>
      </c>
      <c r="E192" s="10" t="s">
        <v>14</v>
      </c>
      <c r="F192" s="10">
        <v>18260</v>
      </c>
      <c r="G192" s="10" t="s">
        <v>15</v>
      </c>
      <c r="H192" s="10" t="s">
        <v>17</v>
      </c>
      <c r="I192" s="10" t="s">
        <v>18</v>
      </c>
      <c r="J192" s="10" t="s">
        <v>19</v>
      </c>
      <c r="K192" s="10" t="s">
        <v>19</v>
      </c>
      <c r="L192" s="10" t="s">
        <v>19</v>
      </c>
      <c r="M192" s="12"/>
      <c r="N192" s="10" t="s">
        <v>20</v>
      </c>
      <c r="O192" s="10" t="s">
        <v>2054</v>
      </c>
      <c r="P192" s="25" t="str">
        <f>IFERROR(
IF(OR(O192="anulado",O192="stand by"),CONCATENATE(O192,": ",H192),
IF(OR(YEAR(M192)=2022,YEAR(M192)=2023),CONCATENATE("Se activó en ",YEAR(M192)),
IF(AND(OR(O192="En proceso",O192="facturando"),AND(J192="-",M192="")),"Por revisar",
IF(M192="",IF(J192="NUEVAS",CONCATENATE("Estado: ",O192,", ",J192),
IF(L192=Meses!$A$3,"Por revisar",
IF(H192="","Sin registro","En programación Frcst."))),"En programación")))),
"Error")</f>
        <v>Por revisar</v>
      </c>
      <c r="Q192" s="9" t="str">
        <f t="shared" si="6"/>
        <v>programación de act. NO, estado: Facturando, Comercializador: ENEL, Etapa: Instalado y Activado</v>
      </c>
      <c r="R192" s="25" t="str">
        <f>IF(P192="En programación Frcst.",VLOOKUP(L192,Meses!$A$1:$H$14,3+HLOOKUP(Cronograma!J192,Meses!$D$1:$G$2,2,FALSE),FALSE),
IF(P192="En programación",M192,""))</f>
        <v/>
      </c>
      <c r="S192" s="25" t="str">
        <f t="shared" si="8"/>
        <v/>
      </c>
      <c r="T192" s="21" t="str">
        <f>IFERROR(
(VLOOKUP(MONTH(R192),Meses!$B$3:$C$14,2,FALSE)-DAY(R192))/VLOOKUP(MONTH(R192),Meses!$B$3:$C$14,2,FALSE)*U192,
"")</f>
        <v/>
      </c>
      <c r="U192" s="22">
        <f t="shared" si="7"/>
        <v>18260</v>
      </c>
    </row>
    <row r="193" spans="1:21" ht="47.4" hidden="1" thickBot="1" x14ac:dyDescent="0.6">
      <c r="A193" s="10" t="s">
        <v>274</v>
      </c>
      <c r="B193" s="10" t="s">
        <v>286</v>
      </c>
      <c r="C193" s="12"/>
      <c r="D193" s="10" t="s">
        <v>287</v>
      </c>
      <c r="E193" s="10" t="s">
        <v>287</v>
      </c>
      <c r="F193" s="10">
        <v>17380</v>
      </c>
      <c r="G193" s="10" t="s">
        <v>15</v>
      </c>
      <c r="H193" s="10" t="s">
        <v>2916</v>
      </c>
      <c r="I193" s="10" t="s">
        <v>43</v>
      </c>
      <c r="J193" s="10" t="s">
        <v>143</v>
      </c>
      <c r="K193" s="10" t="s">
        <v>2895</v>
      </c>
      <c r="L193" s="10" t="s">
        <v>2292</v>
      </c>
      <c r="M193" s="12">
        <v>45400</v>
      </c>
      <c r="N193" s="10" t="s">
        <v>15</v>
      </c>
      <c r="O193" s="10" t="s">
        <v>2057</v>
      </c>
      <c r="P193" s="25" t="str">
        <f>IFERROR(
IF(OR(O193="anulado",O193="stand by"),CONCATENATE(O193,": ",H193),
IF(OR(YEAR(M193)=2022,YEAR(M193)=2023),CONCATENATE("Se activó en ",YEAR(M193)),
IF(AND(OR(O193="En proceso",O193="facturando"),AND(J193="-",M193="")),"Por revisar",
IF(M193="",IF(J193="NUEVAS",CONCATENATE("Estado: ",O193,", ",J193),
IF(L193=Meses!$A$3,"Por revisar",
IF(H193="","Sin registro","En programación Frcst."))),"En programación")))),
"Error")</f>
        <v>En programación</v>
      </c>
      <c r="Q193" s="9" t="str">
        <f t="shared" si="6"/>
        <v/>
      </c>
      <c r="R193" s="25">
        <f>IF(P193="En programación Frcst.",VLOOKUP(L193,Meses!$A$1:$H$14,3+HLOOKUP(Cronograma!J193,Meses!$D$1:$G$2,2,FALSE),FALSE),
IF(P193="En programación",M193,""))</f>
        <v>45400</v>
      </c>
      <c r="S193" s="25" t="str">
        <f t="shared" si="8"/>
        <v>2024/4</v>
      </c>
      <c r="T193" s="21">
        <f>IFERROR(
(VLOOKUP(MONTH(R193),Meses!$B$3:$C$14,2,FALSE)-DAY(R193))/VLOOKUP(MONTH(R193),Meses!$B$3:$C$14,2,FALSE)*U193,
"")</f>
        <v>6952</v>
      </c>
      <c r="U193" s="22">
        <f t="shared" si="7"/>
        <v>17380</v>
      </c>
    </row>
    <row r="194" spans="1:21" ht="47.4" hidden="1" thickBot="1" x14ac:dyDescent="0.6">
      <c r="A194" s="10" t="s">
        <v>274</v>
      </c>
      <c r="B194" s="10" t="s">
        <v>288</v>
      </c>
      <c r="C194" s="12">
        <v>45190</v>
      </c>
      <c r="D194" s="10" t="s">
        <v>289</v>
      </c>
      <c r="E194" s="10" t="s">
        <v>289</v>
      </c>
      <c r="F194" s="10">
        <v>17360</v>
      </c>
      <c r="G194" s="10" t="s">
        <v>15</v>
      </c>
      <c r="H194" s="10" t="s">
        <v>17</v>
      </c>
      <c r="I194" s="10" t="s">
        <v>18</v>
      </c>
      <c r="J194" s="10" t="s">
        <v>19</v>
      </c>
      <c r="K194" s="10" t="s">
        <v>19</v>
      </c>
      <c r="L194" s="10" t="s">
        <v>19</v>
      </c>
      <c r="M194" s="12"/>
      <c r="N194" s="10" t="s">
        <v>20</v>
      </c>
      <c r="O194" s="10" t="s">
        <v>2054</v>
      </c>
      <c r="P194" s="25" t="str">
        <f>IFERROR(
IF(OR(O194="anulado",O194="stand by"),CONCATENATE(O194,": ",H194),
IF(OR(YEAR(M194)=2022,YEAR(M194)=2023),CONCATENATE("Se activó en ",YEAR(M194)),
IF(AND(OR(O194="En proceso",O194="facturando"),AND(J194="-",M194="")),"Por revisar",
IF(M194="",IF(J194="NUEVAS",CONCATENATE("Estado: ",O194,", ",J194),
IF(L194=Meses!$A$3,"Por revisar",
IF(H194="","Sin registro","En programación Frcst."))),"En programación")))),
"Error")</f>
        <v>Por revisar</v>
      </c>
      <c r="Q194" s="9" t="str">
        <f t="shared" ref="Q194:Q257" si="9">IF(P194="Por revisar",CONCATENATE("programación de act. ",N194,", estado: ",O194,", Comercializador: ",D194,", Etapa: ",H194),"")</f>
        <v>programación de act. NO, estado: Facturando, Comercializador: CELSIA, Etapa: Instalado y Activado</v>
      </c>
      <c r="R194" s="25" t="str">
        <f>IF(P194="En programación Frcst.",VLOOKUP(L194,Meses!$A$1:$H$14,3+HLOOKUP(Cronograma!J194,Meses!$D$1:$G$2,2,FALSE),FALSE),
IF(P194="En programación",M194,""))</f>
        <v/>
      </c>
      <c r="S194" s="25" t="str">
        <f t="shared" si="8"/>
        <v/>
      </c>
      <c r="T194" s="21" t="str">
        <f>IFERROR(
(VLOOKUP(MONTH(R194),Meses!$B$3:$C$14,2,FALSE)-DAY(R194))/VLOOKUP(MONTH(R194),Meses!$B$3:$C$14,2,FALSE)*U194,
"")</f>
        <v/>
      </c>
      <c r="U194" s="22">
        <f t="shared" ref="U194:U257" si="10">F194</f>
        <v>17360</v>
      </c>
    </row>
    <row r="195" spans="1:21" ht="47.4" hidden="1" thickBot="1" x14ac:dyDescent="0.6">
      <c r="A195" s="10" t="s">
        <v>274</v>
      </c>
      <c r="B195" s="10" t="s">
        <v>290</v>
      </c>
      <c r="C195" s="12"/>
      <c r="D195" s="10" t="s">
        <v>291</v>
      </c>
      <c r="E195" s="10" t="s">
        <v>291</v>
      </c>
      <c r="F195" s="10">
        <v>15812</v>
      </c>
      <c r="G195" s="10" t="s">
        <v>15</v>
      </c>
      <c r="H195" s="10" t="s">
        <v>2916</v>
      </c>
      <c r="I195" s="10" t="s">
        <v>43</v>
      </c>
      <c r="J195" s="10" t="s">
        <v>143</v>
      </c>
      <c r="K195" s="10" t="s">
        <v>2895</v>
      </c>
      <c r="L195" s="10" t="s">
        <v>2292</v>
      </c>
      <c r="M195" s="12">
        <v>45400</v>
      </c>
      <c r="N195" s="10" t="s">
        <v>15</v>
      </c>
      <c r="O195" s="10" t="s">
        <v>2057</v>
      </c>
      <c r="P195" s="25" t="str">
        <f>IFERROR(
IF(OR(O195="anulado",O195="stand by"),CONCATENATE(O195,": ",H195),
IF(OR(YEAR(M195)=2022,YEAR(M195)=2023),CONCATENATE("Se activó en ",YEAR(M195)),
IF(AND(OR(O195="En proceso",O195="facturando"),AND(J195="-",M195="")),"Por revisar",
IF(M195="",IF(J195="NUEVAS",CONCATENATE("Estado: ",O195,", ",J195),
IF(L195=Meses!$A$3,"Por revisar",
IF(H195="","Sin registro","En programación Frcst."))),"En programación")))),
"Error")</f>
        <v>En programación</v>
      </c>
      <c r="Q195" s="9" t="str">
        <f t="shared" si="9"/>
        <v/>
      </c>
      <c r="R195" s="25">
        <f>IF(P195="En programación Frcst.",VLOOKUP(L195,Meses!$A$1:$H$14,3+HLOOKUP(Cronograma!J195,Meses!$D$1:$G$2,2,FALSE),FALSE),
IF(P195="En programación",M195,""))</f>
        <v>45400</v>
      </c>
      <c r="S195" s="25" t="str">
        <f t="shared" ref="S195:S258" si="11">IFERROR(CONCATENATE(YEAR(R195),"/",MONTH(R195)),"")</f>
        <v>2024/4</v>
      </c>
      <c r="T195" s="21">
        <f>IFERROR(
(VLOOKUP(MONTH(R195),Meses!$B$3:$C$14,2,FALSE)-DAY(R195))/VLOOKUP(MONTH(R195),Meses!$B$3:$C$14,2,FALSE)*U195,
"")</f>
        <v>6324.8</v>
      </c>
      <c r="U195" s="22">
        <f t="shared" si="10"/>
        <v>15812</v>
      </c>
    </row>
    <row r="196" spans="1:21" ht="47.4" hidden="1" thickBot="1" x14ac:dyDescent="0.6">
      <c r="A196" s="10" t="s">
        <v>274</v>
      </c>
      <c r="B196" s="10" t="s">
        <v>294</v>
      </c>
      <c r="C196" s="12">
        <v>45197</v>
      </c>
      <c r="D196" s="10" t="s">
        <v>74</v>
      </c>
      <c r="E196" s="10" t="s">
        <v>74</v>
      </c>
      <c r="F196" s="10">
        <v>14800</v>
      </c>
      <c r="G196" s="10" t="s">
        <v>15</v>
      </c>
      <c r="H196" s="10" t="s">
        <v>17</v>
      </c>
      <c r="I196" s="10" t="s">
        <v>43</v>
      </c>
      <c r="J196" s="10" t="s">
        <v>19</v>
      </c>
      <c r="K196" s="10" t="s">
        <v>19</v>
      </c>
      <c r="L196" s="10" t="s">
        <v>19</v>
      </c>
      <c r="M196" s="12"/>
      <c r="N196" s="10" t="s">
        <v>20</v>
      </c>
      <c r="O196" s="10" t="s">
        <v>2054</v>
      </c>
      <c r="P196" s="25" t="str">
        <f>IFERROR(
IF(OR(O196="anulado",O196="stand by"),CONCATENATE(O196,": ",H196),
IF(OR(YEAR(M196)=2022,YEAR(M196)=2023),CONCATENATE("Se activó en ",YEAR(M196)),
IF(AND(OR(O196="En proceso",O196="facturando"),AND(J196="-",M196="")),"Por revisar",
IF(M196="",IF(J196="NUEVAS",CONCATENATE("Estado: ",O196,", ",J196),
IF(L196=Meses!$A$3,"Por revisar",
IF(H196="","Sin registro","En programación Frcst."))),"En programación")))),
"Error")</f>
        <v>Por revisar</v>
      </c>
      <c r="Q196" s="9" t="str">
        <f t="shared" si="9"/>
        <v>programación de act. NO, estado: Facturando, Comercializador: AIR-E, Etapa: Instalado y Activado</v>
      </c>
      <c r="R196" s="25" t="str">
        <f>IF(P196="En programación Frcst.",VLOOKUP(L196,Meses!$A$1:$H$14,3+HLOOKUP(Cronograma!J196,Meses!$D$1:$G$2,2,FALSE),FALSE),
IF(P196="En programación",M196,""))</f>
        <v/>
      </c>
      <c r="S196" s="25" t="str">
        <f t="shared" si="11"/>
        <v/>
      </c>
      <c r="T196" s="21" t="str">
        <f>IFERROR(
(VLOOKUP(MONTH(R196),Meses!$B$3:$C$14,2,FALSE)-DAY(R196))/VLOOKUP(MONTH(R196),Meses!$B$3:$C$14,2,FALSE)*U196,
"")</f>
        <v/>
      </c>
      <c r="U196" s="22">
        <f t="shared" si="10"/>
        <v>14800</v>
      </c>
    </row>
    <row r="197" spans="1:21" ht="47.4" hidden="1" thickBot="1" x14ac:dyDescent="0.6">
      <c r="A197" s="10" t="s">
        <v>274</v>
      </c>
      <c r="B197" s="10" t="s">
        <v>295</v>
      </c>
      <c r="C197" s="12"/>
      <c r="D197" s="10" t="s">
        <v>44</v>
      </c>
      <c r="E197" s="10" t="s">
        <v>44</v>
      </c>
      <c r="F197" s="10">
        <v>13470</v>
      </c>
      <c r="G197" s="10" t="s">
        <v>15</v>
      </c>
      <c r="H197" s="10" t="s">
        <v>2916</v>
      </c>
      <c r="I197" s="10" t="s">
        <v>43</v>
      </c>
      <c r="J197" s="10" t="s">
        <v>143</v>
      </c>
      <c r="K197" s="10" t="s">
        <v>2895</v>
      </c>
      <c r="L197" s="10" t="s">
        <v>2292</v>
      </c>
      <c r="M197" s="12">
        <v>45400</v>
      </c>
      <c r="N197" s="10" t="s">
        <v>15</v>
      </c>
      <c r="O197" s="10" t="s">
        <v>2057</v>
      </c>
      <c r="P197" s="25" t="str">
        <f>IFERROR(
IF(OR(O197="anulado",O197="stand by"),CONCATENATE(O197,": ",H197),
IF(OR(YEAR(M197)=2022,YEAR(M197)=2023),CONCATENATE("Se activó en ",YEAR(M197)),
IF(AND(OR(O197="En proceso",O197="facturando"),AND(J197="-",M197="")),"Por revisar",
IF(M197="",IF(J197="NUEVAS",CONCATENATE("Estado: ",O197,", ",J197),
IF(L197=Meses!$A$3,"Por revisar",
IF(H197="","Sin registro","En programación Frcst."))),"En programación")))),
"Error")</f>
        <v>En programación</v>
      </c>
      <c r="Q197" s="9" t="str">
        <f t="shared" si="9"/>
        <v/>
      </c>
      <c r="R197" s="25">
        <f>IF(P197="En programación Frcst.",VLOOKUP(L197,Meses!$A$1:$H$14,3+HLOOKUP(Cronograma!J197,Meses!$D$1:$G$2,2,FALSE),FALSE),
IF(P197="En programación",M197,""))</f>
        <v>45400</v>
      </c>
      <c r="S197" s="25" t="str">
        <f t="shared" si="11"/>
        <v>2024/4</v>
      </c>
      <c r="T197" s="21">
        <f>IFERROR(
(VLOOKUP(MONTH(R197),Meses!$B$3:$C$14,2,FALSE)-DAY(R197))/VLOOKUP(MONTH(R197),Meses!$B$3:$C$14,2,FALSE)*U197,
"")</f>
        <v>5388</v>
      </c>
      <c r="U197" s="22">
        <f t="shared" si="10"/>
        <v>13470</v>
      </c>
    </row>
    <row r="198" spans="1:21" ht="47.4" hidden="1" thickBot="1" x14ac:dyDescent="0.6">
      <c r="A198" s="10" t="s">
        <v>274</v>
      </c>
      <c r="B198" s="10" t="s">
        <v>296</v>
      </c>
      <c r="C198" s="12"/>
      <c r="D198" s="10" t="s">
        <v>156</v>
      </c>
      <c r="E198" s="10" t="s">
        <v>156</v>
      </c>
      <c r="F198" s="10">
        <v>9840</v>
      </c>
      <c r="G198" s="10" t="s">
        <v>15</v>
      </c>
      <c r="H198" s="10" t="s">
        <v>140</v>
      </c>
      <c r="I198" s="10" t="s">
        <v>43</v>
      </c>
      <c r="J198" s="10" t="s">
        <v>19</v>
      </c>
      <c r="K198" s="10" t="s">
        <v>19</v>
      </c>
      <c r="L198" s="10" t="s">
        <v>19</v>
      </c>
      <c r="M198" s="12"/>
      <c r="N198" s="10" t="s">
        <v>20</v>
      </c>
      <c r="O198" s="10" t="s">
        <v>2056</v>
      </c>
      <c r="P198" s="25" t="str">
        <f>IFERROR(
IF(OR(O198="anulado",O198="stand by"),CONCATENATE(O198,": ",H198),
IF(OR(YEAR(M198)=2022,YEAR(M198)=2023),CONCATENATE("Se activó en ",YEAR(M198)),
IF(AND(OR(O198="En proceso",O198="facturando"),AND(J198="-",M198="")),"Por revisar",
IF(M198="",IF(J198="NUEVAS",CONCATENATE("Estado: ",O198,", ",J198),
IF(L198=Meses!$A$3,"Por revisar",
IF(H198="","Sin registro","En programación Frcst."))),"En programación")))),
"Error")</f>
        <v>anulado: Desistido</v>
      </c>
      <c r="Q198" s="9" t="str">
        <f t="shared" si="9"/>
        <v/>
      </c>
      <c r="R198" s="25" t="str">
        <f>IF(P198="En programación Frcst.",VLOOKUP(L198,Meses!$A$1:$H$14,3+HLOOKUP(Cronograma!J198,Meses!$D$1:$G$2,2,FALSE),FALSE),
IF(P198="En programación",M198,""))</f>
        <v/>
      </c>
      <c r="S198" s="25" t="str">
        <f t="shared" si="11"/>
        <v/>
      </c>
      <c r="T198" s="21" t="str">
        <f>IFERROR(
(VLOOKUP(MONTH(R198),Meses!$B$3:$C$14,2,FALSE)-DAY(R198))/VLOOKUP(MONTH(R198),Meses!$B$3:$C$14,2,FALSE)*U198,
"")</f>
        <v/>
      </c>
      <c r="U198" s="22">
        <f t="shared" si="10"/>
        <v>9840</v>
      </c>
    </row>
    <row r="199" spans="1:21" ht="47.4" hidden="1" thickBot="1" x14ac:dyDescent="0.6">
      <c r="A199" s="10" t="s">
        <v>274</v>
      </c>
      <c r="B199" s="10" t="s">
        <v>297</v>
      </c>
      <c r="C199" s="12">
        <v>45008</v>
      </c>
      <c r="D199" s="10" t="s">
        <v>298</v>
      </c>
      <c r="E199" s="10" t="s">
        <v>298</v>
      </c>
      <c r="F199" s="10">
        <v>6094</v>
      </c>
      <c r="G199" s="10" t="s">
        <v>15</v>
      </c>
      <c r="H199" s="10" t="s">
        <v>17</v>
      </c>
      <c r="I199" s="10" t="s">
        <v>43</v>
      </c>
      <c r="J199" s="10" t="s">
        <v>19</v>
      </c>
      <c r="K199" s="10" t="s">
        <v>19</v>
      </c>
      <c r="L199" s="10" t="s">
        <v>19</v>
      </c>
      <c r="M199" s="12"/>
      <c r="N199" s="10" t="s">
        <v>20</v>
      </c>
      <c r="O199" s="10" t="s">
        <v>2054</v>
      </c>
      <c r="P199" s="25" t="str">
        <f>IFERROR(
IF(OR(O199="anulado",O199="stand by"),CONCATENATE(O199,": ",H199),
IF(OR(YEAR(M199)=2022,YEAR(M199)=2023),CONCATENATE("Se activó en ",YEAR(M199)),
IF(AND(OR(O199="En proceso",O199="facturando"),AND(J199="-",M199="")),"Por revisar",
IF(M199="",IF(J199="NUEVAS",CONCATENATE("Estado: ",O199,", ",J199),
IF(L199=Meses!$A$3,"Por revisar",
IF(H199="","Sin registro","En programación Frcst."))),"En programación")))),
"Error")</f>
        <v>Por revisar</v>
      </c>
      <c r="Q199" s="9" t="str">
        <f t="shared" si="9"/>
        <v>programación de act. NO, estado: Facturando, Comercializador: EBSA, Etapa: Instalado y Activado</v>
      </c>
      <c r="R199" s="25" t="str">
        <f>IF(P199="En programación Frcst.",VLOOKUP(L199,Meses!$A$1:$H$14,3+HLOOKUP(Cronograma!J199,Meses!$D$1:$G$2,2,FALSE),FALSE),
IF(P199="En programación",M199,""))</f>
        <v/>
      </c>
      <c r="S199" s="25" t="str">
        <f t="shared" si="11"/>
        <v/>
      </c>
      <c r="T199" s="21" t="str">
        <f>IFERROR(
(VLOOKUP(MONTH(R199),Meses!$B$3:$C$14,2,FALSE)-DAY(R199))/VLOOKUP(MONTH(R199),Meses!$B$3:$C$14,2,FALSE)*U199,
"")</f>
        <v/>
      </c>
      <c r="U199" s="22">
        <f t="shared" si="10"/>
        <v>6094</v>
      </c>
    </row>
    <row r="200" spans="1:21" ht="47.4" hidden="1" thickBot="1" x14ac:dyDescent="0.6">
      <c r="A200" s="10" t="s">
        <v>274</v>
      </c>
      <c r="B200" s="10" t="s">
        <v>299</v>
      </c>
      <c r="C200" s="12"/>
      <c r="D200" s="10" t="s">
        <v>300</v>
      </c>
      <c r="E200" s="10" t="s">
        <v>300</v>
      </c>
      <c r="F200" s="10">
        <v>6036</v>
      </c>
      <c r="G200" s="10" t="s">
        <v>15</v>
      </c>
      <c r="H200" s="10" t="s">
        <v>2921</v>
      </c>
      <c r="I200" s="10" t="s">
        <v>43</v>
      </c>
      <c r="J200" s="10" t="s">
        <v>292</v>
      </c>
      <c r="K200" s="10" t="s">
        <v>1697</v>
      </c>
      <c r="L200" s="10" t="s">
        <v>1120</v>
      </c>
      <c r="M200" s="12">
        <v>45379</v>
      </c>
      <c r="N200" s="10" t="s">
        <v>15</v>
      </c>
      <c r="O200" s="10" t="s">
        <v>2057</v>
      </c>
      <c r="P200" s="25" t="str">
        <f>IFERROR(
IF(OR(O200="anulado",O200="stand by"),CONCATENATE(O200,": ",H200),
IF(OR(YEAR(M200)=2022,YEAR(M200)=2023),CONCATENATE("Se activó en ",YEAR(M200)),
IF(AND(OR(O200="En proceso",O200="facturando"),AND(J200="-",M200="")),"Por revisar",
IF(M200="",IF(J200="NUEVAS",CONCATENATE("Estado: ",O200,", ",J200),
IF(L200=Meses!$A$3,"Por revisar",
IF(H200="","Sin registro","En programación Frcst."))),"En programación")))),
"Error")</f>
        <v>En programación</v>
      </c>
      <c r="Q200" s="9" t="str">
        <f t="shared" si="9"/>
        <v/>
      </c>
      <c r="R200" s="25">
        <f>IF(P200="En programación Frcst.",VLOOKUP(L200,Meses!$A$1:$H$14,3+HLOOKUP(Cronograma!J200,Meses!$D$1:$G$2,2,FALSE),FALSE),
IF(P200="En programación",M200,""))</f>
        <v>45379</v>
      </c>
      <c r="S200" s="25" t="str">
        <f t="shared" si="11"/>
        <v>2024/3</v>
      </c>
      <c r="T200" s="21">
        <f>IFERROR(
(VLOOKUP(MONTH(R200),Meses!$B$3:$C$14,2,FALSE)-DAY(R200))/VLOOKUP(MONTH(R200),Meses!$B$3:$C$14,2,FALSE)*U200,
"")</f>
        <v>584.12903225806451</v>
      </c>
      <c r="U200" s="22">
        <f t="shared" si="10"/>
        <v>6036</v>
      </c>
    </row>
    <row r="201" spans="1:21" ht="47.4" hidden="1" thickBot="1" x14ac:dyDescent="0.6">
      <c r="A201" s="10" t="s">
        <v>274</v>
      </c>
      <c r="B201" s="10" t="s">
        <v>301</v>
      </c>
      <c r="C201" s="12">
        <v>45288</v>
      </c>
      <c r="D201" s="10" t="s">
        <v>44</v>
      </c>
      <c r="E201" s="10" t="s">
        <v>44</v>
      </c>
      <c r="F201" s="10">
        <v>5430</v>
      </c>
      <c r="G201" s="10" t="s">
        <v>15</v>
      </c>
      <c r="H201" s="10" t="s">
        <v>17</v>
      </c>
      <c r="I201" s="10" t="s">
        <v>43</v>
      </c>
      <c r="J201" s="10" t="s">
        <v>282</v>
      </c>
      <c r="K201" s="10" t="s">
        <v>283</v>
      </c>
      <c r="L201" s="10" t="s">
        <v>279</v>
      </c>
      <c r="M201" s="12"/>
      <c r="N201" s="10" t="s">
        <v>15</v>
      </c>
      <c r="O201" s="10" t="s">
        <v>2054</v>
      </c>
      <c r="P201" s="25" t="str">
        <f>IFERROR(
IF(OR(O201="anulado",O201="stand by"),CONCATENATE(O201,": ",H201),
IF(OR(YEAR(M201)=2022,YEAR(M201)=2023),CONCATENATE("Se activó en ",YEAR(M201)),
IF(AND(OR(O201="En proceso",O201="facturando"),AND(J201="-",M201="")),"Por revisar",
IF(M201="",IF(J201="NUEVAS",CONCATENATE("Estado: ",O201,", ",J201),
IF(L201=Meses!$A$3,"Por revisar",
IF(H201="","Sin registro","En programación Frcst."))),"En programación")))),
"Error")</f>
        <v>En programación Frcst.</v>
      </c>
      <c r="Q201" s="9" t="str">
        <f t="shared" si="9"/>
        <v/>
      </c>
      <c r="R201" s="25">
        <f>IF(P201="En programación Frcst.",VLOOKUP(L201,Meses!$A$1:$H$14,3+HLOOKUP(Cronograma!J201,Meses!$D$1:$G$2,2,FALSE),FALSE),
IF(P201="En programación",M201,""))</f>
        <v>45295</v>
      </c>
      <c r="S201" s="25" t="str">
        <f t="shared" si="11"/>
        <v>2024/1</v>
      </c>
      <c r="T201" s="21">
        <f>IFERROR(
(VLOOKUP(MONTH(R201),Meses!$B$3:$C$14,2,FALSE)-DAY(R201))/VLOOKUP(MONTH(R201),Meses!$B$3:$C$14,2,FALSE)*U201,
"")</f>
        <v>4729.3548387096771</v>
      </c>
      <c r="U201" s="22">
        <f t="shared" si="10"/>
        <v>5430</v>
      </c>
    </row>
    <row r="202" spans="1:21" ht="47.4" hidden="1" thickBot="1" x14ac:dyDescent="0.6">
      <c r="A202" s="10" t="s">
        <v>274</v>
      </c>
      <c r="B202" s="10" t="s">
        <v>302</v>
      </c>
      <c r="C202" s="12"/>
      <c r="D202" s="10" t="s">
        <v>156</v>
      </c>
      <c r="E202" s="10" t="s">
        <v>156</v>
      </c>
      <c r="F202" s="10">
        <v>2367</v>
      </c>
      <c r="G202" s="10" t="s">
        <v>15</v>
      </c>
      <c r="H202" s="10" t="s">
        <v>140</v>
      </c>
      <c r="I202" s="10" t="s">
        <v>43</v>
      </c>
      <c r="J202" s="10" t="s">
        <v>19</v>
      </c>
      <c r="K202" s="10" t="s">
        <v>19</v>
      </c>
      <c r="L202" s="10" t="s">
        <v>19</v>
      </c>
      <c r="M202" s="12"/>
      <c r="N202" s="10" t="s">
        <v>20</v>
      </c>
      <c r="O202" s="10" t="s">
        <v>2056</v>
      </c>
      <c r="P202" s="25" t="str">
        <f>IFERROR(
IF(OR(O202="anulado",O202="stand by"),CONCATENATE(O202,": ",H202),
IF(OR(YEAR(M202)=2022,YEAR(M202)=2023),CONCATENATE("Se activó en ",YEAR(M202)),
IF(AND(OR(O202="En proceso",O202="facturando"),AND(J202="-",M202="")),"Por revisar",
IF(M202="",IF(J202="NUEVAS",CONCATENATE("Estado: ",O202,", ",J202),
IF(L202=Meses!$A$3,"Por revisar",
IF(H202="","Sin registro","En programación Frcst."))),"En programación")))),
"Error")</f>
        <v>anulado: Desistido</v>
      </c>
      <c r="Q202" s="9" t="str">
        <f t="shared" si="9"/>
        <v/>
      </c>
      <c r="R202" s="25" t="str">
        <f>IF(P202="En programación Frcst.",VLOOKUP(L202,Meses!$A$1:$H$14,3+HLOOKUP(Cronograma!J202,Meses!$D$1:$G$2,2,FALSE),FALSE),
IF(P202="En programación",M202,""))</f>
        <v/>
      </c>
      <c r="S202" s="25" t="str">
        <f t="shared" si="11"/>
        <v/>
      </c>
      <c r="T202" s="21" t="str">
        <f>IFERROR(
(VLOOKUP(MONTH(R202),Meses!$B$3:$C$14,2,FALSE)-DAY(R202))/VLOOKUP(MONTH(R202),Meses!$B$3:$C$14,2,FALSE)*U202,
"")</f>
        <v/>
      </c>
      <c r="U202" s="22">
        <f t="shared" si="10"/>
        <v>2367</v>
      </c>
    </row>
    <row r="203" spans="1:21" ht="47.4" hidden="1" thickBot="1" x14ac:dyDescent="0.6">
      <c r="A203" s="10" t="s">
        <v>274</v>
      </c>
      <c r="B203" s="10" t="s">
        <v>303</v>
      </c>
      <c r="C203" s="12"/>
      <c r="D203" s="10" t="s">
        <v>74</v>
      </c>
      <c r="E203" s="10" t="s">
        <v>74</v>
      </c>
      <c r="F203" s="10">
        <v>32000</v>
      </c>
      <c r="G203" s="10" t="s">
        <v>15</v>
      </c>
      <c r="H203" s="10" t="s">
        <v>2916</v>
      </c>
      <c r="I203" s="10" t="s">
        <v>43</v>
      </c>
      <c r="J203" s="10" t="s">
        <v>143</v>
      </c>
      <c r="K203" s="10" t="s">
        <v>2895</v>
      </c>
      <c r="L203" s="10" t="s">
        <v>2292</v>
      </c>
      <c r="M203" s="12">
        <v>45400</v>
      </c>
      <c r="N203" s="10" t="s">
        <v>15</v>
      </c>
      <c r="O203" s="10" t="s">
        <v>2057</v>
      </c>
      <c r="P203" s="25" t="str">
        <f>IFERROR(
IF(OR(O203="anulado",O203="stand by"),CONCATENATE(O203,": ",H203),
IF(OR(YEAR(M203)=2022,YEAR(M203)=2023),CONCATENATE("Se activó en ",YEAR(M203)),
IF(AND(OR(O203="En proceso",O203="facturando"),AND(J203="-",M203="")),"Por revisar",
IF(M203="",IF(J203="NUEVAS",CONCATENATE("Estado: ",O203,", ",J203),
IF(L203=Meses!$A$3,"Por revisar",
IF(H203="","Sin registro","En programación Frcst."))),"En programación")))),
"Error")</f>
        <v>En programación</v>
      </c>
      <c r="Q203" s="9" t="str">
        <f t="shared" si="9"/>
        <v/>
      </c>
      <c r="R203" s="25">
        <f>IF(P203="En programación Frcst.",VLOOKUP(L203,Meses!$A$1:$H$14,3+HLOOKUP(Cronograma!J203,Meses!$D$1:$G$2,2,FALSE),FALSE),
IF(P203="En programación",M203,""))</f>
        <v>45400</v>
      </c>
      <c r="S203" s="25" t="str">
        <f t="shared" si="11"/>
        <v>2024/4</v>
      </c>
      <c r="T203" s="21">
        <f>IFERROR(
(VLOOKUP(MONTH(R203),Meses!$B$3:$C$14,2,FALSE)-DAY(R203))/VLOOKUP(MONTH(R203),Meses!$B$3:$C$14,2,FALSE)*U203,
"")</f>
        <v>12800</v>
      </c>
      <c r="U203" s="22">
        <f t="shared" si="10"/>
        <v>32000</v>
      </c>
    </row>
    <row r="204" spans="1:21" ht="47.4" hidden="1" thickBot="1" x14ac:dyDescent="0.6">
      <c r="A204" s="10" t="s">
        <v>274</v>
      </c>
      <c r="B204" s="10" t="s">
        <v>304</v>
      </c>
      <c r="C204" s="12">
        <v>45064</v>
      </c>
      <c r="D204" s="10" t="s">
        <v>14</v>
      </c>
      <c r="E204" s="10" t="s">
        <v>14</v>
      </c>
      <c r="F204" s="10">
        <v>15000</v>
      </c>
      <c r="G204" s="10" t="s">
        <v>15</v>
      </c>
      <c r="H204" s="10" t="s">
        <v>17</v>
      </c>
      <c r="I204" s="10" t="s">
        <v>18</v>
      </c>
      <c r="J204" s="10" t="s">
        <v>19</v>
      </c>
      <c r="K204" s="10" t="s">
        <v>19</v>
      </c>
      <c r="L204" s="10" t="s">
        <v>19</v>
      </c>
      <c r="M204" s="12"/>
      <c r="N204" s="10" t="s">
        <v>20</v>
      </c>
      <c r="O204" s="10" t="s">
        <v>2054</v>
      </c>
      <c r="P204" s="25" t="str">
        <f>IFERROR(
IF(OR(O204="anulado",O204="stand by"),CONCATENATE(O204,": ",H204),
IF(OR(YEAR(M204)=2022,YEAR(M204)=2023),CONCATENATE("Se activó en ",YEAR(M204)),
IF(AND(OR(O204="En proceso",O204="facturando"),AND(J204="-",M204="")),"Por revisar",
IF(M204="",IF(J204="NUEVAS",CONCATENATE("Estado: ",O204,", ",J204),
IF(L204=Meses!$A$3,"Por revisar",
IF(H204="","Sin registro","En programación Frcst."))),"En programación")))),
"Error")</f>
        <v>Por revisar</v>
      </c>
      <c r="Q204" s="9" t="str">
        <f t="shared" si="9"/>
        <v>programación de act. NO, estado: Facturando, Comercializador: ENEL, Etapa: Instalado y Activado</v>
      </c>
      <c r="R204" s="25" t="str">
        <f>IF(P204="En programación Frcst.",VLOOKUP(L204,Meses!$A$1:$H$14,3+HLOOKUP(Cronograma!J204,Meses!$D$1:$G$2,2,FALSE),FALSE),
IF(P204="En programación",M204,""))</f>
        <v/>
      </c>
      <c r="S204" s="25" t="str">
        <f t="shared" si="11"/>
        <v/>
      </c>
      <c r="T204" s="21" t="str">
        <f>IFERROR(
(VLOOKUP(MONTH(R204),Meses!$B$3:$C$14,2,FALSE)-DAY(R204))/VLOOKUP(MONTH(R204),Meses!$B$3:$C$14,2,FALSE)*U204,
"")</f>
        <v/>
      </c>
      <c r="U204" s="22">
        <f t="shared" si="10"/>
        <v>15000</v>
      </c>
    </row>
    <row r="205" spans="1:21" ht="32.4" hidden="1" thickBot="1" x14ac:dyDescent="0.6">
      <c r="A205" s="10" t="s">
        <v>305</v>
      </c>
      <c r="B205" s="10" t="s">
        <v>306</v>
      </c>
      <c r="C205" s="12">
        <v>45106</v>
      </c>
      <c r="D205" s="10" t="s">
        <v>74</v>
      </c>
      <c r="E205" s="10" t="s">
        <v>74</v>
      </c>
      <c r="F205" s="10">
        <v>2206.8000000000002</v>
      </c>
      <c r="G205" s="10" t="s">
        <v>15</v>
      </c>
      <c r="H205" s="10" t="s">
        <v>17</v>
      </c>
      <c r="I205" s="10" t="s">
        <v>43</v>
      </c>
      <c r="J205" s="10" t="s">
        <v>19</v>
      </c>
      <c r="K205" s="10" t="s">
        <v>19</v>
      </c>
      <c r="L205" s="10" t="s">
        <v>19</v>
      </c>
      <c r="M205" s="12"/>
      <c r="N205" s="10" t="s">
        <v>20</v>
      </c>
      <c r="O205" s="10" t="s">
        <v>2054</v>
      </c>
      <c r="P205" s="25" t="str">
        <f>IFERROR(
IF(OR(O205="anulado",O205="stand by"),CONCATENATE(O205,": ",H205),
IF(OR(YEAR(M205)=2022,YEAR(M205)=2023),CONCATENATE("Se activó en ",YEAR(M205)),
IF(AND(OR(O205="En proceso",O205="facturando"),AND(J205="-",M205="")),"Por revisar",
IF(M205="",IF(J205="NUEVAS",CONCATENATE("Estado: ",O205,", ",J205),
IF(L205=Meses!$A$3,"Por revisar",
IF(H205="","Sin registro","En programación Frcst."))),"En programación")))),
"Error")</f>
        <v>Por revisar</v>
      </c>
      <c r="Q205" s="9" t="str">
        <f t="shared" si="9"/>
        <v>programación de act. NO, estado: Facturando, Comercializador: AIR-E, Etapa: Instalado y Activado</v>
      </c>
      <c r="R205" s="25" t="str">
        <f>IF(P205="En programación Frcst.",VLOOKUP(L205,Meses!$A$1:$H$14,3+HLOOKUP(Cronograma!J205,Meses!$D$1:$G$2,2,FALSE),FALSE),
IF(P205="En programación",M205,""))</f>
        <v/>
      </c>
      <c r="S205" s="25" t="str">
        <f t="shared" si="11"/>
        <v/>
      </c>
      <c r="T205" s="21" t="str">
        <f>IFERROR(
(VLOOKUP(MONTH(R205),Meses!$B$3:$C$14,2,FALSE)-DAY(R205))/VLOOKUP(MONTH(R205),Meses!$B$3:$C$14,2,FALSE)*U205,
"")</f>
        <v/>
      </c>
      <c r="U205" s="22">
        <f t="shared" si="10"/>
        <v>2206.8000000000002</v>
      </c>
    </row>
    <row r="206" spans="1:21" ht="32.4" hidden="1" thickBot="1" x14ac:dyDescent="0.6">
      <c r="A206" s="10" t="s">
        <v>305</v>
      </c>
      <c r="B206" s="10" t="s">
        <v>307</v>
      </c>
      <c r="C206" s="12">
        <v>45120</v>
      </c>
      <c r="D206" s="10" t="s">
        <v>74</v>
      </c>
      <c r="E206" s="10" t="s">
        <v>74</v>
      </c>
      <c r="F206" s="10">
        <v>7352.6</v>
      </c>
      <c r="G206" s="10" t="s">
        <v>15</v>
      </c>
      <c r="H206" s="10" t="s">
        <v>17</v>
      </c>
      <c r="I206" s="10" t="s">
        <v>43</v>
      </c>
      <c r="J206" s="10" t="s">
        <v>19</v>
      </c>
      <c r="K206" s="10" t="s">
        <v>19</v>
      </c>
      <c r="L206" s="10" t="s">
        <v>19</v>
      </c>
      <c r="M206" s="12"/>
      <c r="N206" s="10" t="s">
        <v>20</v>
      </c>
      <c r="O206" s="10" t="s">
        <v>2054</v>
      </c>
      <c r="P206" s="25" t="str">
        <f>IFERROR(
IF(OR(O206="anulado",O206="stand by"),CONCATENATE(O206,": ",H206),
IF(OR(YEAR(M206)=2022,YEAR(M206)=2023),CONCATENATE("Se activó en ",YEAR(M206)),
IF(AND(OR(O206="En proceso",O206="facturando"),AND(J206="-",M206="")),"Por revisar",
IF(M206="",IF(J206="NUEVAS",CONCATENATE("Estado: ",O206,", ",J206),
IF(L206=Meses!$A$3,"Por revisar",
IF(H206="","Sin registro","En programación Frcst."))),"En programación")))),
"Error")</f>
        <v>Por revisar</v>
      </c>
      <c r="Q206" s="9" t="str">
        <f t="shared" si="9"/>
        <v>programación de act. NO, estado: Facturando, Comercializador: AIR-E, Etapa: Instalado y Activado</v>
      </c>
      <c r="R206" s="25" t="str">
        <f>IF(P206="En programación Frcst.",VLOOKUP(L206,Meses!$A$1:$H$14,3+HLOOKUP(Cronograma!J206,Meses!$D$1:$G$2,2,FALSE),FALSE),
IF(P206="En programación",M206,""))</f>
        <v/>
      </c>
      <c r="S206" s="25" t="str">
        <f t="shared" si="11"/>
        <v/>
      </c>
      <c r="T206" s="21" t="str">
        <f>IFERROR(
(VLOOKUP(MONTH(R206),Meses!$B$3:$C$14,2,FALSE)-DAY(R206))/VLOOKUP(MONTH(R206),Meses!$B$3:$C$14,2,FALSE)*U206,
"")</f>
        <v/>
      </c>
      <c r="U206" s="22">
        <f t="shared" si="10"/>
        <v>7352.6</v>
      </c>
    </row>
    <row r="207" spans="1:21" ht="32.4" hidden="1" thickBot="1" x14ac:dyDescent="0.6">
      <c r="A207" s="10" t="s">
        <v>305</v>
      </c>
      <c r="B207" s="10" t="s">
        <v>308</v>
      </c>
      <c r="C207" s="12">
        <v>45218</v>
      </c>
      <c r="D207" s="10" t="s">
        <v>74</v>
      </c>
      <c r="E207" s="10" t="s">
        <v>74</v>
      </c>
      <c r="F207" s="10">
        <v>3416.4</v>
      </c>
      <c r="G207" s="10" t="s">
        <v>15</v>
      </c>
      <c r="H207" s="10" t="s">
        <v>17</v>
      </c>
      <c r="I207" s="10" t="s">
        <v>43</v>
      </c>
      <c r="J207" s="10" t="s">
        <v>19</v>
      </c>
      <c r="K207" s="10" t="s">
        <v>19</v>
      </c>
      <c r="L207" s="10" t="s">
        <v>19</v>
      </c>
      <c r="M207" s="12"/>
      <c r="N207" s="10" t="s">
        <v>20</v>
      </c>
      <c r="O207" s="10" t="s">
        <v>2054</v>
      </c>
      <c r="P207" s="25" t="str">
        <f>IFERROR(
IF(OR(O207="anulado",O207="stand by"),CONCATENATE(O207,": ",H207),
IF(OR(YEAR(M207)=2022,YEAR(M207)=2023),CONCATENATE("Se activó en ",YEAR(M207)),
IF(AND(OR(O207="En proceso",O207="facturando"),AND(J207="-",M207="")),"Por revisar",
IF(M207="",IF(J207="NUEVAS",CONCATENATE("Estado: ",O207,", ",J207),
IF(L207=Meses!$A$3,"Por revisar",
IF(H207="","Sin registro","En programación Frcst."))),"En programación")))),
"Error")</f>
        <v>Por revisar</v>
      </c>
      <c r="Q207" s="9" t="str">
        <f t="shared" si="9"/>
        <v>programación de act. NO, estado: Facturando, Comercializador: AIR-E, Etapa: Instalado y Activado</v>
      </c>
      <c r="R207" s="25" t="str">
        <f>IF(P207="En programación Frcst.",VLOOKUP(L207,Meses!$A$1:$H$14,3+HLOOKUP(Cronograma!J207,Meses!$D$1:$G$2,2,FALSE),FALSE),
IF(P207="En programación",M207,""))</f>
        <v/>
      </c>
      <c r="S207" s="25" t="str">
        <f t="shared" si="11"/>
        <v/>
      </c>
      <c r="T207" s="21" t="str">
        <f>IFERROR(
(VLOOKUP(MONTH(R207),Meses!$B$3:$C$14,2,FALSE)-DAY(R207))/VLOOKUP(MONTH(R207),Meses!$B$3:$C$14,2,FALSE)*U207,
"")</f>
        <v/>
      </c>
      <c r="U207" s="22">
        <f t="shared" si="10"/>
        <v>3416.4</v>
      </c>
    </row>
    <row r="208" spans="1:21" ht="32.4" hidden="1" thickBot="1" x14ac:dyDescent="0.6">
      <c r="A208" s="10" t="s">
        <v>305</v>
      </c>
      <c r="B208" s="10" t="s">
        <v>309</v>
      </c>
      <c r="C208" s="12">
        <v>45106</v>
      </c>
      <c r="D208" s="10" t="s">
        <v>74</v>
      </c>
      <c r="E208" s="10" t="s">
        <v>74</v>
      </c>
      <c r="F208" s="10">
        <v>4144.2</v>
      </c>
      <c r="G208" s="10" t="s">
        <v>15</v>
      </c>
      <c r="H208" s="10" t="s">
        <v>17</v>
      </c>
      <c r="I208" s="10" t="s">
        <v>43</v>
      </c>
      <c r="J208" s="10" t="s">
        <v>19</v>
      </c>
      <c r="K208" s="10" t="s">
        <v>19</v>
      </c>
      <c r="L208" s="10" t="s">
        <v>19</v>
      </c>
      <c r="M208" s="12"/>
      <c r="N208" s="10" t="s">
        <v>20</v>
      </c>
      <c r="O208" s="10" t="s">
        <v>2054</v>
      </c>
      <c r="P208" s="25" t="str">
        <f>IFERROR(
IF(OR(O208="anulado",O208="stand by"),CONCATENATE(O208,": ",H208),
IF(OR(YEAR(M208)=2022,YEAR(M208)=2023),CONCATENATE("Se activó en ",YEAR(M208)),
IF(AND(OR(O208="En proceso",O208="facturando"),AND(J208="-",M208="")),"Por revisar",
IF(M208="",IF(J208="NUEVAS",CONCATENATE("Estado: ",O208,", ",J208),
IF(L208=Meses!$A$3,"Por revisar",
IF(H208="","Sin registro","En programación Frcst."))),"En programación")))),
"Error")</f>
        <v>Por revisar</v>
      </c>
      <c r="Q208" s="9" t="str">
        <f t="shared" si="9"/>
        <v>programación de act. NO, estado: Facturando, Comercializador: AIR-E, Etapa: Instalado y Activado</v>
      </c>
      <c r="R208" s="25" t="str">
        <f>IF(P208="En programación Frcst.",VLOOKUP(L208,Meses!$A$1:$H$14,3+HLOOKUP(Cronograma!J208,Meses!$D$1:$G$2,2,FALSE),FALSE),
IF(P208="En programación",M208,""))</f>
        <v/>
      </c>
      <c r="S208" s="25" t="str">
        <f t="shared" si="11"/>
        <v/>
      </c>
      <c r="T208" s="21" t="str">
        <f>IFERROR(
(VLOOKUP(MONTH(R208),Meses!$B$3:$C$14,2,FALSE)-DAY(R208))/VLOOKUP(MONTH(R208),Meses!$B$3:$C$14,2,FALSE)*U208,
"")</f>
        <v/>
      </c>
      <c r="U208" s="22">
        <f t="shared" si="10"/>
        <v>4144.2</v>
      </c>
    </row>
    <row r="209" spans="1:21" ht="31.8" hidden="1" thickBot="1" x14ac:dyDescent="0.6">
      <c r="A209" s="10" t="s">
        <v>305</v>
      </c>
      <c r="B209" s="10" t="s">
        <v>310</v>
      </c>
      <c r="C209" s="12"/>
      <c r="D209" s="10" t="s">
        <v>44</v>
      </c>
      <c r="E209" s="10" t="s">
        <v>44</v>
      </c>
      <c r="F209" s="10">
        <v>2297.1999999999998</v>
      </c>
      <c r="G209" s="10" t="s">
        <v>15</v>
      </c>
      <c r="H209" s="10" t="s">
        <v>140</v>
      </c>
      <c r="I209" s="10" t="s">
        <v>43</v>
      </c>
      <c r="J209" s="10" t="s">
        <v>143</v>
      </c>
      <c r="K209" s="10" t="s">
        <v>2895</v>
      </c>
      <c r="L209" s="10" t="s">
        <v>2292</v>
      </c>
      <c r="M209" s="12">
        <v>45400</v>
      </c>
      <c r="N209" s="10" t="s">
        <v>15</v>
      </c>
      <c r="O209" s="10" t="s">
        <v>2056</v>
      </c>
      <c r="P209" s="25" t="str">
        <f>IFERROR(
IF(OR(O209="anulado",O209="stand by"),CONCATENATE(O209,": ",H209),
IF(OR(YEAR(M209)=2022,YEAR(M209)=2023),CONCATENATE("Se activó en ",YEAR(M209)),
IF(AND(OR(O209="En proceso",O209="facturando"),AND(J209="-",M209="")),"Por revisar",
IF(M209="",IF(J209="NUEVAS",CONCATENATE("Estado: ",O209,", ",J209),
IF(L209=Meses!$A$3,"Por revisar",
IF(H209="","Sin registro","En programación Frcst."))),"En programación")))),
"Error")</f>
        <v>anulado: Desistido</v>
      </c>
      <c r="Q209" s="9" t="str">
        <f t="shared" si="9"/>
        <v/>
      </c>
      <c r="R209" s="25" t="str">
        <f>IF(P209="En programación Frcst.",VLOOKUP(L209,Meses!$A$1:$H$14,3+HLOOKUP(Cronograma!J209,Meses!$D$1:$G$2,2,FALSE),FALSE),
IF(P209="En programación",M209,""))</f>
        <v/>
      </c>
      <c r="S209" s="25" t="str">
        <f t="shared" si="11"/>
        <v/>
      </c>
      <c r="T209" s="21" t="str">
        <f>IFERROR(
(VLOOKUP(MONTH(R209),Meses!$B$3:$C$14,2,FALSE)-DAY(R209))/VLOOKUP(MONTH(R209),Meses!$B$3:$C$14,2,FALSE)*U209,
"")</f>
        <v/>
      </c>
      <c r="U209" s="22">
        <f t="shared" si="10"/>
        <v>2297.1999999999998</v>
      </c>
    </row>
    <row r="210" spans="1:21" ht="31.8" hidden="1" thickBot="1" x14ac:dyDescent="0.6">
      <c r="A210" s="10" t="s">
        <v>305</v>
      </c>
      <c r="B210" s="10" t="s">
        <v>311</v>
      </c>
      <c r="C210" s="12"/>
      <c r="D210" s="10" t="s">
        <v>44</v>
      </c>
      <c r="E210" s="10" t="s">
        <v>44</v>
      </c>
      <c r="F210" s="10">
        <v>1677</v>
      </c>
      <c r="G210" s="10" t="s">
        <v>15</v>
      </c>
      <c r="H210" s="10" t="s">
        <v>140</v>
      </c>
      <c r="I210" s="10" t="s">
        <v>43</v>
      </c>
      <c r="J210" s="10" t="s">
        <v>19</v>
      </c>
      <c r="K210" s="10" t="s">
        <v>19</v>
      </c>
      <c r="L210" s="10" t="s">
        <v>19</v>
      </c>
      <c r="M210" s="12"/>
      <c r="N210" s="10" t="s">
        <v>20</v>
      </c>
      <c r="O210" s="10" t="s">
        <v>2056</v>
      </c>
      <c r="P210" s="25" t="str">
        <f>IFERROR(
IF(OR(O210="anulado",O210="stand by"),CONCATENATE(O210,": ",H210),
IF(OR(YEAR(M210)=2022,YEAR(M210)=2023),CONCATENATE("Se activó en ",YEAR(M210)),
IF(AND(OR(O210="En proceso",O210="facturando"),AND(J210="-",M210="")),"Por revisar",
IF(M210="",IF(J210="NUEVAS",CONCATENATE("Estado: ",O210,", ",J210),
IF(L210=Meses!$A$3,"Por revisar",
IF(H210="","Sin registro","En programación Frcst."))),"En programación")))),
"Error")</f>
        <v>anulado: Desistido</v>
      </c>
      <c r="Q210" s="9" t="str">
        <f t="shared" si="9"/>
        <v/>
      </c>
      <c r="R210" s="25" t="str">
        <f>IF(P210="En programación Frcst.",VLOOKUP(L210,Meses!$A$1:$H$14,3+HLOOKUP(Cronograma!J210,Meses!$D$1:$G$2,2,FALSE),FALSE),
IF(P210="En programación",M210,""))</f>
        <v/>
      </c>
      <c r="S210" s="25" t="str">
        <f t="shared" si="11"/>
        <v/>
      </c>
      <c r="T210" s="21" t="str">
        <f>IFERROR(
(VLOOKUP(MONTH(R210),Meses!$B$3:$C$14,2,FALSE)-DAY(R210))/VLOOKUP(MONTH(R210),Meses!$B$3:$C$14,2,FALSE)*U210,
"")</f>
        <v/>
      </c>
      <c r="U210" s="22">
        <f t="shared" si="10"/>
        <v>1677</v>
      </c>
    </row>
    <row r="211" spans="1:21" ht="31.8" hidden="1" thickBot="1" x14ac:dyDescent="0.6">
      <c r="A211" s="10" t="s">
        <v>305</v>
      </c>
      <c r="B211" s="10" t="s">
        <v>312</v>
      </c>
      <c r="C211" s="12"/>
      <c r="D211" s="10" t="s">
        <v>74</v>
      </c>
      <c r="E211" s="10" t="s">
        <v>74</v>
      </c>
      <c r="F211" s="10">
        <v>1878.2</v>
      </c>
      <c r="G211" s="10" t="s">
        <v>15</v>
      </c>
      <c r="H211" s="10" t="s">
        <v>2921</v>
      </c>
      <c r="I211" s="10" t="s">
        <v>43</v>
      </c>
      <c r="J211" s="10" t="s">
        <v>143</v>
      </c>
      <c r="K211" s="10" t="s">
        <v>3309</v>
      </c>
      <c r="L211" s="10" t="s">
        <v>1120</v>
      </c>
      <c r="M211" s="12">
        <v>45365</v>
      </c>
      <c r="N211" s="10" t="s">
        <v>15</v>
      </c>
      <c r="O211" s="10" t="s">
        <v>2057</v>
      </c>
      <c r="P211" s="25" t="str">
        <f>IFERROR(
IF(OR(O211="anulado",O211="stand by"),CONCATENATE(O211,": ",H211),
IF(OR(YEAR(M211)=2022,YEAR(M211)=2023),CONCATENATE("Se activó en ",YEAR(M211)),
IF(AND(OR(O211="En proceso",O211="facturando"),AND(J211="-",M211="")),"Por revisar",
IF(M211="",IF(J211="NUEVAS",CONCATENATE("Estado: ",O211,", ",J211),
IF(L211=Meses!$A$3,"Por revisar",
IF(H211="","Sin registro","En programación Frcst."))),"En programación")))),
"Error")</f>
        <v>En programación</v>
      </c>
      <c r="Q211" s="9" t="str">
        <f t="shared" si="9"/>
        <v/>
      </c>
      <c r="R211" s="25">
        <f>IF(P211="En programación Frcst.",VLOOKUP(L211,Meses!$A$1:$H$14,3+HLOOKUP(Cronograma!J211,Meses!$D$1:$G$2,2,FALSE),FALSE),
IF(P211="En programación",M211,""))</f>
        <v>45365</v>
      </c>
      <c r="S211" s="25" t="str">
        <f t="shared" si="11"/>
        <v>2024/3</v>
      </c>
      <c r="T211" s="21">
        <f>IFERROR(
(VLOOKUP(MONTH(R211),Meses!$B$3:$C$14,2,FALSE)-DAY(R211))/VLOOKUP(MONTH(R211),Meses!$B$3:$C$14,2,FALSE)*U211,
"")</f>
        <v>1029.9806451612903</v>
      </c>
      <c r="U211" s="22">
        <f t="shared" si="10"/>
        <v>1878.2</v>
      </c>
    </row>
    <row r="212" spans="1:21" ht="31.8" hidden="1" thickBot="1" x14ac:dyDescent="0.6">
      <c r="A212" s="10" t="s">
        <v>305</v>
      </c>
      <c r="B212" s="10" t="s">
        <v>2437</v>
      </c>
      <c r="C212" s="12"/>
      <c r="D212" s="10" t="s">
        <v>74</v>
      </c>
      <c r="E212" s="10" t="s">
        <v>74</v>
      </c>
      <c r="F212" s="10">
        <v>240</v>
      </c>
      <c r="G212" s="10" t="s">
        <v>15</v>
      </c>
      <c r="H212" s="10" t="s">
        <v>140</v>
      </c>
      <c r="I212" s="10" t="s">
        <v>43</v>
      </c>
      <c r="J212" s="10" t="s">
        <v>19</v>
      </c>
      <c r="K212" s="10" t="s">
        <v>19</v>
      </c>
      <c r="L212" s="10" t="s">
        <v>19</v>
      </c>
      <c r="M212" s="12"/>
      <c r="N212" s="10" t="s">
        <v>20</v>
      </c>
      <c r="O212" s="10" t="s">
        <v>2056</v>
      </c>
      <c r="P212" s="25" t="str">
        <f>IFERROR(
IF(OR(O212="anulado",O212="stand by"),CONCATENATE(O212,": ",H212),
IF(OR(YEAR(M212)=2022,YEAR(M212)=2023),CONCATENATE("Se activó en ",YEAR(M212)),
IF(AND(OR(O212="En proceso",O212="facturando"),AND(J212="-",M212="")),"Por revisar",
IF(M212="",IF(J212="NUEVAS",CONCATENATE("Estado: ",O212,", ",J212),
IF(L212=Meses!$A$3,"Por revisar",
IF(H212="","Sin registro","En programación Frcst."))),"En programación")))),
"Error")</f>
        <v>anulado: Desistido</v>
      </c>
      <c r="Q212" s="9" t="str">
        <f t="shared" si="9"/>
        <v/>
      </c>
      <c r="R212" s="25" t="str">
        <f>IF(P212="En programación Frcst.",VLOOKUP(L212,Meses!$A$1:$H$14,3+HLOOKUP(Cronograma!J212,Meses!$D$1:$G$2,2,FALSE),FALSE),
IF(P212="En programación",M212,""))</f>
        <v/>
      </c>
      <c r="S212" s="25" t="str">
        <f t="shared" si="11"/>
        <v/>
      </c>
      <c r="T212" s="21" t="str">
        <f>IFERROR(
(VLOOKUP(MONTH(R212),Meses!$B$3:$C$14,2,FALSE)-DAY(R212))/VLOOKUP(MONTH(R212),Meses!$B$3:$C$14,2,FALSE)*U212,
"")</f>
        <v/>
      </c>
      <c r="U212" s="22">
        <f t="shared" si="10"/>
        <v>240</v>
      </c>
    </row>
    <row r="213" spans="1:21" ht="31.8" hidden="1" thickBot="1" x14ac:dyDescent="0.6">
      <c r="A213" s="10" t="s">
        <v>305</v>
      </c>
      <c r="B213" s="10" t="s">
        <v>314</v>
      </c>
      <c r="C213" s="12"/>
      <c r="D213" s="10" t="s">
        <v>44</v>
      </c>
      <c r="E213" s="10" t="s">
        <v>44</v>
      </c>
      <c r="F213" s="10">
        <v>1697</v>
      </c>
      <c r="G213" s="10" t="s">
        <v>15</v>
      </c>
      <c r="H213" s="10" t="s">
        <v>140</v>
      </c>
      <c r="I213" s="10" t="s">
        <v>43</v>
      </c>
      <c r="J213" s="10" t="s">
        <v>143</v>
      </c>
      <c r="K213" s="10" t="s">
        <v>2895</v>
      </c>
      <c r="L213" s="10" t="s">
        <v>2292</v>
      </c>
      <c r="M213" s="12">
        <v>45400</v>
      </c>
      <c r="N213" s="10" t="s">
        <v>15</v>
      </c>
      <c r="O213" s="10" t="s">
        <v>2056</v>
      </c>
      <c r="P213" s="25" t="str">
        <f>IFERROR(
IF(OR(O213="anulado",O213="stand by"),CONCATENATE(O213,": ",H213),
IF(OR(YEAR(M213)=2022,YEAR(M213)=2023),CONCATENATE("Se activó en ",YEAR(M213)),
IF(AND(OR(O213="En proceso",O213="facturando"),AND(J213="-",M213="")),"Por revisar",
IF(M213="",IF(J213="NUEVAS",CONCATENATE("Estado: ",O213,", ",J213),
IF(L213=Meses!$A$3,"Por revisar",
IF(H213="","Sin registro","En programación Frcst."))),"En programación")))),
"Error")</f>
        <v>anulado: Desistido</v>
      </c>
      <c r="Q213" s="9" t="str">
        <f t="shared" si="9"/>
        <v/>
      </c>
      <c r="R213" s="25" t="str">
        <f>IF(P213="En programación Frcst.",VLOOKUP(L213,Meses!$A$1:$H$14,3+HLOOKUP(Cronograma!J213,Meses!$D$1:$G$2,2,FALSE),FALSE),
IF(P213="En programación",M213,""))</f>
        <v/>
      </c>
      <c r="S213" s="25" t="str">
        <f t="shared" si="11"/>
        <v/>
      </c>
      <c r="T213" s="21" t="str">
        <f>IFERROR(
(VLOOKUP(MONTH(R213),Meses!$B$3:$C$14,2,FALSE)-DAY(R213))/VLOOKUP(MONTH(R213),Meses!$B$3:$C$14,2,FALSE)*U213,
"")</f>
        <v/>
      </c>
      <c r="U213" s="22">
        <f t="shared" si="10"/>
        <v>1697</v>
      </c>
    </row>
    <row r="214" spans="1:21" ht="32.4" hidden="1" thickBot="1" x14ac:dyDescent="0.6">
      <c r="A214" s="10" t="s">
        <v>315</v>
      </c>
      <c r="B214" s="10" t="s">
        <v>316</v>
      </c>
      <c r="C214" s="12">
        <v>44994</v>
      </c>
      <c r="D214" s="10" t="s">
        <v>14</v>
      </c>
      <c r="E214" s="10" t="s">
        <v>14</v>
      </c>
      <c r="F214" s="10">
        <v>1575</v>
      </c>
      <c r="G214" s="10" t="s">
        <v>15</v>
      </c>
      <c r="H214" s="10" t="s">
        <v>17</v>
      </c>
      <c r="I214" s="10" t="s">
        <v>18</v>
      </c>
      <c r="J214" s="10" t="s">
        <v>19</v>
      </c>
      <c r="K214" s="10" t="s">
        <v>19</v>
      </c>
      <c r="L214" s="10" t="s">
        <v>19</v>
      </c>
      <c r="M214" s="12"/>
      <c r="N214" s="10" t="s">
        <v>20</v>
      </c>
      <c r="O214" s="10" t="s">
        <v>2054</v>
      </c>
      <c r="P214" s="25" t="str">
        <f>IFERROR(
IF(OR(O214="anulado",O214="stand by"),CONCATENATE(O214,": ",H214),
IF(OR(YEAR(M214)=2022,YEAR(M214)=2023),CONCATENATE("Se activó en ",YEAR(M214)),
IF(AND(OR(O214="En proceso",O214="facturando"),AND(J214="-",M214="")),"Por revisar",
IF(M214="",IF(J214="NUEVAS",CONCATENATE("Estado: ",O214,", ",J214),
IF(L214=Meses!$A$3,"Por revisar",
IF(H214="","Sin registro","En programación Frcst."))),"En programación")))),
"Error")</f>
        <v>Por revisar</v>
      </c>
      <c r="Q214" s="9" t="str">
        <f t="shared" si="9"/>
        <v>programación de act. NO, estado: Facturando, Comercializador: ENEL, Etapa: Instalado y Activado</v>
      </c>
      <c r="R214" s="25" t="str">
        <f>IF(P214="En programación Frcst.",VLOOKUP(L214,Meses!$A$1:$H$14,3+HLOOKUP(Cronograma!J214,Meses!$D$1:$G$2,2,FALSE),FALSE),
IF(P214="En programación",M214,""))</f>
        <v/>
      </c>
      <c r="S214" s="25" t="str">
        <f t="shared" si="11"/>
        <v/>
      </c>
      <c r="T214" s="21" t="str">
        <f>IFERROR(
(VLOOKUP(MONTH(R214),Meses!$B$3:$C$14,2,FALSE)-DAY(R214))/VLOOKUP(MONTH(R214),Meses!$B$3:$C$14,2,FALSE)*U214,
"")</f>
        <v/>
      </c>
      <c r="U214" s="22">
        <f t="shared" si="10"/>
        <v>1575</v>
      </c>
    </row>
    <row r="215" spans="1:21" ht="32.4" hidden="1" thickBot="1" x14ac:dyDescent="0.6">
      <c r="A215" s="10" t="s">
        <v>315</v>
      </c>
      <c r="B215" s="10" t="s">
        <v>317</v>
      </c>
      <c r="C215" s="12">
        <v>44994</v>
      </c>
      <c r="D215" s="10" t="s">
        <v>14</v>
      </c>
      <c r="E215" s="10" t="s">
        <v>14</v>
      </c>
      <c r="F215" s="10">
        <v>5631</v>
      </c>
      <c r="G215" s="10" t="s">
        <v>15</v>
      </c>
      <c r="H215" s="10" t="s">
        <v>17</v>
      </c>
      <c r="I215" s="10" t="s">
        <v>18</v>
      </c>
      <c r="J215" s="10" t="s">
        <v>19</v>
      </c>
      <c r="K215" s="10" t="s">
        <v>19</v>
      </c>
      <c r="L215" s="10" t="s">
        <v>19</v>
      </c>
      <c r="M215" s="12"/>
      <c r="N215" s="10" t="s">
        <v>20</v>
      </c>
      <c r="O215" s="10" t="s">
        <v>2054</v>
      </c>
      <c r="P215" s="25" t="str">
        <f>IFERROR(
IF(OR(O215="anulado",O215="stand by"),CONCATENATE(O215,": ",H215),
IF(OR(YEAR(M215)=2022,YEAR(M215)=2023),CONCATENATE("Se activó en ",YEAR(M215)),
IF(AND(OR(O215="En proceso",O215="facturando"),AND(J215="-",M215="")),"Por revisar",
IF(M215="",IF(J215="NUEVAS",CONCATENATE("Estado: ",O215,", ",J215),
IF(L215=Meses!$A$3,"Por revisar",
IF(H215="","Sin registro","En programación Frcst."))),"En programación")))),
"Error")</f>
        <v>Por revisar</v>
      </c>
      <c r="Q215" s="9" t="str">
        <f t="shared" si="9"/>
        <v>programación de act. NO, estado: Facturando, Comercializador: ENEL, Etapa: Instalado y Activado</v>
      </c>
      <c r="R215" s="25" t="str">
        <f>IF(P215="En programación Frcst.",VLOOKUP(L215,Meses!$A$1:$H$14,3+HLOOKUP(Cronograma!J215,Meses!$D$1:$G$2,2,FALSE),FALSE),
IF(P215="En programación",M215,""))</f>
        <v/>
      </c>
      <c r="S215" s="25" t="str">
        <f t="shared" si="11"/>
        <v/>
      </c>
      <c r="T215" s="21" t="str">
        <f>IFERROR(
(VLOOKUP(MONTH(R215),Meses!$B$3:$C$14,2,FALSE)-DAY(R215))/VLOOKUP(MONTH(R215),Meses!$B$3:$C$14,2,FALSE)*U215,
"")</f>
        <v/>
      </c>
      <c r="U215" s="22">
        <f t="shared" si="10"/>
        <v>5631</v>
      </c>
    </row>
    <row r="216" spans="1:21" ht="32.4" hidden="1" thickBot="1" x14ac:dyDescent="0.6">
      <c r="A216" s="10" t="s">
        <v>318</v>
      </c>
      <c r="B216" s="10" t="s">
        <v>319</v>
      </c>
      <c r="C216" s="12">
        <v>45036</v>
      </c>
      <c r="D216" s="10" t="s">
        <v>23</v>
      </c>
      <c r="E216" s="10" t="s">
        <v>23</v>
      </c>
      <c r="F216" s="10">
        <v>4644</v>
      </c>
      <c r="G216" s="10" t="s">
        <v>15</v>
      </c>
      <c r="H216" s="10" t="s">
        <v>17</v>
      </c>
      <c r="I216" s="10" t="s">
        <v>43</v>
      </c>
      <c r="J216" s="10" t="s">
        <v>19</v>
      </c>
      <c r="K216" s="10" t="s">
        <v>19</v>
      </c>
      <c r="L216" s="10" t="s">
        <v>19</v>
      </c>
      <c r="M216" s="12"/>
      <c r="N216" s="10" t="s">
        <v>20</v>
      </c>
      <c r="O216" s="10" t="s">
        <v>2054</v>
      </c>
      <c r="P216" s="25" t="str">
        <f>IFERROR(
IF(OR(O216="anulado",O216="stand by"),CONCATENATE(O216,": ",H216),
IF(OR(YEAR(M216)=2022,YEAR(M216)=2023),CONCATENATE("Se activó en ",YEAR(M216)),
IF(AND(OR(O216="En proceso",O216="facturando"),AND(J216="-",M216="")),"Por revisar",
IF(M216="",IF(J216="NUEVAS",CONCATENATE("Estado: ",O216,", ",J216),
IF(L216=Meses!$A$3,"Por revisar",
IF(H216="","Sin registro","En programación Frcst."))),"En programación")))),
"Error")</f>
        <v>Por revisar</v>
      </c>
      <c r="Q216" s="9" t="str">
        <f t="shared" si="9"/>
        <v>programación de act. NO, estado: Facturando, Comercializador: EMCALI, Etapa: Instalado y Activado</v>
      </c>
      <c r="R216" s="25" t="str">
        <f>IF(P216="En programación Frcst.",VLOOKUP(L216,Meses!$A$1:$H$14,3+HLOOKUP(Cronograma!J216,Meses!$D$1:$G$2,2,FALSE),FALSE),
IF(P216="En programación",M216,""))</f>
        <v/>
      </c>
      <c r="S216" s="25" t="str">
        <f t="shared" si="11"/>
        <v/>
      </c>
      <c r="T216" s="21" t="str">
        <f>IFERROR(
(VLOOKUP(MONTH(R216),Meses!$B$3:$C$14,2,FALSE)-DAY(R216))/VLOOKUP(MONTH(R216),Meses!$B$3:$C$14,2,FALSE)*U216,
"")</f>
        <v/>
      </c>
      <c r="U216" s="22">
        <f t="shared" si="10"/>
        <v>4644</v>
      </c>
    </row>
    <row r="217" spans="1:21" ht="32.4" hidden="1" thickBot="1" x14ac:dyDescent="0.6">
      <c r="A217" s="10" t="s">
        <v>318</v>
      </c>
      <c r="B217" s="10" t="s">
        <v>320</v>
      </c>
      <c r="C217" s="12">
        <v>45036</v>
      </c>
      <c r="D217" s="10" t="s">
        <v>23</v>
      </c>
      <c r="E217" s="10" t="s">
        <v>23</v>
      </c>
      <c r="F217" s="10">
        <v>10200</v>
      </c>
      <c r="G217" s="10" t="s">
        <v>15</v>
      </c>
      <c r="H217" s="10" t="s">
        <v>17</v>
      </c>
      <c r="I217" s="10" t="s">
        <v>43</v>
      </c>
      <c r="J217" s="10" t="s">
        <v>19</v>
      </c>
      <c r="K217" s="10" t="s">
        <v>19</v>
      </c>
      <c r="L217" s="10" t="s">
        <v>19</v>
      </c>
      <c r="M217" s="12"/>
      <c r="N217" s="10" t="s">
        <v>20</v>
      </c>
      <c r="O217" s="10" t="s">
        <v>2054</v>
      </c>
      <c r="P217" s="25" t="str">
        <f>IFERROR(
IF(OR(O217="anulado",O217="stand by"),CONCATENATE(O217,": ",H217),
IF(OR(YEAR(M217)=2022,YEAR(M217)=2023),CONCATENATE("Se activó en ",YEAR(M217)),
IF(AND(OR(O217="En proceso",O217="facturando"),AND(J217="-",M217="")),"Por revisar",
IF(M217="",IF(J217="NUEVAS",CONCATENATE("Estado: ",O217,", ",J217),
IF(L217=Meses!$A$3,"Por revisar",
IF(H217="","Sin registro","En programación Frcst."))),"En programación")))),
"Error")</f>
        <v>Por revisar</v>
      </c>
      <c r="Q217" s="9" t="str">
        <f t="shared" si="9"/>
        <v>programación de act. NO, estado: Facturando, Comercializador: EMCALI, Etapa: Instalado y Activado</v>
      </c>
      <c r="R217" s="25" t="str">
        <f>IF(P217="En programación Frcst.",VLOOKUP(L217,Meses!$A$1:$H$14,3+HLOOKUP(Cronograma!J217,Meses!$D$1:$G$2,2,FALSE),FALSE),
IF(P217="En programación",M217,""))</f>
        <v/>
      </c>
      <c r="S217" s="25" t="str">
        <f t="shared" si="11"/>
        <v/>
      </c>
      <c r="T217" s="21" t="str">
        <f>IFERROR(
(VLOOKUP(MONTH(R217),Meses!$B$3:$C$14,2,FALSE)-DAY(R217))/VLOOKUP(MONTH(R217),Meses!$B$3:$C$14,2,FALSE)*U217,
"")</f>
        <v/>
      </c>
      <c r="U217" s="22">
        <f t="shared" si="10"/>
        <v>10200</v>
      </c>
    </row>
    <row r="218" spans="1:21" ht="32.4" hidden="1" thickBot="1" x14ac:dyDescent="0.6">
      <c r="A218" s="10" t="s">
        <v>321</v>
      </c>
      <c r="B218" s="10" t="s">
        <v>322</v>
      </c>
      <c r="C218" s="12">
        <v>45001</v>
      </c>
      <c r="D218" s="10" t="s">
        <v>323</v>
      </c>
      <c r="E218" s="10" t="s">
        <v>14</v>
      </c>
      <c r="F218" s="10">
        <v>5256</v>
      </c>
      <c r="G218" s="10" t="s">
        <v>15</v>
      </c>
      <c r="H218" s="10" t="s">
        <v>17</v>
      </c>
      <c r="I218" s="10" t="s">
        <v>66</v>
      </c>
      <c r="J218" s="10" t="s">
        <v>19</v>
      </c>
      <c r="K218" s="10" t="s">
        <v>19</v>
      </c>
      <c r="L218" s="10" t="s">
        <v>19</v>
      </c>
      <c r="M218" s="12"/>
      <c r="N218" s="10" t="s">
        <v>20</v>
      </c>
      <c r="O218" s="10" t="s">
        <v>2054</v>
      </c>
      <c r="P218" s="25" t="str">
        <f>IFERROR(
IF(OR(O218="anulado",O218="stand by"),CONCATENATE(O218,": ",H218),
IF(OR(YEAR(M218)=2022,YEAR(M218)=2023),CONCATENATE("Se activó en ",YEAR(M218)),
IF(AND(OR(O218="En proceso",O218="facturando"),AND(J218="-",M218="")),"Por revisar",
IF(M218="",IF(J218="NUEVAS",CONCATENATE("Estado: ",O218,", ",J218),
IF(L218=Meses!$A$3,"Por revisar",
IF(H218="","Sin registro","En programación Frcst."))),"En programación")))),
"Error")</f>
        <v>Por revisar</v>
      </c>
      <c r="Q218" s="9" t="str">
        <f t="shared" si="9"/>
        <v>programación de act. NO, estado: Facturando, Comercializador: DICEL, Etapa: Instalado y Activado</v>
      </c>
      <c r="R218" s="25" t="str">
        <f>IF(P218="En programación Frcst.",VLOOKUP(L218,Meses!$A$1:$H$14,3+HLOOKUP(Cronograma!J218,Meses!$D$1:$G$2,2,FALSE),FALSE),
IF(P218="En programación",M218,""))</f>
        <v/>
      </c>
      <c r="S218" s="25" t="str">
        <f t="shared" si="11"/>
        <v/>
      </c>
      <c r="T218" s="21" t="str">
        <f>IFERROR(
(VLOOKUP(MONTH(R218),Meses!$B$3:$C$14,2,FALSE)-DAY(R218))/VLOOKUP(MONTH(R218),Meses!$B$3:$C$14,2,FALSE)*U218,
"")</f>
        <v/>
      </c>
      <c r="U218" s="22">
        <f t="shared" si="10"/>
        <v>5256</v>
      </c>
    </row>
    <row r="219" spans="1:21" ht="32.4" hidden="1" thickBot="1" x14ac:dyDescent="0.6">
      <c r="A219" s="10" t="s">
        <v>321</v>
      </c>
      <c r="B219" s="10" t="s">
        <v>324</v>
      </c>
      <c r="C219" s="12">
        <v>45001</v>
      </c>
      <c r="D219" s="10" t="s">
        <v>323</v>
      </c>
      <c r="E219" s="10" t="s">
        <v>14</v>
      </c>
      <c r="F219" s="10">
        <v>6585</v>
      </c>
      <c r="G219" s="10" t="s">
        <v>15</v>
      </c>
      <c r="H219" s="10" t="s">
        <v>17</v>
      </c>
      <c r="I219" s="10" t="s">
        <v>66</v>
      </c>
      <c r="J219" s="10" t="s">
        <v>19</v>
      </c>
      <c r="K219" s="10" t="s">
        <v>19</v>
      </c>
      <c r="L219" s="10" t="s">
        <v>19</v>
      </c>
      <c r="M219" s="12"/>
      <c r="N219" s="10" t="s">
        <v>20</v>
      </c>
      <c r="O219" s="10" t="s">
        <v>2054</v>
      </c>
      <c r="P219" s="25" t="str">
        <f>IFERROR(
IF(OR(O219="anulado",O219="stand by"),CONCATENATE(O219,": ",H219),
IF(OR(YEAR(M219)=2022,YEAR(M219)=2023),CONCATENATE("Se activó en ",YEAR(M219)),
IF(AND(OR(O219="En proceso",O219="facturando"),AND(J219="-",M219="")),"Por revisar",
IF(M219="",IF(J219="NUEVAS",CONCATENATE("Estado: ",O219,", ",J219),
IF(L219=Meses!$A$3,"Por revisar",
IF(H219="","Sin registro","En programación Frcst."))),"En programación")))),
"Error")</f>
        <v>Por revisar</v>
      </c>
      <c r="Q219" s="9" t="str">
        <f t="shared" si="9"/>
        <v>programación de act. NO, estado: Facturando, Comercializador: DICEL, Etapa: Instalado y Activado</v>
      </c>
      <c r="R219" s="25" t="str">
        <f>IF(P219="En programación Frcst.",VLOOKUP(L219,Meses!$A$1:$H$14,3+HLOOKUP(Cronograma!J219,Meses!$D$1:$G$2,2,FALSE),FALSE),
IF(P219="En programación",M219,""))</f>
        <v/>
      </c>
      <c r="S219" s="25" t="str">
        <f t="shared" si="11"/>
        <v/>
      </c>
      <c r="T219" s="21" t="str">
        <f>IFERROR(
(VLOOKUP(MONTH(R219),Meses!$B$3:$C$14,2,FALSE)-DAY(R219))/VLOOKUP(MONTH(R219),Meses!$B$3:$C$14,2,FALSE)*U219,
"")</f>
        <v/>
      </c>
      <c r="U219" s="22">
        <f t="shared" si="10"/>
        <v>6585</v>
      </c>
    </row>
    <row r="220" spans="1:21" ht="32.4" hidden="1" thickBot="1" x14ac:dyDescent="0.6">
      <c r="A220" s="10" t="s">
        <v>321</v>
      </c>
      <c r="B220" s="10" t="s">
        <v>325</v>
      </c>
      <c r="C220" s="12">
        <v>45001</v>
      </c>
      <c r="D220" s="10" t="s">
        <v>323</v>
      </c>
      <c r="E220" s="10" t="s">
        <v>14</v>
      </c>
      <c r="F220" s="10">
        <v>12732</v>
      </c>
      <c r="G220" s="10" t="s">
        <v>15</v>
      </c>
      <c r="H220" s="10" t="s">
        <v>17</v>
      </c>
      <c r="I220" s="10" t="s">
        <v>66</v>
      </c>
      <c r="J220" s="10" t="s">
        <v>19</v>
      </c>
      <c r="K220" s="10" t="s">
        <v>19</v>
      </c>
      <c r="L220" s="10" t="s">
        <v>19</v>
      </c>
      <c r="M220" s="12"/>
      <c r="N220" s="10" t="s">
        <v>20</v>
      </c>
      <c r="O220" s="10" t="s">
        <v>2054</v>
      </c>
      <c r="P220" s="25" t="str">
        <f>IFERROR(
IF(OR(O220="anulado",O220="stand by"),CONCATENATE(O220,": ",H220),
IF(OR(YEAR(M220)=2022,YEAR(M220)=2023),CONCATENATE("Se activó en ",YEAR(M220)),
IF(AND(OR(O220="En proceso",O220="facturando"),AND(J220="-",M220="")),"Por revisar",
IF(M220="",IF(J220="NUEVAS",CONCATENATE("Estado: ",O220,", ",J220),
IF(L220=Meses!$A$3,"Por revisar",
IF(H220="","Sin registro","En programación Frcst."))),"En programación")))),
"Error")</f>
        <v>Por revisar</v>
      </c>
      <c r="Q220" s="9" t="str">
        <f t="shared" si="9"/>
        <v>programación de act. NO, estado: Facturando, Comercializador: DICEL, Etapa: Instalado y Activado</v>
      </c>
      <c r="R220" s="25" t="str">
        <f>IF(P220="En programación Frcst.",VLOOKUP(L220,Meses!$A$1:$H$14,3+HLOOKUP(Cronograma!J220,Meses!$D$1:$G$2,2,FALSE),FALSE),
IF(P220="En programación",M220,""))</f>
        <v/>
      </c>
      <c r="S220" s="25" t="str">
        <f t="shared" si="11"/>
        <v/>
      </c>
      <c r="T220" s="21" t="str">
        <f>IFERROR(
(VLOOKUP(MONTH(R220),Meses!$B$3:$C$14,2,FALSE)-DAY(R220))/VLOOKUP(MONTH(R220),Meses!$B$3:$C$14,2,FALSE)*U220,
"")</f>
        <v/>
      </c>
      <c r="U220" s="22">
        <f t="shared" si="10"/>
        <v>12732</v>
      </c>
    </row>
    <row r="221" spans="1:21" ht="32.4" hidden="1" thickBot="1" x14ac:dyDescent="0.6">
      <c r="A221" s="10" t="s">
        <v>321</v>
      </c>
      <c r="B221" s="10" t="s">
        <v>326</v>
      </c>
      <c r="C221" s="12">
        <v>45001</v>
      </c>
      <c r="D221" s="10" t="s">
        <v>323</v>
      </c>
      <c r="E221" s="10" t="s">
        <v>14</v>
      </c>
      <c r="F221" s="10">
        <v>7025</v>
      </c>
      <c r="G221" s="10" t="s">
        <v>15</v>
      </c>
      <c r="H221" s="10" t="s">
        <v>17</v>
      </c>
      <c r="I221" s="10" t="s">
        <v>66</v>
      </c>
      <c r="J221" s="10" t="s">
        <v>19</v>
      </c>
      <c r="K221" s="10" t="s">
        <v>19</v>
      </c>
      <c r="L221" s="10" t="s">
        <v>19</v>
      </c>
      <c r="M221" s="12"/>
      <c r="N221" s="10" t="s">
        <v>20</v>
      </c>
      <c r="O221" s="10" t="s">
        <v>2054</v>
      </c>
      <c r="P221" s="25" t="str">
        <f>IFERROR(
IF(OR(O221="anulado",O221="stand by"),CONCATENATE(O221,": ",H221),
IF(OR(YEAR(M221)=2022,YEAR(M221)=2023),CONCATENATE("Se activó en ",YEAR(M221)),
IF(AND(OR(O221="En proceso",O221="facturando"),AND(J221="-",M221="")),"Por revisar",
IF(M221="",IF(J221="NUEVAS",CONCATENATE("Estado: ",O221,", ",J221),
IF(L221=Meses!$A$3,"Por revisar",
IF(H221="","Sin registro","En programación Frcst."))),"En programación")))),
"Error")</f>
        <v>Por revisar</v>
      </c>
      <c r="Q221" s="9" t="str">
        <f t="shared" si="9"/>
        <v>programación de act. NO, estado: Facturando, Comercializador: DICEL, Etapa: Instalado y Activado</v>
      </c>
      <c r="R221" s="25" t="str">
        <f>IF(P221="En programación Frcst.",VLOOKUP(L221,Meses!$A$1:$H$14,3+HLOOKUP(Cronograma!J221,Meses!$D$1:$G$2,2,FALSE),FALSE),
IF(P221="En programación",M221,""))</f>
        <v/>
      </c>
      <c r="S221" s="25" t="str">
        <f t="shared" si="11"/>
        <v/>
      </c>
      <c r="T221" s="21" t="str">
        <f>IFERROR(
(VLOOKUP(MONTH(R221),Meses!$B$3:$C$14,2,FALSE)-DAY(R221))/VLOOKUP(MONTH(R221),Meses!$B$3:$C$14,2,FALSE)*U221,
"")</f>
        <v/>
      </c>
      <c r="U221" s="22">
        <f t="shared" si="10"/>
        <v>7025</v>
      </c>
    </row>
    <row r="222" spans="1:21" ht="32.4" hidden="1" thickBot="1" x14ac:dyDescent="0.6">
      <c r="A222" s="10" t="s">
        <v>321</v>
      </c>
      <c r="B222" s="10" t="s">
        <v>327</v>
      </c>
      <c r="C222" s="12">
        <v>45001</v>
      </c>
      <c r="D222" s="10" t="s">
        <v>323</v>
      </c>
      <c r="E222" s="10" t="s">
        <v>14</v>
      </c>
      <c r="F222" s="10">
        <v>8706</v>
      </c>
      <c r="G222" s="10" t="s">
        <v>15</v>
      </c>
      <c r="H222" s="10" t="s">
        <v>17</v>
      </c>
      <c r="I222" s="10" t="s">
        <v>66</v>
      </c>
      <c r="J222" s="10" t="s">
        <v>19</v>
      </c>
      <c r="K222" s="10" t="s">
        <v>19</v>
      </c>
      <c r="L222" s="10" t="s">
        <v>19</v>
      </c>
      <c r="M222" s="12"/>
      <c r="N222" s="10" t="s">
        <v>20</v>
      </c>
      <c r="O222" s="10" t="s">
        <v>2054</v>
      </c>
      <c r="P222" s="25" t="str">
        <f>IFERROR(
IF(OR(O222="anulado",O222="stand by"),CONCATENATE(O222,": ",H222),
IF(OR(YEAR(M222)=2022,YEAR(M222)=2023),CONCATENATE("Se activó en ",YEAR(M222)),
IF(AND(OR(O222="En proceso",O222="facturando"),AND(J222="-",M222="")),"Por revisar",
IF(M222="",IF(J222="NUEVAS",CONCATENATE("Estado: ",O222,", ",J222),
IF(L222=Meses!$A$3,"Por revisar",
IF(H222="","Sin registro","En programación Frcst."))),"En programación")))),
"Error")</f>
        <v>Por revisar</v>
      </c>
      <c r="Q222" s="9" t="str">
        <f t="shared" si="9"/>
        <v>programación de act. NO, estado: Facturando, Comercializador: DICEL, Etapa: Instalado y Activado</v>
      </c>
      <c r="R222" s="25" t="str">
        <f>IF(P222="En programación Frcst.",VLOOKUP(L222,Meses!$A$1:$H$14,3+HLOOKUP(Cronograma!J222,Meses!$D$1:$G$2,2,FALSE),FALSE),
IF(P222="En programación",M222,""))</f>
        <v/>
      </c>
      <c r="S222" s="25" t="str">
        <f t="shared" si="11"/>
        <v/>
      </c>
      <c r="T222" s="21" t="str">
        <f>IFERROR(
(VLOOKUP(MONTH(R222),Meses!$B$3:$C$14,2,FALSE)-DAY(R222))/VLOOKUP(MONTH(R222),Meses!$B$3:$C$14,2,FALSE)*U222,
"")</f>
        <v/>
      </c>
      <c r="U222" s="22">
        <f t="shared" si="10"/>
        <v>8706</v>
      </c>
    </row>
    <row r="223" spans="1:21" ht="32.4" hidden="1" thickBot="1" x14ac:dyDescent="0.6">
      <c r="A223" s="10" t="s">
        <v>321</v>
      </c>
      <c r="B223" s="10" t="s">
        <v>328</v>
      </c>
      <c r="C223" s="12">
        <v>45001</v>
      </c>
      <c r="D223" s="10" t="s">
        <v>323</v>
      </c>
      <c r="E223" s="10" t="s">
        <v>14</v>
      </c>
      <c r="F223" s="10">
        <v>12162</v>
      </c>
      <c r="G223" s="10" t="s">
        <v>15</v>
      </c>
      <c r="H223" s="10" t="s">
        <v>17</v>
      </c>
      <c r="I223" s="10" t="s">
        <v>66</v>
      </c>
      <c r="J223" s="10" t="s">
        <v>19</v>
      </c>
      <c r="K223" s="10" t="s">
        <v>19</v>
      </c>
      <c r="L223" s="10" t="s">
        <v>19</v>
      </c>
      <c r="M223" s="12"/>
      <c r="N223" s="10" t="s">
        <v>20</v>
      </c>
      <c r="O223" s="10" t="s">
        <v>2054</v>
      </c>
      <c r="P223" s="25" t="str">
        <f>IFERROR(
IF(OR(O223="anulado",O223="stand by"),CONCATENATE(O223,": ",H223),
IF(OR(YEAR(M223)=2022,YEAR(M223)=2023),CONCATENATE("Se activó en ",YEAR(M223)),
IF(AND(OR(O223="En proceso",O223="facturando"),AND(J223="-",M223="")),"Por revisar",
IF(M223="",IF(J223="NUEVAS",CONCATENATE("Estado: ",O223,", ",J223),
IF(L223=Meses!$A$3,"Por revisar",
IF(H223="","Sin registro","En programación Frcst."))),"En programación")))),
"Error")</f>
        <v>Por revisar</v>
      </c>
      <c r="Q223" s="9" t="str">
        <f t="shared" si="9"/>
        <v>programación de act. NO, estado: Facturando, Comercializador: DICEL, Etapa: Instalado y Activado</v>
      </c>
      <c r="R223" s="25" t="str">
        <f>IF(P223="En programación Frcst.",VLOOKUP(L223,Meses!$A$1:$H$14,3+HLOOKUP(Cronograma!J223,Meses!$D$1:$G$2,2,FALSE),FALSE),
IF(P223="En programación",M223,""))</f>
        <v/>
      </c>
      <c r="S223" s="25" t="str">
        <f t="shared" si="11"/>
        <v/>
      </c>
      <c r="T223" s="21" t="str">
        <f>IFERROR(
(VLOOKUP(MONTH(R223),Meses!$B$3:$C$14,2,FALSE)-DAY(R223))/VLOOKUP(MONTH(R223),Meses!$B$3:$C$14,2,FALSE)*U223,
"")</f>
        <v/>
      </c>
      <c r="U223" s="22">
        <f t="shared" si="10"/>
        <v>12162</v>
      </c>
    </row>
    <row r="224" spans="1:21" ht="32.4" hidden="1" thickBot="1" x14ac:dyDescent="0.6">
      <c r="A224" s="10" t="s">
        <v>321</v>
      </c>
      <c r="B224" s="10" t="s">
        <v>329</v>
      </c>
      <c r="C224" s="12">
        <v>45001</v>
      </c>
      <c r="D224" s="10" t="s">
        <v>323</v>
      </c>
      <c r="E224" s="10" t="s">
        <v>14</v>
      </c>
      <c r="F224" s="10">
        <v>14349</v>
      </c>
      <c r="G224" s="10" t="s">
        <v>15</v>
      </c>
      <c r="H224" s="10" t="s">
        <v>17</v>
      </c>
      <c r="I224" s="10" t="s">
        <v>66</v>
      </c>
      <c r="J224" s="10" t="s">
        <v>19</v>
      </c>
      <c r="K224" s="10" t="s">
        <v>19</v>
      </c>
      <c r="L224" s="10" t="s">
        <v>19</v>
      </c>
      <c r="M224" s="12"/>
      <c r="N224" s="10" t="s">
        <v>20</v>
      </c>
      <c r="O224" s="10" t="s">
        <v>2054</v>
      </c>
      <c r="P224" s="25" t="str">
        <f>IFERROR(
IF(OR(O224="anulado",O224="stand by"),CONCATENATE(O224,": ",H224),
IF(OR(YEAR(M224)=2022,YEAR(M224)=2023),CONCATENATE("Se activó en ",YEAR(M224)),
IF(AND(OR(O224="En proceso",O224="facturando"),AND(J224="-",M224="")),"Por revisar",
IF(M224="",IF(J224="NUEVAS",CONCATENATE("Estado: ",O224,", ",J224),
IF(L224=Meses!$A$3,"Por revisar",
IF(H224="","Sin registro","En programación Frcst."))),"En programación")))),
"Error")</f>
        <v>Por revisar</v>
      </c>
      <c r="Q224" s="9" t="str">
        <f t="shared" si="9"/>
        <v>programación de act. NO, estado: Facturando, Comercializador: DICEL, Etapa: Instalado y Activado</v>
      </c>
      <c r="R224" s="25" t="str">
        <f>IF(P224="En programación Frcst.",VLOOKUP(L224,Meses!$A$1:$H$14,3+HLOOKUP(Cronograma!J224,Meses!$D$1:$G$2,2,FALSE),FALSE),
IF(P224="En programación",M224,""))</f>
        <v/>
      </c>
      <c r="S224" s="25" t="str">
        <f t="shared" si="11"/>
        <v/>
      </c>
      <c r="T224" s="21" t="str">
        <f>IFERROR(
(VLOOKUP(MONTH(R224),Meses!$B$3:$C$14,2,FALSE)-DAY(R224))/VLOOKUP(MONTH(R224),Meses!$B$3:$C$14,2,FALSE)*U224,
"")</f>
        <v/>
      </c>
      <c r="U224" s="22">
        <f t="shared" si="10"/>
        <v>14349</v>
      </c>
    </row>
    <row r="225" spans="1:21" ht="32.4" hidden="1" thickBot="1" x14ac:dyDescent="0.6">
      <c r="A225" s="10" t="s">
        <v>321</v>
      </c>
      <c r="B225" s="10" t="s">
        <v>330</v>
      </c>
      <c r="C225" s="12">
        <v>45001</v>
      </c>
      <c r="D225" s="10" t="s">
        <v>323</v>
      </c>
      <c r="E225" s="10" t="s">
        <v>14</v>
      </c>
      <c r="F225" s="10">
        <v>8460</v>
      </c>
      <c r="G225" s="10" t="s">
        <v>15</v>
      </c>
      <c r="H225" s="10" t="s">
        <v>17</v>
      </c>
      <c r="I225" s="10" t="s">
        <v>66</v>
      </c>
      <c r="J225" s="10" t="s">
        <v>19</v>
      </c>
      <c r="K225" s="10" t="s">
        <v>19</v>
      </c>
      <c r="L225" s="10" t="s">
        <v>19</v>
      </c>
      <c r="M225" s="12"/>
      <c r="N225" s="10" t="s">
        <v>20</v>
      </c>
      <c r="O225" s="10" t="s">
        <v>2054</v>
      </c>
      <c r="P225" s="25" t="str">
        <f>IFERROR(
IF(OR(O225="anulado",O225="stand by"),CONCATENATE(O225,": ",H225),
IF(OR(YEAR(M225)=2022,YEAR(M225)=2023),CONCATENATE("Se activó en ",YEAR(M225)),
IF(AND(OR(O225="En proceso",O225="facturando"),AND(J225="-",M225="")),"Por revisar",
IF(M225="",IF(J225="NUEVAS",CONCATENATE("Estado: ",O225,", ",J225),
IF(L225=Meses!$A$3,"Por revisar",
IF(H225="","Sin registro","En programación Frcst."))),"En programación")))),
"Error")</f>
        <v>Por revisar</v>
      </c>
      <c r="Q225" s="9" t="str">
        <f t="shared" si="9"/>
        <v>programación de act. NO, estado: Facturando, Comercializador: DICEL, Etapa: Instalado y Activado</v>
      </c>
      <c r="R225" s="25" t="str">
        <f>IF(P225="En programación Frcst.",VLOOKUP(L225,Meses!$A$1:$H$14,3+HLOOKUP(Cronograma!J225,Meses!$D$1:$G$2,2,FALSE),FALSE),
IF(P225="En programación",M225,""))</f>
        <v/>
      </c>
      <c r="S225" s="25" t="str">
        <f t="shared" si="11"/>
        <v/>
      </c>
      <c r="T225" s="21" t="str">
        <f>IFERROR(
(VLOOKUP(MONTH(R225),Meses!$B$3:$C$14,2,FALSE)-DAY(R225))/VLOOKUP(MONTH(R225),Meses!$B$3:$C$14,2,FALSE)*U225,
"")</f>
        <v/>
      </c>
      <c r="U225" s="22">
        <f t="shared" si="10"/>
        <v>8460</v>
      </c>
    </row>
    <row r="226" spans="1:21" ht="31.8" hidden="1" thickBot="1" x14ac:dyDescent="0.6">
      <c r="A226" s="10" t="s">
        <v>321</v>
      </c>
      <c r="B226" s="10" t="s">
        <v>331</v>
      </c>
      <c r="C226" s="12"/>
      <c r="D226" s="10" t="s">
        <v>323</v>
      </c>
      <c r="E226" s="10" t="s">
        <v>14</v>
      </c>
      <c r="F226" s="10">
        <v>6525</v>
      </c>
      <c r="G226" s="10" t="s">
        <v>15</v>
      </c>
      <c r="H226" s="10" t="s">
        <v>140</v>
      </c>
      <c r="I226" s="10" t="s">
        <v>66</v>
      </c>
      <c r="J226" s="10" t="s">
        <v>19</v>
      </c>
      <c r="K226" s="10" t="s">
        <v>19</v>
      </c>
      <c r="L226" s="10" t="s">
        <v>19</v>
      </c>
      <c r="M226" s="12"/>
      <c r="N226" s="10" t="s">
        <v>20</v>
      </c>
      <c r="O226" s="10" t="s">
        <v>2056</v>
      </c>
      <c r="P226" s="25" t="str">
        <f>IFERROR(
IF(OR(O226="anulado",O226="stand by"),CONCATENATE(O226,": ",H226),
IF(OR(YEAR(M226)=2022,YEAR(M226)=2023),CONCATENATE("Se activó en ",YEAR(M226)),
IF(AND(OR(O226="En proceso",O226="facturando"),AND(J226="-",M226="")),"Por revisar",
IF(M226="",IF(J226="NUEVAS",CONCATENATE("Estado: ",O226,", ",J226),
IF(L226=Meses!$A$3,"Por revisar",
IF(H226="","Sin registro","En programación Frcst."))),"En programación")))),
"Error")</f>
        <v>anulado: Desistido</v>
      </c>
      <c r="Q226" s="9" t="str">
        <f t="shared" si="9"/>
        <v/>
      </c>
      <c r="R226" s="25" t="str">
        <f>IF(P226="En programación Frcst.",VLOOKUP(L226,Meses!$A$1:$H$14,3+HLOOKUP(Cronograma!J226,Meses!$D$1:$G$2,2,FALSE),FALSE),
IF(P226="En programación",M226,""))</f>
        <v/>
      </c>
      <c r="S226" s="25" t="str">
        <f t="shared" si="11"/>
        <v/>
      </c>
      <c r="T226" s="21" t="str">
        <f>IFERROR(
(VLOOKUP(MONTH(R226),Meses!$B$3:$C$14,2,FALSE)-DAY(R226))/VLOOKUP(MONTH(R226),Meses!$B$3:$C$14,2,FALSE)*U226,
"")</f>
        <v/>
      </c>
      <c r="U226" s="22">
        <f t="shared" si="10"/>
        <v>6525</v>
      </c>
    </row>
    <row r="227" spans="1:21" ht="31.8" hidden="1" thickBot="1" x14ac:dyDescent="0.6">
      <c r="A227" s="10" t="s">
        <v>321</v>
      </c>
      <c r="B227" s="10" t="s">
        <v>332</v>
      </c>
      <c r="C227" s="12"/>
      <c r="D227" s="10" t="s">
        <v>14</v>
      </c>
      <c r="E227" s="10" t="s">
        <v>14</v>
      </c>
      <c r="F227" s="10">
        <v>125246</v>
      </c>
      <c r="G227" s="10" t="s">
        <v>15</v>
      </c>
      <c r="H227" s="10" t="s">
        <v>140</v>
      </c>
      <c r="I227" s="10" t="s">
        <v>18</v>
      </c>
      <c r="J227" s="10" t="s">
        <v>19</v>
      </c>
      <c r="K227" s="10" t="s">
        <v>19</v>
      </c>
      <c r="L227" s="10" t="s">
        <v>19</v>
      </c>
      <c r="M227" s="12"/>
      <c r="N227" s="10" t="s">
        <v>20</v>
      </c>
      <c r="O227" s="10" t="s">
        <v>2056</v>
      </c>
      <c r="P227" s="25" t="str">
        <f>IFERROR(
IF(OR(O227="anulado",O227="stand by"),CONCATENATE(O227,": ",H227),
IF(OR(YEAR(M227)=2022,YEAR(M227)=2023),CONCATENATE("Se activó en ",YEAR(M227)),
IF(AND(OR(O227="En proceso",O227="facturando"),AND(J227="-",M227="")),"Por revisar",
IF(M227="",IF(J227="NUEVAS",CONCATENATE("Estado: ",O227,", ",J227),
IF(L227=Meses!$A$3,"Por revisar",
IF(H227="","Sin registro","En programación Frcst."))),"En programación")))),
"Error")</f>
        <v>anulado: Desistido</v>
      </c>
      <c r="Q227" s="9" t="str">
        <f t="shared" si="9"/>
        <v/>
      </c>
      <c r="R227" s="25" t="str">
        <f>IF(P227="En programación Frcst.",VLOOKUP(L227,Meses!$A$1:$H$14,3+HLOOKUP(Cronograma!J227,Meses!$D$1:$G$2,2,FALSE),FALSE),
IF(P227="En programación",M227,""))</f>
        <v/>
      </c>
      <c r="S227" s="25" t="str">
        <f t="shared" si="11"/>
        <v/>
      </c>
      <c r="T227" s="21" t="str">
        <f>IFERROR(
(VLOOKUP(MONTH(R227),Meses!$B$3:$C$14,2,FALSE)-DAY(R227))/VLOOKUP(MONTH(R227),Meses!$B$3:$C$14,2,FALSE)*U227,
"")</f>
        <v/>
      </c>
      <c r="U227" s="22">
        <f t="shared" si="10"/>
        <v>125246</v>
      </c>
    </row>
    <row r="228" spans="1:21" ht="32.4" hidden="1" thickBot="1" x14ac:dyDescent="0.6">
      <c r="A228" s="10" t="s">
        <v>333</v>
      </c>
      <c r="B228" s="10" t="s">
        <v>334</v>
      </c>
      <c r="C228" s="12">
        <v>45057</v>
      </c>
      <c r="D228" s="10" t="s">
        <v>44</v>
      </c>
      <c r="E228" s="10" t="s">
        <v>44</v>
      </c>
      <c r="F228" s="10">
        <v>939</v>
      </c>
      <c r="G228" s="10" t="s">
        <v>15</v>
      </c>
      <c r="H228" s="10" t="s">
        <v>17</v>
      </c>
      <c r="I228" s="10" t="s">
        <v>43</v>
      </c>
      <c r="J228" s="10" t="s">
        <v>19</v>
      </c>
      <c r="K228" s="10" t="s">
        <v>19</v>
      </c>
      <c r="L228" s="10" t="s">
        <v>19</v>
      </c>
      <c r="M228" s="12"/>
      <c r="N228" s="10" t="s">
        <v>20</v>
      </c>
      <c r="O228" s="10" t="s">
        <v>2054</v>
      </c>
      <c r="P228" s="25" t="str">
        <f>IFERROR(
IF(OR(O228="anulado",O228="stand by"),CONCATENATE(O228,": ",H228),
IF(OR(YEAR(M228)=2022,YEAR(M228)=2023),CONCATENATE("Se activó en ",YEAR(M228)),
IF(AND(OR(O228="En proceso",O228="facturando"),AND(J228="-",M228="")),"Por revisar",
IF(M228="",IF(J228="NUEVAS",CONCATENATE("Estado: ",O228,", ",J228),
IF(L228=Meses!$A$3,"Por revisar",
IF(H228="","Sin registro","En programación Frcst."))),"En programación")))),
"Error")</f>
        <v>Por revisar</v>
      </c>
      <c r="Q228" s="9" t="str">
        <f t="shared" si="9"/>
        <v>programación de act. NO, estado: Facturando, Comercializador: AFINIA, Etapa: Instalado y Activado</v>
      </c>
      <c r="R228" s="25" t="str">
        <f>IF(P228="En programación Frcst.",VLOOKUP(L228,Meses!$A$1:$H$14,3+HLOOKUP(Cronograma!J228,Meses!$D$1:$G$2,2,FALSE),FALSE),
IF(P228="En programación",M228,""))</f>
        <v/>
      </c>
      <c r="S228" s="25" t="str">
        <f t="shared" si="11"/>
        <v/>
      </c>
      <c r="T228" s="21" t="str">
        <f>IFERROR(
(VLOOKUP(MONTH(R228),Meses!$B$3:$C$14,2,FALSE)-DAY(R228))/VLOOKUP(MONTH(R228),Meses!$B$3:$C$14,2,FALSE)*U228,
"")</f>
        <v/>
      </c>
      <c r="U228" s="22">
        <f t="shared" si="10"/>
        <v>939</v>
      </c>
    </row>
    <row r="229" spans="1:21" ht="32.4" hidden="1" thickBot="1" x14ac:dyDescent="0.6">
      <c r="A229" s="10" t="s">
        <v>335</v>
      </c>
      <c r="B229" s="10" t="s">
        <v>336</v>
      </c>
      <c r="C229" s="12">
        <v>45008</v>
      </c>
      <c r="D229" s="10" t="s">
        <v>14</v>
      </c>
      <c r="E229" s="10" t="s">
        <v>14</v>
      </c>
      <c r="F229" s="10">
        <v>28272</v>
      </c>
      <c r="G229" s="10" t="s">
        <v>15</v>
      </c>
      <c r="H229" s="10" t="s">
        <v>17</v>
      </c>
      <c r="I229" s="10" t="s">
        <v>18</v>
      </c>
      <c r="J229" s="10" t="s">
        <v>19</v>
      </c>
      <c r="K229" s="10" t="s">
        <v>19</v>
      </c>
      <c r="L229" s="10" t="s">
        <v>19</v>
      </c>
      <c r="M229" s="12"/>
      <c r="N229" s="10" t="s">
        <v>20</v>
      </c>
      <c r="O229" s="10" t="s">
        <v>2054</v>
      </c>
      <c r="P229" s="25" t="str">
        <f>IFERROR(
IF(OR(O229="anulado",O229="stand by"),CONCATENATE(O229,": ",H229),
IF(OR(YEAR(M229)=2022,YEAR(M229)=2023),CONCATENATE("Se activó en ",YEAR(M229)),
IF(AND(OR(O229="En proceso",O229="facturando"),AND(J229="-",M229="")),"Por revisar",
IF(M229="",IF(J229="NUEVAS",CONCATENATE("Estado: ",O229,", ",J229),
IF(L229=Meses!$A$3,"Por revisar",
IF(H229="","Sin registro","En programación Frcst."))),"En programación")))),
"Error")</f>
        <v>Por revisar</v>
      </c>
      <c r="Q229" s="9" t="str">
        <f t="shared" si="9"/>
        <v>programación de act. NO, estado: Facturando, Comercializador: ENEL, Etapa: Instalado y Activado</v>
      </c>
      <c r="R229" s="25" t="str">
        <f>IF(P229="En programación Frcst.",VLOOKUP(L229,Meses!$A$1:$H$14,3+HLOOKUP(Cronograma!J229,Meses!$D$1:$G$2,2,FALSE),FALSE),
IF(P229="En programación",M229,""))</f>
        <v/>
      </c>
      <c r="S229" s="25" t="str">
        <f t="shared" si="11"/>
        <v/>
      </c>
      <c r="T229" s="21" t="str">
        <f>IFERROR(
(VLOOKUP(MONTH(R229),Meses!$B$3:$C$14,2,FALSE)-DAY(R229))/VLOOKUP(MONTH(R229),Meses!$B$3:$C$14,2,FALSE)*U229,
"")</f>
        <v/>
      </c>
      <c r="U229" s="22">
        <f t="shared" si="10"/>
        <v>28272</v>
      </c>
    </row>
    <row r="230" spans="1:21" ht="32.4" hidden="1" thickBot="1" x14ac:dyDescent="0.6">
      <c r="A230" s="10" t="s">
        <v>148</v>
      </c>
      <c r="B230" s="10" t="s">
        <v>337</v>
      </c>
      <c r="C230" s="12">
        <v>45008</v>
      </c>
      <c r="D230" s="10" t="s">
        <v>14</v>
      </c>
      <c r="E230" s="10" t="s">
        <v>14</v>
      </c>
      <c r="F230" s="10">
        <v>1347</v>
      </c>
      <c r="G230" s="10" t="s">
        <v>15</v>
      </c>
      <c r="H230" s="10" t="s">
        <v>17</v>
      </c>
      <c r="I230" s="10" t="s">
        <v>18</v>
      </c>
      <c r="J230" s="10" t="s">
        <v>19</v>
      </c>
      <c r="K230" s="10" t="s">
        <v>19</v>
      </c>
      <c r="L230" s="10" t="s">
        <v>19</v>
      </c>
      <c r="M230" s="12"/>
      <c r="N230" s="10" t="s">
        <v>20</v>
      </c>
      <c r="O230" s="10" t="s">
        <v>2054</v>
      </c>
      <c r="P230" s="25" t="str">
        <f>IFERROR(
IF(OR(O230="anulado",O230="stand by"),CONCATENATE(O230,": ",H230),
IF(OR(YEAR(M230)=2022,YEAR(M230)=2023),CONCATENATE("Se activó en ",YEAR(M230)),
IF(AND(OR(O230="En proceso",O230="facturando"),AND(J230="-",M230="")),"Por revisar",
IF(M230="",IF(J230="NUEVAS",CONCATENATE("Estado: ",O230,", ",J230),
IF(L230=Meses!$A$3,"Por revisar",
IF(H230="","Sin registro","En programación Frcst."))),"En programación")))),
"Error")</f>
        <v>Por revisar</v>
      </c>
      <c r="Q230" s="9" t="str">
        <f t="shared" si="9"/>
        <v>programación de act. NO, estado: Facturando, Comercializador: ENEL, Etapa: Instalado y Activado</v>
      </c>
      <c r="R230" s="25" t="str">
        <f>IF(P230="En programación Frcst.",VLOOKUP(L230,Meses!$A$1:$H$14,3+HLOOKUP(Cronograma!J230,Meses!$D$1:$G$2,2,FALSE),FALSE),
IF(P230="En programación",M230,""))</f>
        <v/>
      </c>
      <c r="S230" s="25" t="str">
        <f t="shared" si="11"/>
        <v/>
      </c>
      <c r="T230" s="21" t="str">
        <f>IFERROR(
(VLOOKUP(MONTH(R230),Meses!$B$3:$C$14,2,FALSE)-DAY(R230))/VLOOKUP(MONTH(R230),Meses!$B$3:$C$14,2,FALSE)*U230,
"")</f>
        <v/>
      </c>
      <c r="U230" s="22">
        <f t="shared" si="10"/>
        <v>1347</v>
      </c>
    </row>
    <row r="231" spans="1:21" ht="32.4" hidden="1" thickBot="1" x14ac:dyDescent="0.6">
      <c r="A231" s="10" t="s">
        <v>148</v>
      </c>
      <c r="B231" s="10" t="s">
        <v>338</v>
      </c>
      <c r="C231" s="12">
        <v>45008</v>
      </c>
      <c r="D231" s="10" t="s">
        <v>14</v>
      </c>
      <c r="E231" s="10" t="s">
        <v>14</v>
      </c>
      <c r="F231" s="10">
        <v>420</v>
      </c>
      <c r="G231" s="10" t="s">
        <v>15</v>
      </c>
      <c r="H231" s="10" t="s">
        <v>17</v>
      </c>
      <c r="I231" s="10" t="s">
        <v>18</v>
      </c>
      <c r="J231" s="10" t="s">
        <v>19</v>
      </c>
      <c r="K231" s="10" t="s">
        <v>19</v>
      </c>
      <c r="L231" s="10" t="s">
        <v>19</v>
      </c>
      <c r="M231" s="12"/>
      <c r="N231" s="10" t="s">
        <v>20</v>
      </c>
      <c r="O231" s="10" t="s">
        <v>2054</v>
      </c>
      <c r="P231" s="25" t="str">
        <f>IFERROR(
IF(OR(O231="anulado",O231="stand by"),CONCATENATE(O231,": ",H231),
IF(OR(YEAR(M231)=2022,YEAR(M231)=2023),CONCATENATE("Se activó en ",YEAR(M231)),
IF(AND(OR(O231="En proceso",O231="facturando"),AND(J231="-",M231="")),"Por revisar",
IF(M231="",IF(J231="NUEVAS",CONCATENATE("Estado: ",O231,", ",J231),
IF(L231=Meses!$A$3,"Por revisar",
IF(H231="","Sin registro","En programación Frcst."))),"En programación")))),
"Error")</f>
        <v>Por revisar</v>
      </c>
      <c r="Q231" s="9" t="str">
        <f t="shared" si="9"/>
        <v>programación de act. NO, estado: Facturando, Comercializador: ENEL, Etapa: Instalado y Activado</v>
      </c>
      <c r="R231" s="25" t="str">
        <f>IF(P231="En programación Frcst.",VLOOKUP(L231,Meses!$A$1:$H$14,3+HLOOKUP(Cronograma!J231,Meses!$D$1:$G$2,2,FALSE),FALSE),
IF(P231="En programación",M231,""))</f>
        <v/>
      </c>
      <c r="S231" s="25" t="str">
        <f t="shared" si="11"/>
        <v/>
      </c>
      <c r="T231" s="21" t="str">
        <f>IFERROR(
(VLOOKUP(MONTH(R231),Meses!$B$3:$C$14,2,FALSE)-DAY(R231))/VLOOKUP(MONTH(R231),Meses!$B$3:$C$14,2,FALSE)*U231,
"")</f>
        <v/>
      </c>
      <c r="U231" s="22">
        <f t="shared" si="10"/>
        <v>420</v>
      </c>
    </row>
    <row r="232" spans="1:21" ht="32.4" hidden="1" thickBot="1" x14ac:dyDescent="0.6">
      <c r="A232" s="10" t="s">
        <v>148</v>
      </c>
      <c r="B232" s="10" t="s">
        <v>339</v>
      </c>
      <c r="C232" s="12">
        <v>45008</v>
      </c>
      <c r="D232" s="10" t="s">
        <v>14</v>
      </c>
      <c r="E232" s="10" t="s">
        <v>14</v>
      </c>
      <c r="F232" s="10">
        <v>500</v>
      </c>
      <c r="G232" s="10" t="s">
        <v>15</v>
      </c>
      <c r="H232" s="10" t="s">
        <v>17</v>
      </c>
      <c r="I232" s="10" t="s">
        <v>18</v>
      </c>
      <c r="J232" s="10" t="s">
        <v>19</v>
      </c>
      <c r="K232" s="10" t="s">
        <v>19</v>
      </c>
      <c r="L232" s="10" t="s">
        <v>19</v>
      </c>
      <c r="M232" s="12"/>
      <c r="N232" s="10" t="s">
        <v>20</v>
      </c>
      <c r="O232" s="10" t="s">
        <v>2054</v>
      </c>
      <c r="P232" s="25" t="str">
        <f>IFERROR(
IF(OR(O232="anulado",O232="stand by"),CONCATENATE(O232,": ",H232),
IF(OR(YEAR(M232)=2022,YEAR(M232)=2023),CONCATENATE("Se activó en ",YEAR(M232)),
IF(AND(OR(O232="En proceso",O232="facturando"),AND(J232="-",M232="")),"Por revisar",
IF(M232="",IF(J232="NUEVAS",CONCATENATE("Estado: ",O232,", ",J232),
IF(L232=Meses!$A$3,"Por revisar",
IF(H232="","Sin registro","En programación Frcst."))),"En programación")))),
"Error")</f>
        <v>Por revisar</v>
      </c>
      <c r="Q232" s="9" t="str">
        <f t="shared" si="9"/>
        <v>programación de act. NO, estado: Facturando, Comercializador: ENEL, Etapa: Instalado y Activado</v>
      </c>
      <c r="R232" s="25" t="str">
        <f>IF(P232="En programación Frcst.",VLOOKUP(L232,Meses!$A$1:$H$14,3+HLOOKUP(Cronograma!J232,Meses!$D$1:$G$2,2,FALSE),FALSE),
IF(P232="En programación",M232,""))</f>
        <v/>
      </c>
      <c r="S232" s="25" t="str">
        <f t="shared" si="11"/>
        <v/>
      </c>
      <c r="T232" s="21" t="str">
        <f>IFERROR(
(VLOOKUP(MONTH(R232),Meses!$B$3:$C$14,2,FALSE)-DAY(R232))/VLOOKUP(MONTH(R232),Meses!$B$3:$C$14,2,FALSE)*U232,
"")</f>
        <v/>
      </c>
      <c r="U232" s="22">
        <f t="shared" si="10"/>
        <v>500</v>
      </c>
    </row>
    <row r="233" spans="1:21" ht="32.4" hidden="1" thickBot="1" x14ac:dyDescent="0.6">
      <c r="A233" s="10" t="s">
        <v>340</v>
      </c>
      <c r="B233" s="10" t="s">
        <v>341</v>
      </c>
      <c r="C233" s="12">
        <v>45015</v>
      </c>
      <c r="D233" s="10" t="s">
        <v>14</v>
      </c>
      <c r="E233" s="10" t="s">
        <v>14</v>
      </c>
      <c r="F233" s="10">
        <v>10194</v>
      </c>
      <c r="G233" s="10" t="s">
        <v>15</v>
      </c>
      <c r="H233" s="10" t="s">
        <v>17</v>
      </c>
      <c r="I233" s="10" t="s">
        <v>18</v>
      </c>
      <c r="J233" s="10" t="s">
        <v>19</v>
      </c>
      <c r="K233" s="10" t="s">
        <v>19</v>
      </c>
      <c r="L233" s="10" t="s">
        <v>19</v>
      </c>
      <c r="M233" s="12"/>
      <c r="N233" s="10" t="s">
        <v>20</v>
      </c>
      <c r="O233" s="10" t="s">
        <v>2054</v>
      </c>
      <c r="P233" s="25" t="str">
        <f>IFERROR(
IF(OR(O233="anulado",O233="stand by"),CONCATENATE(O233,": ",H233),
IF(OR(YEAR(M233)=2022,YEAR(M233)=2023),CONCATENATE("Se activó en ",YEAR(M233)),
IF(AND(OR(O233="En proceso",O233="facturando"),AND(J233="-",M233="")),"Por revisar",
IF(M233="",IF(J233="NUEVAS",CONCATENATE("Estado: ",O233,", ",J233),
IF(L233=Meses!$A$3,"Por revisar",
IF(H233="","Sin registro","En programación Frcst."))),"En programación")))),
"Error")</f>
        <v>Por revisar</v>
      </c>
      <c r="Q233" s="9" t="str">
        <f t="shared" si="9"/>
        <v>programación de act. NO, estado: Facturando, Comercializador: ENEL, Etapa: Instalado y Activado</v>
      </c>
      <c r="R233" s="25" t="str">
        <f>IF(P233="En programación Frcst.",VLOOKUP(L233,Meses!$A$1:$H$14,3+HLOOKUP(Cronograma!J233,Meses!$D$1:$G$2,2,FALSE),FALSE),
IF(P233="En programación",M233,""))</f>
        <v/>
      </c>
      <c r="S233" s="25" t="str">
        <f t="shared" si="11"/>
        <v/>
      </c>
      <c r="T233" s="21" t="str">
        <f>IFERROR(
(VLOOKUP(MONTH(R233),Meses!$B$3:$C$14,2,FALSE)-DAY(R233))/VLOOKUP(MONTH(R233),Meses!$B$3:$C$14,2,FALSE)*U233,
"")</f>
        <v/>
      </c>
      <c r="U233" s="22">
        <f t="shared" si="10"/>
        <v>10194</v>
      </c>
    </row>
    <row r="234" spans="1:21" ht="32.4" hidden="1" thickBot="1" x14ac:dyDescent="0.6">
      <c r="A234" s="10" t="s">
        <v>340</v>
      </c>
      <c r="B234" s="10" t="s">
        <v>342</v>
      </c>
      <c r="C234" s="12">
        <v>45015</v>
      </c>
      <c r="D234" s="10" t="s">
        <v>14</v>
      </c>
      <c r="E234" s="10" t="s">
        <v>14</v>
      </c>
      <c r="F234" s="10">
        <v>416</v>
      </c>
      <c r="G234" s="10" t="s">
        <v>15</v>
      </c>
      <c r="H234" s="10" t="s">
        <v>17</v>
      </c>
      <c r="I234" s="10" t="s">
        <v>18</v>
      </c>
      <c r="J234" s="10" t="s">
        <v>19</v>
      </c>
      <c r="K234" s="10" t="s">
        <v>19</v>
      </c>
      <c r="L234" s="10" t="s">
        <v>19</v>
      </c>
      <c r="M234" s="12"/>
      <c r="N234" s="10" t="s">
        <v>20</v>
      </c>
      <c r="O234" s="10" t="s">
        <v>2054</v>
      </c>
      <c r="P234" s="25" t="str">
        <f>IFERROR(
IF(OR(O234="anulado",O234="stand by"),CONCATENATE(O234,": ",H234),
IF(OR(YEAR(M234)=2022,YEAR(M234)=2023),CONCATENATE("Se activó en ",YEAR(M234)),
IF(AND(OR(O234="En proceso",O234="facturando"),AND(J234="-",M234="")),"Por revisar",
IF(M234="",IF(J234="NUEVAS",CONCATENATE("Estado: ",O234,", ",J234),
IF(L234=Meses!$A$3,"Por revisar",
IF(H234="","Sin registro","En programación Frcst."))),"En programación")))),
"Error")</f>
        <v>Por revisar</v>
      </c>
      <c r="Q234" s="9" t="str">
        <f t="shared" si="9"/>
        <v>programación de act. NO, estado: Facturando, Comercializador: ENEL, Etapa: Instalado y Activado</v>
      </c>
      <c r="R234" s="25" t="str">
        <f>IF(P234="En programación Frcst.",VLOOKUP(L234,Meses!$A$1:$H$14,3+HLOOKUP(Cronograma!J234,Meses!$D$1:$G$2,2,FALSE),FALSE),
IF(P234="En programación",M234,""))</f>
        <v/>
      </c>
      <c r="S234" s="25" t="str">
        <f t="shared" si="11"/>
        <v/>
      </c>
      <c r="T234" s="21" t="str">
        <f>IFERROR(
(VLOOKUP(MONTH(R234),Meses!$B$3:$C$14,2,FALSE)-DAY(R234))/VLOOKUP(MONTH(R234),Meses!$B$3:$C$14,2,FALSE)*U234,
"")</f>
        <v/>
      </c>
      <c r="U234" s="22">
        <f t="shared" si="10"/>
        <v>416</v>
      </c>
    </row>
    <row r="235" spans="1:21" ht="32.4" hidden="1" thickBot="1" x14ac:dyDescent="0.6">
      <c r="A235" s="10" t="s">
        <v>343</v>
      </c>
      <c r="B235" s="10" t="s">
        <v>345</v>
      </c>
      <c r="C235" s="12">
        <v>45015</v>
      </c>
      <c r="D235" s="10" t="s">
        <v>14</v>
      </c>
      <c r="E235" s="10" t="s">
        <v>14</v>
      </c>
      <c r="F235" s="10">
        <v>2400</v>
      </c>
      <c r="G235" s="10" t="s">
        <v>15</v>
      </c>
      <c r="H235" s="10" t="s">
        <v>17</v>
      </c>
      <c r="I235" s="10" t="s">
        <v>18</v>
      </c>
      <c r="J235" s="10" t="s">
        <v>19</v>
      </c>
      <c r="K235" s="10" t="s">
        <v>19</v>
      </c>
      <c r="L235" s="10" t="s">
        <v>19</v>
      </c>
      <c r="M235" s="12"/>
      <c r="N235" s="10" t="s">
        <v>20</v>
      </c>
      <c r="O235" s="10" t="s">
        <v>2054</v>
      </c>
      <c r="P235" s="25" t="str">
        <f>IFERROR(
IF(OR(O235="anulado",O235="stand by"),CONCATENATE(O235,": ",H235),
IF(OR(YEAR(M235)=2022,YEAR(M235)=2023),CONCATENATE("Se activó en ",YEAR(M235)),
IF(AND(OR(O235="En proceso",O235="facturando"),AND(J235="-",M235="")),"Por revisar",
IF(M235="",IF(J235="NUEVAS",CONCATENATE("Estado: ",O235,", ",J235),
IF(L235=Meses!$A$3,"Por revisar",
IF(H235="","Sin registro","En programación Frcst."))),"En programación")))),
"Error")</f>
        <v>Por revisar</v>
      </c>
      <c r="Q235" s="9" t="str">
        <f t="shared" si="9"/>
        <v>programación de act. NO, estado: Facturando, Comercializador: ENEL, Etapa: Instalado y Activado</v>
      </c>
      <c r="R235" s="25" t="str">
        <f>IF(P235="En programación Frcst.",VLOOKUP(L235,Meses!$A$1:$H$14,3+HLOOKUP(Cronograma!J235,Meses!$D$1:$G$2,2,FALSE),FALSE),
IF(P235="En programación",M235,""))</f>
        <v/>
      </c>
      <c r="S235" s="25" t="str">
        <f t="shared" si="11"/>
        <v/>
      </c>
      <c r="T235" s="21" t="str">
        <f>IFERROR(
(VLOOKUP(MONTH(R235),Meses!$B$3:$C$14,2,FALSE)-DAY(R235))/VLOOKUP(MONTH(R235),Meses!$B$3:$C$14,2,FALSE)*U235,
"")</f>
        <v/>
      </c>
      <c r="U235" s="22">
        <f t="shared" si="10"/>
        <v>2400</v>
      </c>
    </row>
    <row r="236" spans="1:21" ht="32.4" hidden="1" thickBot="1" x14ac:dyDescent="0.6">
      <c r="A236" s="10" t="s">
        <v>343</v>
      </c>
      <c r="B236" s="10" t="s">
        <v>346</v>
      </c>
      <c r="C236" s="12">
        <v>45015</v>
      </c>
      <c r="D236" s="10" t="s">
        <v>14</v>
      </c>
      <c r="E236" s="10" t="s">
        <v>14</v>
      </c>
      <c r="F236" s="10">
        <v>1804</v>
      </c>
      <c r="G236" s="10" t="s">
        <v>15</v>
      </c>
      <c r="H236" s="10" t="s">
        <v>17</v>
      </c>
      <c r="I236" s="10" t="s">
        <v>18</v>
      </c>
      <c r="J236" s="10" t="s">
        <v>19</v>
      </c>
      <c r="K236" s="10" t="s">
        <v>19</v>
      </c>
      <c r="L236" s="10" t="s">
        <v>19</v>
      </c>
      <c r="M236" s="12"/>
      <c r="N236" s="10" t="s">
        <v>20</v>
      </c>
      <c r="O236" s="10" t="s">
        <v>2054</v>
      </c>
      <c r="P236" s="25" t="str">
        <f>IFERROR(
IF(OR(O236="anulado",O236="stand by"),CONCATENATE(O236,": ",H236),
IF(OR(YEAR(M236)=2022,YEAR(M236)=2023),CONCATENATE("Se activó en ",YEAR(M236)),
IF(AND(OR(O236="En proceso",O236="facturando"),AND(J236="-",M236="")),"Por revisar",
IF(M236="",IF(J236="NUEVAS",CONCATENATE("Estado: ",O236,", ",J236),
IF(L236=Meses!$A$3,"Por revisar",
IF(H236="","Sin registro","En programación Frcst."))),"En programación")))),
"Error")</f>
        <v>Por revisar</v>
      </c>
      <c r="Q236" s="9" t="str">
        <f t="shared" si="9"/>
        <v>programación de act. NO, estado: Facturando, Comercializador: ENEL, Etapa: Instalado y Activado</v>
      </c>
      <c r="R236" s="25" t="str">
        <f>IF(P236="En programación Frcst.",VLOOKUP(L236,Meses!$A$1:$H$14,3+HLOOKUP(Cronograma!J236,Meses!$D$1:$G$2,2,FALSE),FALSE),
IF(P236="En programación",M236,""))</f>
        <v/>
      </c>
      <c r="S236" s="25" t="str">
        <f t="shared" si="11"/>
        <v/>
      </c>
      <c r="T236" s="21" t="str">
        <f>IFERROR(
(VLOOKUP(MONTH(R236),Meses!$B$3:$C$14,2,FALSE)-DAY(R236))/VLOOKUP(MONTH(R236),Meses!$B$3:$C$14,2,FALSE)*U236,
"")</f>
        <v/>
      </c>
      <c r="U236" s="22">
        <f t="shared" si="10"/>
        <v>1804</v>
      </c>
    </row>
    <row r="237" spans="1:21" ht="32.4" hidden="1" thickBot="1" x14ac:dyDescent="0.6">
      <c r="A237" s="10" t="s">
        <v>318</v>
      </c>
      <c r="B237" s="10" t="s">
        <v>347</v>
      </c>
      <c r="C237" s="12">
        <v>45022</v>
      </c>
      <c r="D237" s="10" t="s">
        <v>14</v>
      </c>
      <c r="E237" s="10" t="s">
        <v>14</v>
      </c>
      <c r="F237" s="10">
        <v>10200</v>
      </c>
      <c r="G237" s="10" t="s">
        <v>15</v>
      </c>
      <c r="H237" s="10" t="s">
        <v>17</v>
      </c>
      <c r="I237" s="10" t="s">
        <v>18</v>
      </c>
      <c r="J237" s="10" t="s">
        <v>19</v>
      </c>
      <c r="K237" s="10" t="s">
        <v>19</v>
      </c>
      <c r="L237" s="10" t="s">
        <v>19</v>
      </c>
      <c r="M237" s="12"/>
      <c r="N237" s="10" t="s">
        <v>20</v>
      </c>
      <c r="O237" s="10" t="s">
        <v>2054</v>
      </c>
      <c r="P237" s="25" t="str">
        <f>IFERROR(
IF(OR(O237="anulado",O237="stand by"),CONCATENATE(O237,": ",H237),
IF(OR(YEAR(M237)=2022,YEAR(M237)=2023),CONCATENATE("Se activó en ",YEAR(M237)),
IF(AND(OR(O237="En proceso",O237="facturando"),AND(J237="-",M237="")),"Por revisar",
IF(M237="",IF(J237="NUEVAS",CONCATENATE("Estado: ",O237,", ",J237),
IF(L237=Meses!$A$3,"Por revisar",
IF(H237="","Sin registro","En programación Frcst."))),"En programación")))),
"Error")</f>
        <v>Por revisar</v>
      </c>
      <c r="Q237" s="9" t="str">
        <f t="shared" si="9"/>
        <v>programación de act. NO, estado: Facturando, Comercializador: ENEL, Etapa: Instalado y Activado</v>
      </c>
      <c r="R237" s="25" t="str">
        <f>IF(P237="En programación Frcst.",VLOOKUP(L237,Meses!$A$1:$H$14,3+HLOOKUP(Cronograma!J237,Meses!$D$1:$G$2,2,FALSE),FALSE),
IF(P237="En programación",M237,""))</f>
        <v/>
      </c>
      <c r="S237" s="25" t="str">
        <f t="shared" si="11"/>
        <v/>
      </c>
      <c r="T237" s="21" t="str">
        <f>IFERROR(
(VLOOKUP(MONTH(R237),Meses!$B$3:$C$14,2,FALSE)-DAY(R237))/VLOOKUP(MONTH(R237),Meses!$B$3:$C$14,2,FALSE)*U237,
"")</f>
        <v/>
      </c>
      <c r="U237" s="22">
        <f t="shared" si="10"/>
        <v>10200</v>
      </c>
    </row>
    <row r="238" spans="1:21" ht="32.4" hidden="1" thickBot="1" x14ac:dyDescent="0.6">
      <c r="A238" s="10" t="s">
        <v>318</v>
      </c>
      <c r="B238" s="10" t="s">
        <v>348</v>
      </c>
      <c r="C238" s="12">
        <v>45022</v>
      </c>
      <c r="D238" s="10" t="s">
        <v>14</v>
      </c>
      <c r="E238" s="10" t="s">
        <v>14</v>
      </c>
      <c r="F238" s="10">
        <v>3460</v>
      </c>
      <c r="G238" s="10" t="s">
        <v>15</v>
      </c>
      <c r="H238" s="10" t="s">
        <v>17</v>
      </c>
      <c r="I238" s="10" t="s">
        <v>18</v>
      </c>
      <c r="J238" s="10" t="s">
        <v>19</v>
      </c>
      <c r="K238" s="10" t="s">
        <v>19</v>
      </c>
      <c r="L238" s="10" t="s">
        <v>19</v>
      </c>
      <c r="M238" s="12"/>
      <c r="N238" s="10" t="s">
        <v>20</v>
      </c>
      <c r="O238" s="10" t="s">
        <v>2054</v>
      </c>
      <c r="P238" s="25" t="str">
        <f>IFERROR(
IF(OR(O238="anulado",O238="stand by"),CONCATENATE(O238,": ",H238),
IF(OR(YEAR(M238)=2022,YEAR(M238)=2023),CONCATENATE("Se activó en ",YEAR(M238)),
IF(AND(OR(O238="En proceso",O238="facturando"),AND(J238="-",M238="")),"Por revisar",
IF(M238="",IF(J238="NUEVAS",CONCATENATE("Estado: ",O238,", ",J238),
IF(L238=Meses!$A$3,"Por revisar",
IF(H238="","Sin registro","En programación Frcst."))),"En programación")))),
"Error")</f>
        <v>Por revisar</v>
      </c>
      <c r="Q238" s="9" t="str">
        <f t="shared" si="9"/>
        <v>programación de act. NO, estado: Facturando, Comercializador: ENEL, Etapa: Instalado y Activado</v>
      </c>
      <c r="R238" s="25" t="str">
        <f>IF(P238="En programación Frcst.",VLOOKUP(L238,Meses!$A$1:$H$14,3+HLOOKUP(Cronograma!J238,Meses!$D$1:$G$2,2,FALSE),FALSE),
IF(P238="En programación",M238,""))</f>
        <v/>
      </c>
      <c r="S238" s="25" t="str">
        <f t="shared" si="11"/>
        <v/>
      </c>
      <c r="T238" s="21" t="str">
        <f>IFERROR(
(VLOOKUP(MONTH(R238),Meses!$B$3:$C$14,2,FALSE)-DAY(R238))/VLOOKUP(MONTH(R238),Meses!$B$3:$C$14,2,FALSE)*U238,
"")</f>
        <v/>
      </c>
      <c r="U238" s="22">
        <f t="shared" si="10"/>
        <v>3460</v>
      </c>
    </row>
    <row r="239" spans="1:21" ht="31.8" hidden="1" thickBot="1" x14ac:dyDescent="0.6">
      <c r="A239" s="10" t="s">
        <v>349</v>
      </c>
      <c r="B239" s="10" t="s">
        <v>350</v>
      </c>
      <c r="C239" s="12"/>
      <c r="D239" s="10" t="s">
        <v>14</v>
      </c>
      <c r="E239" s="10" t="s">
        <v>14</v>
      </c>
      <c r="F239" s="10">
        <v>20962</v>
      </c>
      <c r="G239" s="10" t="s">
        <v>15</v>
      </c>
      <c r="H239" s="10" t="s">
        <v>140</v>
      </c>
      <c r="I239" s="10" t="s">
        <v>18</v>
      </c>
      <c r="J239" s="10" t="s">
        <v>19</v>
      </c>
      <c r="K239" s="10" t="s">
        <v>19</v>
      </c>
      <c r="L239" s="10" t="s">
        <v>19</v>
      </c>
      <c r="M239" s="12"/>
      <c r="N239" s="10" t="s">
        <v>20</v>
      </c>
      <c r="O239" s="10" t="s">
        <v>2056</v>
      </c>
      <c r="P239" s="25" t="str">
        <f>IFERROR(
IF(OR(O239="anulado",O239="stand by"),CONCATENATE(O239,": ",H239),
IF(OR(YEAR(M239)=2022,YEAR(M239)=2023),CONCATENATE("Se activó en ",YEAR(M239)),
IF(AND(OR(O239="En proceso",O239="facturando"),AND(J239="-",M239="")),"Por revisar",
IF(M239="",IF(J239="NUEVAS",CONCATENATE("Estado: ",O239,", ",J239),
IF(L239=Meses!$A$3,"Por revisar",
IF(H239="","Sin registro","En programación Frcst."))),"En programación")))),
"Error")</f>
        <v>anulado: Desistido</v>
      </c>
      <c r="Q239" s="9" t="str">
        <f t="shared" si="9"/>
        <v/>
      </c>
      <c r="R239" s="25" t="str">
        <f>IF(P239="En programación Frcst.",VLOOKUP(L239,Meses!$A$1:$H$14,3+HLOOKUP(Cronograma!J239,Meses!$D$1:$G$2,2,FALSE),FALSE),
IF(P239="En programación",M239,""))</f>
        <v/>
      </c>
      <c r="S239" s="25" t="str">
        <f t="shared" si="11"/>
        <v/>
      </c>
      <c r="T239" s="21" t="str">
        <f>IFERROR(
(VLOOKUP(MONTH(R239),Meses!$B$3:$C$14,2,FALSE)-DAY(R239))/VLOOKUP(MONTH(R239),Meses!$B$3:$C$14,2,FALSE)*U239,
"")</f>
        <v/>
      </c>
      <c r="U239" s="22">
        <f t="shared" si="10"/>
        <v>20962</v>
      </c>
    </row>
    <row r="240" spans="1:21" ht="32.4" hidden="1" thickBot="1" x14ac:dyDescent="0.6">
      <c r="A240" s="10" t="s">
        <v>351</v>
      </c>
      <c r="B240" s="10" t="s">
        <v>352</v>
      </c>
      <c r="C240" s="12">
        <v>45015</v>
      </c>
      <c r="D240" s="10" t="s">
        <v>14</v>
      </c>
      <c r="E240" s="10" t="s">
        <v>14</v>
      </c>
      <c r="F240" s="10">
        <v>4706</v>
      </c>
      <c r="G240" s="10" t="s">
        <v>15</v>
      </c>
      <c r="H240" s="10" t="s">
        <v>17</v>
      </c>
      <c r="I240" s="10" t="s">
        <v>18</v>
      </c>
      <c r="J240" s="10" t="s">
        <v>19</v>
      </c>
      <c r="K240" s="10" t="s">
        <v>19</v>
      </c>
      <c r="L240" s="10" t="s">
        <v>19</v>
      </c>
      <c r="M240" s="12"/>
      <c r="N240" s="10" t="s">
        <v>20</v>
      </c>
      <c r="O240" s="10" t="s">
        <v>2054</v>
      </c>
      <c r="P240" s="25" t="str">
        <f>IFERROR(
IF(OR(O240="anulado",O240="stand by"),CONCATENATE(O240,": ",H240),
IF(OR(YEAR(M240)=2022,YEAR(M240)=2023),CONCATENATE("Se activó en ",YEAR(M240)),
IF(AND(OR(O240="En proceso",O240="facturando"),AND(J240="-",M240="")),"Por revisar",
IF(M240="",IF(J240="NUEVAS",CONCATENATE("Estado: ",O240,", ",J240),
IF(L240=Meses!$A$3,"Por revisar",
IF(H240="","Sin registro","En programación Frcst."))),"En programación")))),
"Error")</f>
        <v>Por revisar</v>
      </c>
      <c r="Q240" s="9" t="str">
        <f t="shared" si="9"/>
        <v>programación de act. NO, estado: Facturando, Comercializador: ENEL, Etapa: Instalado y Activado</v>
      </c>
      <c r="R240" s="25" t="str">
        <f>IF(P240="En programación Frcst.",VLOOKUP(L240,Meses!$A$1:$H$14,3+HLOOKUP(Cronograma!J240,Meses!$D$1:$G$2,2,FALSE),FALSE),
IF(P240="En programación",M240,""))</f>
        <v/>
      </c>
      <c r="S240" s="25" t="str">
        <f t="shared" si="11"/>
        <v/>
      </c>
      <c r="T240" s="21" t="str">
        <f>IFERROR(
(VLOOKUP(MONTH(R240),Meses!$B$3:$C$14,2,FALSE)-DAY(R240))/VLOOKUP(MONTH(R240),Meses!$B$3:$C$14,2,FALSE)*U240,
"")</f>
        <v/>
      </c>
      <c r="U240" s="22">
        <f t="shared" si="10"/>
        <v>4706</v>
      </c>
    </row>
    <row r="241" spans="1:21" ht="31.8" hidden="1" thickBot="1" x14ac:dyDescent="0.6">
      <c r="A241" s="10" t="s">
        <v>351</v>
      </c>
      <c r="B241" s="10" t="s">
        <v>353</v>
      </c>
      <c r="C241" s="12"/>
      <c r="D241" s="10" t="s">
        <v>14</v>
      </c>
      <c r="E241" s="10" t="s">
        <v>14</v>
      </c>
      <c r="F241" s="10">
        <v>4552</v>
      </c>
      <c r="G241" s="10" t="s">
        <v>15</v>
      </c>
      <c r="H241" s="10" t="s">
        <v>140</v>
      </c>
      <c r="I241" s="10" t="s">
        <v>18</v>
      </c>
      <c r="J241" s="10" t="s">
        <v>19</v>
      </c>
      <c r="K241" s="10" t="s">
        <v>19</v>
      </c>
      <c r="L241" s="10" t="s">
        <v>19</v>
      </c>
      <c r="M241" s="12"/>
      <c r="N241" s="10" t="s">
        <v>20</v>
      </c>
      <c r="O241" s="10" t="s">
        <v>2056</v>
      </c>
      <c r="P241" s="25" t="str">
        <f>IFERROR(
IF(OR(O241="anulado",O241="stand by"),CONCATENATE(O241,": ",H241),
IF(OR(YEAR(M241)=2022,YEAR(M241)=2023),CONCATENATE("Se activó en ",YEAR(M241)),
IF(AND(OR(O241="En proceso",O241="facturando"),AND(J241="-",M241="")),"Por revisar",
IF(M241="",IF(J241="NUEVAS",CONCATENATE("Estado: ",O241,", ",J241),
IF(L241=Meses!$A$3,"Por revisar",
IF(H241="","Sin registro","En programación Frcst."))),"En programación")))),
"Error")</f>
        <v>anulado: Desistido</v>
      </c>
      <c r="Q241" s="9" t="str">
        <f t="shared" si="9"/>
        <v/>
      </c>
      <c r="R241" s="25" t="str">
        <f>IF(P241="En programación Frcst.",VLOOKUP(L241,Meses!$A$1:$H$14,3+HLOOKUP(Cronograma!J241,Meses!$D$1:$G$2,2,FALSE),FALSE),
IF(P241="En programación",M241,""))</f>
        <v/>
      </c>
      <c r="S241" s="25" t="str">
        <f t="shared" si="11"/>
        <v/>
      </c>
      <c r="T241" s="21" t="str">
        <f>IFERROR(
(VLOOKUP(MONTH(R241),Meses!$B$3:$C$14,2,FALSE)-DAY(R241))/VLOOKUP(MONTH(R241),Meses!$B$3:$C$14,2,FALSE)*U241,
"")</f>
        <v/>
      </c>
      <c r="U241" s="22">
        <f t="shared" si="10"/>
        <v>4552</v>
      </c>
    </row>
    <row r="242" spans="1:21" ht="32.4" hidden="1" thickBot="1" x14ac:dyDescent="0.6">
      <c r="A242" s="10" t="s">
        <v>351</v>
      </c>
      <c r="B242" s="10" t="s">
        <v>354</v>
      </c>
      <c r="C242" s="12">
        <v>45015</v>
      </c>
      <c r="D242" s="10" t="s">
        <v>14</v>
      </c>
      <c r="E242" s="10" t="s">
        <v>14</v>
      </c>
      <c r="F242" s="10">
        <v>3478</v>
      </c>
      <c r="G242" s="10" t="s">
        <v>15</v>
      </c>
      <c r="H242" s="10" t="s">
        <v>17</v>
      </c>
      <c r="I242" s="10" t="s">
        <v>18</v>
      </c>
      <c r="J242" s="10" t="s">
        <v>19</v>
      </c>
      <c r="K242" s="10" t="s">
        <v>19</v>
      </c>
      <c r="L242" s="10" t="s">
        <v>19</v>
      </c>
      <c r="M242" s="12"/>
      <c r="N242" s="10" t="s">
        <v>20</v>
      </c>
      <c r="O242" s="10" t="s">
        <v>2054</v>
      </c>
      <c r="P242" s="25" t="str">
        <f>IFERROR(
IF(OR(O242="anulado",O242="stand by"),CONCATENATE(O242,": ",H242),
IF(OR(YEAR(M242)=2022,YEAR(M242)=2023),CONCATENATE("Se activó en ",YEAR(M242)),
IF(AND(OR(O242="En proceso",O242="facturando"),AND(J242="-",M242="")),"Por revisar",
IF(M242="",IF(J242="NUEVAS",CONCATENATE("Estado: ",O242,", ",J242),
IF(L242=Meses!$A$3,"Por revisar",
IF(H242="","Sin registro","En programación Frcst."))),"En programación")))),
"Error")</f>
        <v>Por revisar</v>
      </c>
      <c r="Q242" s="9" t="str">
        <f t="shared" si="9"/>
        <v>programación de act. NO, estado: Facturando, Comercializador: ENEL, Etapa: Instalado y Activado</v>
      </c>
      <c r="R242" s="25" t="str">
        <f>IF(P242="En programación Frcst.",VLOOKUP(L242,Meses!$A$1:$H$14,3+HLOOKUP(Cronograma!J242,Meses!$D$1:$G$2,2,FALSE),FALSE),
IF(P242="En programación",M242,""))</f>
        <v/>
      </c>
      <c r="S242" s="25" t="str">
        <f t="shared" si="11"/>
        <v/>
      </c>
      <c r="T242" s="21" t="str">
        <f>IFERROR(
(VLOOKUP(MONTH(R242),Meses!$B$3:$C$14,2,FALSE)-DAY(R242))/VLOOKUP(MONTH(R242),Meses!$B$3:$C$14,2,FALSE)*U242,
"")</f>
        <v/>
      </c>
      <c r="U242" s="22">
        <f t="shared" si="10"/>
        <v>3478</v>
      </c>
    </row>
    <row r="243" spans="1:21" ht="32.4" hidden="1" thickBot="1" x14ac:dyDescent="0.6">
      <c r="A243" s="10" t="s">
        <v>351</v>
      </c>
      <c r="B243" s="10" t="s">
        <v>355</v>
      </c>
      <c r="C243" s="12">
        <v>45015</v>
      </c>
      <c r="D243" s="10" t="s">
        <v>14</v>
      </c>
      <c r="E243" s="10" t="s">
        <v>14</v>
      </c>
      <c r="F243" s="10">
        <v>3149</v>
      </c>
      <c r="G243" s="10" t="s">
        <v>15</v>
      </c>
      <c r="H243" s="10" t="s">
        <v>17</v>
      </c>
      <c r="I243" s="10" t="s">
        <v>18</v>
      </c>
      <c r="J243" s="10" t="s">
        <v>19</v>
      </c>
      <c r="K243" s="10" t="s">
        <v>19</v>
      </c>
      <c r="L243" s="10" t="s">
        <v>19</v>
      </c>
      <c r="M243" s="12"/>
      <c r="N243" s="10" t="s">
        <v>20</v>
      </c>
      <c r="O243" s="10" t="s">
        <v>2054</v>
      </c>
      <c r="P243" s="25" t="str">
        <f>IFERROR(
IF(OR(O243="anulado",O243="stand by"),CONCATENATE(O243,": ",H243),
IF(OR(YEAR(M243)=2022,YEAR(M243)=2023),CONCATENATE("Se activó en ",YEAR(M243)),
IF(AND(OR(O243="En proceso",O243="facturando"),AND(J243="-",M243="")),"Por revisar",
IF(M243="",IF(J243="NUEVAS",CONCATENATE("Estado: ",O243,", ",J243),
IF(L243=Meses!$A$3,"Por revisar",
IF(H243="","Sin registro","En programación Frcst."))),"En programación")))),
"Error")</f>
        <v>Por revisar</v>
      </c>
      <c r="Q243" s="9" t="str">
        <f t="shared" si="9"/>
        <v>programación de act. NO, estado: Facturando, Comercializador: ENEL, Etapa: Instalado y Activado</v>
      </c>
      <c r="R243" s="25" t="str">
        <f>IF(P243="En programación Frcst.",VLOOKUP(L243,Meses!$A$1:$H$14,3+HLOOKUP(Cronograma!J243,Meses!$D$1:$G$2,2,FALSE),FALSE),
IF(P243="En programación",M243,""))</f>
        <v/>
      </c>
      <c r="S243" s="25" t="str">
        <f t="shared" si="11"/>
        <v/>
      </c>
      <c r="T243" s="21" t="str">
        <f>IFERROR(
(VLOOKUP(MONTH(R243),Meses!$B$3:$C$14,2,FALSE)-DAY(R243))/VLOOKUP(MONTH(R243),Meses!$B$3:$C$14,2,FALSE)*U243,
"")</f>
        <v/>
      </c>
      <c r="U243" s="22">
        <f t="shared" si="10"/>
        <v>3149</v>
      </c>
    </row>
    <row r="244" spans="1:21" ht="32.4" hidden="1" thickBot="1" x14ac:dyDescent="0.6">
      <c r="A244" s="10" t="s">
        <v>351</v>
      </c>
      <c r="B244" s="10" t="s">
        <v>356</v>
      </c>
      <c r="C244" s="12">
        <v>45015</v>
      </c>
      <c r="D244" s="10" t="s">
        <v>14</v>
      </c>
      <c r="E244" s="10" t="s">
        <v>14</v>
      </c>
      <c r="F244" s="10">
        <v>1911</v>
      </c>
      <c r="G244" s="10" t="s">
        <v>15</v>
      </c>
      <c r="H244" s="10" t="s">
        <v>17</v>
      </c>
      <c r="I244" s="10" t="s">
        <v>18</v>
      </c>
      <c r="J244" s="10" t="s">
        <v>19</v>
      </c>
      <c r="K244" s="10" t="s">
        <v>19</v>
      </c>
      <c r="L244" s="10" t="s">
        <v>19</v>
      </c>
      <c r="M244" s="12"/>
      <c r="N244" s="10" t="s">
        <v>20</v>
      </c>
      <c r="O244" s="10" t="s">
        <v>2054</v>
      </c>
      <c r="P244" s="25" t="str">
        <f>IFERROR(
IF(OR(O244="anulado",O244="stand by"),CONCATENATE(O244,": ",H244),
IF(OR(YEAR(M244)=2022,YEAR(M244)=2023),CONCATENATE("Se activó en ",YEAR(M244)),
IF(AND(OR(O244="En proceso",O244="facturando"),AND(J244="-",M244="")),"Por revisar",
IF(M244="",IF(J244="NUEVAS",CONCATENATE("Estado: ",O244,", ",J244),
IF(L244=Meses!$A$3,"Por revisar",
IF(H244="","Sin registro","En programación Frcst."))),"En programación")))),
"Error")</f>
        <v>Por revisar</v>
      </c>
      <c r="Q244" s="9" t="str">
        <f t="shared" si="9"/>
        <v>programación de act. NO, estado: Facturando, Comercializador: ENEL, Etapa: Instalado y Activado</v>
      </c>
      <c r="R244" s="25" t="str">
        <f>IF(P244="En programación Frcst.",VLOOKUP(L244,Meses!$A$1:$H$14,3+HLOOKUP(Cronograma!J244,Meses!$D$1:$G$2,2,FALSE),FALSE),
IF(P244="En programación",M244,""))</f>
        <v/>
      </c>
      <c r="S244" s="25" t="str">
        <f t="shared" si="11"/>
        <v/>
      </c>
      <c r="T244" s="21" t="str">
        <f>IFERROR(
(VLOOKUP(MONTH(R244),Meses!$B$3:$C$14,2,FALSE)-DAY(R244))/VLOOKUP(MONTH(R244),Meses!$B$3:$C$14,2,FALSE)*U244,
"")</f>
        <v/>
      </c>
      <c r="U244" s="22">
        <f t="shared" si="10"/>
        <v>1911</v>
      </c>
    </row>
    <row r="245" spans="1:21" ht="32.4" hidden="1" thickBot="1" x14ac:dyDescent="0.6">
      <c r="A245" s="10" t="s">
        <v>351</v>
      </c>
      <c r="B245" s="10" t="s">
        <v>357</v>
      </c>
      <c r="C245" s="12">
        <v>45015</v>
      </c>
      <c r="D245" s="10" t="s">
        <v>14</v>
      </c>
      <c r="E245" s="10" t="s">
        <v>14</v>
      </c>
      <c r="F245" s="10">
        <v>1000</v>
      </c>
      <c r="G245" s="10" t="s">
        <v>15</v>
      </c>
      <c r="H245" s="10" t="s">
        <v>17</v>
      </c>
      <c r="I245" s="10" t="s">
        <v>18</v>
      </c>
      <c r="J245" s="10" t="s">
        <v>19</v>
      </c>
      <c r="K245" s="10" t="s">
        <v>19</v>
      </c>
      <c r="L245" s="10" t="s">
        <v>19</v>
      </c>
      <c r="M245" s="12"/>
      <c r="N245" s="10" t="s">
        <v>20</v>
      </c>
      <c r="O245" s="10" t="s">
        <v>2054</v>
      </c>
      <c r="P245" s="25" t="str">
        <f>IFERROR(
IF(OR(O245="anulado",O245="stand by"),CONCATENATE(O245,": ",H245),
IF(OR(YEAR(M245)=2022,YEAR(M245)=2023),CONCATENATE("Se activó en ",YEAR(M245)),
IF(AND(OR(O245="En proceso",O245="facturando"),AND(J245="-",M245="")),"Por revisar",
IF(M245="",IF(J245="NUEVAS",CONCATENATE("Estado: ",O245,", ",J245),
IF(L245=Meses!$A$3,"Por revisar",
IF(H245="","Sin registro","En programación Frcst."))),"En programación")))),
"Error")</f>
        <v>Por revisar</v>
      </c>
      <c r="Q245" s="9" t="str">
        <f t="shared" si="9"/>
        <v>programación de act. NO, estado: Facturando, Comercializador: ENEL, Etapa: Instalado y Activado</v>
      </c>
      <c r="R245" s="25" t="str">
        <f>IF(P245="En programación Frcst.",VLOOKUP(L245,Meses!$A$1:$H$14,3+HLOOKUP(Cronograma!J245,Meses!$D$1:$G$2,2,FALSE),FALSE),
IF(P245="En programación",M245,""))</f>
        <v/>
      </c>
      <c r="S245" s="25" t="str">
        <f t="shared" si="11"/>
        <v/>
      </c>
      <c r="T245" s="21" t="str">
        <f>IFERROR(
(VLOOKUP(MONTH(R245),Meses!$B$3:$C$14,2,FALSE)-DAY(R245))/VLOOKUP(MONTH(R245),Meses!$B$3:$C$14,2,FALSE)*U245,
"")</f>
        <v/>
      </c>
      <c r="U245" s="22">
        <f t="shared" si="10"/>
        <v>1000</v>
      </c>
    </row>
    <row r="246" spans="1:21" ht="32.4" hidden="1" thickBot="1" x14ac:dyDescent="0.6">
      <c r="A246" s="10" t="s">
        <v>351</v>
      </c>
      <c r="B246" s="10" t="s">
        <v>358</v>
      </c>
      <c r="C246" s="12">
        <v>45015</v>
      </c>
      <c r="D246" s="10" t="s">
        <v>14</v>
      </c>
      <c r="E246" s="10" t="s">
        <v>14</v>
      </c>
      <c r="F246" s="10">
        <v>922</v>
      </c>
      <c r="G246" s="10" t="s">
        <v>15</v>
      </c>
      <c r="H246" s="10" t="s">
        <v>17</v>
      </c>
      <c r="I246" s="10" t="s">
        <v>18</v>
      </c>
      <c r="J246" s="10" t="s">
        <v>19</v>
      </c>
      <c r="K246" s="10" t="s">
        <v>19</v>
      </c>
      <c r="L246" s="10" t="s">
        <v>19</v>
      </c>
      <c r="M246" s="12"/>
      <c r="N246" s="10" t="s">
        <v>20</v>
      </c>
      <c r="O246" s="10" t="s">
        <v>2054</v>
      </c>
      <c r="P246" s="25" t="str">
        <f>IFERROR(
IF(OR(O246="anulado",O246="stand by"),CONCATENATE(O246,": ",H246),
IF(OR(YEAR(M246)=2022,YEAR(M246)=2023),CONCATENATE("Se activó en ",YEAR(M246)),
IF(AND(OR(O246="En proceso",O246="facturando"),AND(J246="-",M246="")),"Por revisar",
IF(M246="",IF(J246="NUEVAS",CONCATENATE("Estado: ",O246,", ",J246),
IF(L246=Meses!$A$3,"Por revisar",
IF(H246="","Sin registro","En programación Frcst."))),"En programación")))),
"Error")</f>
        <v>Por revisar</v>
      </c>
      <c r="Q246" s="9" t="str">
        <f t="shared" si="9"/>
        <v>programación de act. NO, estado: Facturando, Comercializador: ENEL, Etapa: Instalado y Activado</v>
      </c>
      <c r="R246" s="25" t="str">
        <f>IF(P246="En programación Frcst.",VLOOKUP(L246,Meses!$A$1:$H$14,3+HLOOKUP(Cronograma!J246,Meses!$D$1:$G$2,2,FALSE),FALSE),
IF(P246="En programación",M246,""))</f>
        <v/>
      </c>
      <c r="S246" s="25" t="str">
        <f t="shared" si="11"/>
        <v/>
      </c>
      <c r="T246" s="21" t="str">
        <f>IFERROR(
(VLOOKUP(MONTH(R246),Meses!$B$3:$C$14,2,FALSE)-DAY(R246))/VLOOKUP(MONTH(R246),Meses!$B$3:$C$14,2,FALSE)*U246,
"")</f>
        <v/>
      </c>
      <c r="U246" s="22">
        <f t="shared" si="10"/>
        <v>922</v>
      </c>
    </row>
    <row r="247" spans="1:21" ht="31.8" hidden="1" thickBot="1" x14ac:dyDescent="0.6">
      <c r="A247" s="10" t="s">
        <v>359</v>
      </c>
      <c r="B247" s="10" t="s">
        <v>360</v>
      </c>
      <c r="C247" s="12"/>
      <c r="D247" s="10" t="s">
        <v>74</v>
      </c>
      <c r="E247" s="10" t="s">
        <v>74</v>
      </c>
      <c r="F247" s="10">
        <v>4648</v>
      </c>
      <c r="G247" s="10" t="s">
        <v>15</v>
      </c>
      <c r="H247" s="10" t="s">
        <v>140</v>
      </c>
      <c r="I247" s="10" t="s">
        <v>43</v>
      </c>
      <c r="J247" s="10" t="s">
        <v>19</v>
      </c>
      <c r="K247" s="10" t="s">
        <v>19</v>
      </c>
      <c r="L247" s="10" t="s">
        <v>19</v>
      </c>
      <c r="M247" s="12"/>
      <c r="N247" s="10" t="s">
        <v>20</v>
      </c>
      <c r="O247" s="10" t="s">
        <v>2056</v>
      </c>
      <c r="P247" s="25" t="str">
        <f>IFERROR(
IF(OR(O247="anulado",O247="stand by"),CONCATENATE(O247,": ",H247),
IF(OR(YEAR(M247)=2022,YEAR(M247)=2023),CONCATENATE("Se activó en ",YEAR(M247)),
IF(AND(OR(O247="En proceso",O247="facturando"),AND(J247="-",M247="")),"Por revisar",
IF(M247="",IF(J247="NUEVAS",CONCATENATE("Estado: ",O247,", ",J247),
IF(L247=Meses!$A$3,"Por revisar",
IF(H247="","Sin registro","En programación Frcst."))),"En programación")))),
"Error")</f>
        <v>anulado: Desistido</v>
      </c>
      <c r="Q247" s="9" t="str">
        <f t="shared" si="9"/>
        <v/>
      </c>
      <c r="R247" s="25" t="str">
        <f>IF(P247="En programación Frcst.",VLOOKUP(L247,Meses!$A$1:$H$14,3+HLOOKUP(Cronograma!J247,Meses!$D$1:$G$2,2,FALSE),FALSE),
IF(P247="En programación",M247,""))</f>
        <v/>
      </c>
      <c r="S247" s="25" t="str">
        <f t="shared" si="11"/>
        <v/>
      </c>
      <c r="T247" s="21" t="str">
        <f>IFERROR(
(VLOOKUP(MONTH(R247),Meses!$B$3:$C$14,2,FALSE)-DAY(R247))/VLOOKUP(MONTH(R247),Meses!$B$3:$C$14,2,FALSE)*U247,
"")</f>
        <v/>
      </c>
      <c r="U247" s="22">
        <f t="shared" si="10"/>
        <v>4648</v>
      </c>
    </row>
    <row r="248" spans="1:21" ht="32.4" hidden="1" thickBot="1" x14ac:dyDescent="0.6">
      <c r="A248" s="10" t="s">
        <v>361</v>
      </c>
      <c r="B248" s="10" t="s">
        <v>362</v>
      </c>
      <c r="C248" s="12">
        <v>45022</v>
      </c>
      <c r="D248" s="10" t="s">
        <v>14</v>
      </c>
      <c r="E248" s="10" t="s">
        <v>14</v>
      </c>
      <c r="F248" s="10">
        <v>1512</v>
      </c>
      <c r="G248" s="10" t="s">
        <v>15</v>
      </c>
      <c r="H248" s="10" t="s">
        <v>17</v>
      </c>
      <c r="I248" s="10" t="s">
        <v>18</v>
      </c>
      <c r="J248" s="10" t="s">
        <v>19</v>
      </c>
      <c r="K248" s="10" t="s">
        <v>19</v>
      </c>
      <c r="L248" s="10" t="s">
        <v>19</v>
      </c>
      <c r="M248" s="12"/>
      <c r="N248" s="10" t="s">
        <v>20</v>
      </c>
      <c r="O248" s="10" t="s">
        <v>2054</v>
      </c>
      <c r="P248" s="25" t="str">
        <f>IFERROR(
IF(OR(O248="anulado",O248="stand by"),CONCATENATE(O248,": ",H248),
IF(OR(YEAR(M248)=2022,YEAR(M248)=2023),CONCATENATE("Se activó en ",YEAR(M248)),
IF(AND(OR(O248="En proceso",O248="facturando"),AND(J248="-",M248="")),"Por revisar",
IF(M248="",IF(J248="NUEVAS",CONCATENATE("Estado: ",O248,", ",J248),
IF(L248=Meses!$A$3,"Por revisar",
IF(H248="","Sin registro","En programación Frcst."))),"En programación")))),
"Error")</f>
        <v>Por revisar</v>
      </c>
      <c r="Q248" s="9" t="str">
        <f t="shared" si="9"/>
        <v>programación de act. NO, estado: Facturando, Comercializador: ENEL, Etapa: Instalado y Activado</v>
      </c>
      <c r="R248" s="25" t="str">
        <f>IF(P248="En programación Frcst.",VLOOKUP(L248,Meses!$A$1:$H$14,3+HLOOKUP(Cronograma!J248,Meses!$D$1:$G$2,2,FALSE),FALSE),
IF(P248="En programación",M248,""))</f>
        <v/>
      </c>
      <c r="S248" s="25" t="str">
        <f t="shared" si="11"/>
        <v/>
      </c>
      <c r="T248" s="21" t="str">
        <f>IFERROR(
(VLOOKUP(MONTH(R248),Meses!$B$3:$C$14,2,FALSE)-DAY(R248))/VLOOKUP(MONTH(R248),Meses!$B$3:$C$14,2,FALSE)*U248,
"")</f>
        <v/>
      </c>
      <c r="U248" s="22">
        <f t="shared" si="10"/>
        <v>1512</v>
      </c>
    </row>
    <row r="249" spans="1:21" ht="32.4" hidden="1" thickBot="1" x14ac:dyDescent="0.6">
      <c r="A249" s="10" t="s">
        <v>363</v>
      </c>
      <c r="B249" s="10" t="s">
        <v>364</v>
      </c>
      <c r="C249" s="12">
        <v>45022</v>
      </c>
      <c r="D249" s="10" t="s">
        <v>14</v>
      </c>
      <c r="E249" s="10" t="s">
        <v>14</v>
      </c>
      <c r="F249" s="10">
        <v>3134</v>
      </c>
      <c r="G249" s="10" t="s">
        <v>15</v>
      </c>
      <c r="H249" s="10" t="s">
        <v>17</v>
      </c>
      <c r="I249" s="10" t="s">
        <v>18</v>
      </c>
      <c r="J249" s="10" t="s">
        <v>19</v>
      </c>
      <c r="K249" s="10" t="s">
        <v>19</v>
      </c>
      <c r="L249" s="10" t="s">
        <v>19</v>
      </c>
      <c r="M249" s="12"/>
      <c r="N249" s="10" t="s">
        <v>20</v>
      </c>
      <c r="O249" s="10" t="s">
        <v>2054</v>
      </c>
      <c r="P249" s="25" t="str">
        <f>IFERROR(
IF(OR(O249="anulado",O249="stand by"),CONCATENATE(O249,": ",H249),
IF(OR(YEAR(M249)=2022,YEAR(M249)=2023),CONCATENATE("Se activó en ",YEAR(M249)),
IF(AND(OR(O249="En proceso",O249="facturando"),AND(J249="-",M249="")),"Por revisar",
IF(M249="",IF(J249="NUEVAS",CONCATENATE("Estado: ",O249,", ",J249),
IF(L249=Meses!$A$3,"Por revisar",
IF(H249="","Sin registro","En programación Frcst."))),"En programación")))),
"Error")</f>
        <v>Por revisar</v>
      </c>
      <c r="Q249" s="9" t="str">
        <f t="shared" si="9"/>
        <v>programación de act. NO, estado: Facturando, Comercializador: ENEL, Etapa: Instalado y Activado</v>
      </c>
      <c r="R249" s="25" t="str">
        <f>IF(P249="En programación Frcst.",VLOOKUP(L249,Meses!$A$1:$H$14,3+HLOOKUP(Cronograma!J249,Meses!$D$1:$G$2,2,FALSE),FALSE),
IF(P249="En programación",M249,""))</f>
        <v/>
      </c>
      <c r="S249" s="25" t="str">
        <f t="shared" si="11"/>
        <v/>
      </c>
      <c r="T249" s="21" t="str">
        <f>IFERROR(
(VLOOKUP(MONTH(R249),Meses!$B$3:$C$14,2,FALSE)-DAY(R249))/VLOOKUP(MONTH(R249),Meses!$B$3:$C$14,2,FALSE)*U249,
"")</f>
        <v/>
      </c>
      <c r="U249" s="22">
        <f t="shared" si="10"/>
        <v>3134</v>
      </c>
    </row>
    <row r="250" spans="1:21" ht="31.8" hidden="1" thickBot="1" x14ac:dyDescent="0.6">
      <c r="A250" s="10" t="s">
        <v>365</v>
      </c>
      <c r="B250" s="10" t="s">
        <v>366</v>
      </c>
      <c r="C250" s="12"/>
      <c r="D250" s="10" t="s">
        <v>74</v>
      </c>
      <c r="E250" s="10" t="s">
        <v>74</v>
      </c>
      <c r="F250" s="10">
        <v>1056</v>
      </c>
      <c r="G250" s="10" t="s">
        <v>15</v>
      </c>
      <c r="H250" s="10" t="s">
        <v>140</v>
      </c>
      <c r="I250" s="10" t="s">
        <v>43</v>
      </c>
      <c r="J250" s="10" t="s">
        <v>19</v>
      </c>
      <c r="K250" s="10" t="s">
        <v>19</v>
      </c>
      <c r="L250" s="10" t="s">
        <v>19</v>
      </c>
      <c r="M250" s="12"/>
      <c r="N250" s="10" t="s">
        <v>20</v>
      </c>
      <c r="O250" s="10" t="s">
        <v>2056</v>
      </c>
      <c r="P250" s="25" t="str">
        <f>IFERROR(
IF(OR(O250="anulado",O250="stand by"),CONCATENATE(O250,": ",H250),
IF(OR(YEAR(M250)=2022,YEAR(M250)=2023),CONCATENATE("Se activó en ",YEAR(M250)),
IF(AND(OR(O250="En proceso",O250="facturando"),AND(J250="-",M250="")),"Por revisar",
IF(M250="",IF(J250="NUEVAS",CONCATENATE("Estado: ",O250,", ",J250),
IF(L250=Meses!$A$3,"Por revisar",
IF(H250="","Sin registro","En programación Frcst."))),"En programación")))),
"Error")</f>
        <v>anulado: Desistido</v>
      </c>
      <c r="Q250" s="9" t="str">
        <f t="shared" si="9"/>
        <v/>
      </c>
      <c r="R250" s="25" t="str">
        <f>IF(P250="En programación Frcst.",VLOOKUP(L250,Meses!$A$1:$H$14,3+HLOOKUP(Cronograma!J250,Meses!$D$1:$G$2,2,FALSE),FALSE),
IF(P250="En programación",M250,""))</f>
        <v/>
      </c>
      <c r="S250" s="25" t="str">
        <f t="shared" si="11"/>
        <v/>
      </c>
      <c r="T250" s="21" t="str">
        <f>IFERROR(
(VLOOKUP(MONTH(R250),Meses!$B$3:$C$14,2,FALSE)-DAY(R250))/VLOOKUP(MONTH(R250),Meses!$B$3:$C$14,2,FALSE)*U250,
"")</f>
        <v/>
      </c>
      <c r="U250" s="22">
        <f t="shared" si="10"/>
        <v>1056</v>
      </c>
    </row>
    <row r="251" spans="1:21" ht="31.8" hidden="1" thickBot="1" x14ac:dyDescent="0.6">
      <c r="A251" s="10" t="s">
        <v>365</v>
      </c>
      <c r="B251" s="10" t="s">
        <v>367</v>
      </c>
      <c r="C251" s="12"/>
      <c r="D251" s="10" t="s">
        <v>74</v>
      </c>
      <c r="E251" s="10" t="s">
        <v>74</v>
      </c>
      <c r="F251" s="10">
        <v>3224</v>
      </c>
      <c r="G251" s="10" t="s">
        <v>15</v>
      </c>
      <c r="H251" s="10" t="s">
        <v>140</v>
      </c>
      <c r="I251" s="10" t="s">
        <v>43</v>
      </c>
      <c r="J251" s="10" t="s">
        <v>19</v>
      </c>
      <c r="K251" s="10" t="s">
        <v>19</v>
      </c>
      <c r="L251" s="10" t="s">
        <v>19</v>
      </c>
      <c r="M251" s="12"/>
      <c r="N251" s="10" t="s">
        <v>20</v>
      </c>
      <c r="O251" s="10" t="s">
        <v>2056</v>
      </c>
      <c r="P251" s="25" t="str">
        <f>IFERROR(
IF(OR(O251="anulado",O251="stand by"),CONCATENATE(O251,": ",H251),
IF(OR(YEAR(M251)=2022,YEAR(M251)=2023),CONCATENATE("Se activó en ",YEAR(M251)),
IF(AND(OR(O251="En proceso",O251="facturando"),AND(J251="-",M251="")),"Por revisar",
IF(M251="",IF(J251="NUEVAS",CONCATENATE("Estado: ",O251,", ",J251),
IF(L251=Meses!$A$3,"Por revisar",
IF(H251="","Sin registro","En programación Frcst."))),"En programación")))),
"Error")</f>
        <v>anulado: Desistido</v>
      </c>
      <c r="Q251" s="9" t="str">
        <f t="shared" si="9"/>
        <v/>
      </c>
      <c r="R251" s="25" t="str">
        <f>IF(P251="En programación Frcst.",VLOOKUP(L251,Meses!$A$1:$H$14,3+HLOOKUP(Cronograma!J251,Meses!$D$1:$G$2,2,FALSE),FALSE),
IF(P251="En programación",M251,""))</f>
        <v/>
      </c>
      <c r="S251" s="25" t="str">
        <f t="shared" si="11"/>
        <v/>
      </c>
      <c r="T251" s="21" t="str">
        <f>IFERROR(
(VLOOKUP(MONTH(R251),Meses!$B$3:$C$14,2,FALSE)-DAY(R251))/VLOOKUP(MONTH(R251),Meses!$B$3:$C$14,2,FALSE)*U251,
"")</f>
        <v/>
      </c>
      <c r="U251" s="22">
        <f t="shared" si="10"/>
        <v>3224</v>
      </c>
    </row>
    <row r="252" spans="1:21" ht="31.8" hidden="1" thickBot="1" x14ac:dyDescent="0.6">
      <c r="A252" s="10" t="s">
        <v>365</v>
      </c>
      <c r="B252" s="10" t="s">
        <v>368</v>
      </c>
      <c r="C252" s="12"/>
      <c r="D252" s="10" t="s">
        <v>74</v>
      </c>
      <c r="E252" s="10" t="s">
        <v>74</v>
      </c>
      <c r="F252" s="10">
        <v>10575</v>
      </c>
      <c r="G252" s="10" t="s">
        <v>15</v>
      </c>
      <c r="H252" s="10" t="s">
        <v>2921</v>
      </c>
      <c r="I252" s="10" t="s">
        <v>43</v>
      </c>
      <c r="J252" s="10" t="s">
        <v>143</v>
      </c>
      <c r="K252" s="10" t="s">
        <v>3309</v>
      </c>
      <c r="L252" s="10" t="s">
        <v>1120</v>
      </c>
      <c r="M252" s="12">
        <v>45365</v>
      </c>
      <c r="N252" s="10" t="s">
        <v>15</v>
      </c>
      <c r="O252" s="10" t="s">
        <v>2057</v>
      </c>
      <c r="P252" s="25" t="str">
        <f>IFERROR(
IF(OR(O252="anulado",O252="stand by"),CONCATENATE(O252,": ",H252),
IF(OR(YEAR(M252)=2022,YEAR(M252)=2023),CONCATENATE("Se activó en ",YEAR(M252)),
IF(AND(OR(O252="En proceso",O252="facturando"),AND(J252="-",M252="")),"Por revisar",
IF(M252="",IF(J252="NUEVAS",CONCATENATE("Estado: ",O252,", ",J252),
IF(L252=Meses!$A$3,"Por revisar",
IF(H252="","Sin registro","En programación Frcst."))),"En programación")))),
"Error")</f>
        <v>En programación</v>
      </c>
      <c r="Q252" s="9" t="str">
        <f t="shared" si="9"/>
        <v/>
      </c>
      <c r="R252" s="25">
        <f>IF(P252="En programación Frcst.",VLOOKUP(L252,Meses!$A$1:$H$14,3+HLOOKUP(Cronograma!J252,Meses!$D$1:$G$2,2,FALSE),FALSE),
IF(P252="En programación",M252,""))</f>
        <v>45365</v>
      </c>
      <c r="S252" s="25" t="str">
        <f t="shared" si="11"/>
        <v>2024/3</v>
      </c>
      <c r="T252" s="21">
        <f>IFERROR(
(VLOOKUP(MONTH(R252),Meses!$B$3:$C$14,2,FALSE)-DAY(R252))/VLOOKUP(MONTH(R252),Meses!$B$3:$C$14,2,FALSE)*U252,
"")</f>
        <v>5799.1935483870966</v>
      </c>
      <c r="U252" s="22">
        <f t="shared" si="10"/>
        <v>10575</v>
      </c>
    </row>
    <row r="253" spans="1:21" ht="31.8" hidden="1" thickBot="1" x14ac:dyDescent="0.6">
      <c r="A253" s="10" t="s">
        <v>365</v>
      </c>
      <c r="B253" s="10" t="s">
        <v>369</v>
      </c>
      <c r="C253" s="12"/>
      <c r="D253" s="10" t="s">
        <v>74</v>
      </c>
      <c r="E253" s="10" t="s">
        <v>74</v>
      </c>
      <c r="F253" s="10">
        <v>5116</v>
      </c>
      <c r="G253" s="10" t="s">
        <v>15</v>
      </c>
      <c r="H253" s="10" t="s">
        <v>140</v>
      </c>
      <c r="I253" s="10" t="s">
        <v>43</v>
      </c>
      <c r="J253" s="10" t="s">
        <v>143</v>
      </c>
      <c r="K253" s="10" t="s">
        <v>2895</v>
      </c>
      <c r="L253" s="10" t="s">
        <v>2292</v>
      </c>
      <c r="M253" s="12">
        <v>45400</v>
      </c>
      <c r="N253" s="10" t="s">
        <v>15</v>
      </c>
      <c r="O253" s="10" t="s">
        <v>2056</v>
      </c>
      <c r="P253" s="25" t="str">
        <f>IFERROR(
IF(OR(O253="anulado",O253="stand by"),CONCATENATE(O253,": ",H253),
IF(OR(YEAR(M253)=2022,YEAR(M253)=2023),CONCATENATE("Se activó en ",YEAR(M253)),
IF(AND(OR(O253="En proceso",O253="facturando"),AND(J253="-",M253="")),"Por revisar",
IF(M253="",IF(J253="NUEVAS",CONCATENATE("Estado: ",O253,", ",J253),
IF(L253=Meses!$A$3,"Por revisar",
IF(H253="","Sin registro","En programación Frcst."))),"En programación")))),
"Error")</f>
        <v>anulado: Desistido</v>
      </c>
      <c r="Q253" s="9" t="str">
        <f t="shared" si="9"/>
        <v/>
      </c>
      <c r="R253" s="25" t="str">
        <f>IF(P253="En programación Frcst.",VLOOKUP(L253,Meses!$A$1:$H$14,3+HLOOKUP(Cronograma!J253,Meses!$D$1:$G$2,2,FALSE),FALSE),
IF(P253="En programación",M253,""))</f>
        <v/>
      </c>
      <c r="S253" s="25" t="str">
        <f t="shared" si="11"/>
        <v/>
      </c>
      <c r="T253" s="21" t="str">
        <f>IFERROR(
(VLOOKUP(MONTH(R253),Meses!$B$3:$C$14,2,FALSE)-DAY(R253))/VLOOKUP(MONTH(R253),Meses!$B$3:$C$14,2,FALSE)*U253,
"")</f>
        <v/>
      </c>
      <c r="U253" s="22">
        <f t="shared" si="10"/>
        <v>5116</v>
      </c>
    </row>
    <row r="254" spans="1:21" ht="31.8" hidden="1" thickBot="1" x14ac:dyDescent="0.6">
      <c r="A254" s="10" t="s">
        <v>370</v>
      </c>
      <c r="B254" s="10" t="s">
        <v>371</v>
      </c>
      <c r="C254" s="12"/>
      <c r="D254" s="10" t="s">
        <v>74</v>
      </c>
      <c r="E254" s="10" t="s">
        <v>74</v>
      </c>
      <c r="F254" s="10">
        <v>1245</v>
      </c>
      <c r="G254" s="10" t="s">
        <v>15</v>
      </c>
      <c r="H254" s="10" t="s">
        <v>2921</v>
      </c>
      <c r="I254" s="10" t="s">
        <v>43</v>
      </c>
      <c r="J254" s="10" t="s">
        <v>143</v>
      </c>
      <c r="K254" s="10" t="s">
        <v>3309</v>
      </c>
      <c r="L254" s="10" t="s">
        <v>1120</v>
      </c>
      <c r="M254" s="12">
        <v>45365</v>
      </c>
      <c r="N254" s="10" t="s">
        <v>15</v>
      </c>
      <c r="O254" s="10" t="s">
        <v>2057</v>
      </c>
      <c r="P254" s="25" t="str">
        <f>IFERROR(
IF(OR(O254="anulado",O254="stand by"),CONCATENATE(O254,": ",H254),
IF(OR(YEAR(M254)=2022,YEAR(M254)=2023),CONCATENATE("Se activó en ",YEAR(M254)),
IF(AND(OR(O254="En proceso",O254="facturando"),AND(J254="-",M254="")),"Por revisar",
IF(M254="",IF(J254="NUEVAS",CONCATENATE("Estado: ",O254,", ",J254),
IF(L254=Meses!$A$3,"Por revisar",
IF(H254="","Sin registro","En programación Frcst."))),"En programación")))),
"Error")</f>
        <v>En programación</v>
      </c>
      <c r="Q254" s="9" t="str">
        <f t="shared" si="9"/>
        <v/>
      </c>
      <c r="R254" s="25">
        <f>IF(P254="En programación Frcst.",VLOOKUP(L254,Meses!$A$1:$H$14,3+HLOOKUP(Cronograma!J254,Meses!$D$1:$G$2,2,FALSE),FALSE),
IF(P254="En programación",M254,""))</f>
        <v>45365</v>
      </c>
      <c r="S254" s="25" t="str">
        <f t="shared" si="11"/>
        <v>2024/3</v>
      </c>
      <c r="T254" s="21">
        <f>IFERROR(
(VLOOKUP(MONTH(R254),Meses!$B$3:$C$14,2,FALSE)-DAY(R254))/VLOOKUP(MONTH(R254),Meses!$B$3:$C$14,2,FALSE)*U254,
"")</f>
        <v>682.74193548387086</v>
      </c>
      <c r="U254" s="22">
        <f t="shared" si="10"/>
        <v>1245</v>
      </c>
    </row>
    <row r="255" spans="1:21" ht="32.4" hidden="1" thickBot="1" x14ac:dyDescent="0.6">
      <c r="A255" s="10" t="s">
        <v>372</v>
      </c>
      <c r="B255" s="10" t="s">
        <v>373</v>
      </c>
      <c r="C255" s="12">
        <v>45036</v>
      </c>
      <c r="D255" s="10" t="s">
        <v>171</v>
      </c>
      <c r="E255" s="10" t="s">
        <v>74</v>
      </c>
      <c r="F255" s="10">
        <v>3308</v>
      </c>
      <c r="G255" s="10" t="s">
        <v>15</v>
      </c>
      <c r="H255" s="10" t="s">
        <v>17</v>
      </c>
      <c r="I255" s="10" t="s">
        <v>66</v>
      </c>
      <c r="J255" s="10" t="s">
        <v>19</v>
      </c>
      <c r="K255" s="10" t="s">
        <v>19</v>
      </c>
      <c r="L255" s="10" t="s">
        <v>19</v>
      </c>
      <c r="M255" s="12"/>
      <c r="N255" s="10" t="s">
        <v>20</v>
      </c>
      <c r="O255" s="10" t="s">
        <v>2054</v>
      </c>
      <c r="P255" s="25" t="str">
        <f>IFERROR(
IF(OR(O255="anulado",O255="stand by"),CONCATENATE(O255,": ",H255),
IF(OR(YEAR(M255)=2022,YEAR(M255)=2023),CONCATENATE("Se activó en ",YEAR(M255)),
IF(AND(OR(O255="En proceso",O255="facturando"),AND(J255="-",M255="")),"Por revisar",
IF(M255="",IF(J255="NUEVAS",CONCATENATE("Estado: ",O255,", ",J255),
IF(L255=Meses!$A$3,"Por revisar",
IF(H255="","Sin registro","En programación Frcst."))),"En programación")))),
"Error")</f>
        <v>Por revisar</v>
      </c>
      <c r="Q255" s="9" t="str">
        <f t="shared" si="9"/>
        <v>programación de act. NO, estado: Facturando, Comercializador: VATIA, Etapa: Instalado y Activado</v>
      </c>
      <c r="R255" s="25" t="str">
        <f>IF(P255="En programación Frcst.",VLOOKUP(L255,Meses!$A$1:$H$14,3+HLOOKUP(Cronograma!J255,Meses!$D$1:$G$2,2,FALSE),FALSE),
IF(P255="En programación",M255,""))</f>
        <v/>
      </c>
      <c r="S255" s="25" t="str">
        <f t="shared" si="11"/>
        <v/>
      </c>
      <c r="T255" s="21" t="str">
        <f>IFERROR(
(VLOOKUP(MONTH(R255),Meses!$B$3:$C$14,2,FALSE)-DAY(R255))/VLOOKUP(MONTH(R255),Meses!$B$3:$C$14,2,FALSE)*U255,
"")</f>
        <v/>
      </c>
      <c r="U255" s="22">
        <f t="shared" si="10"/>
        <v>3308</v>
      </c>
    </row>
    <row r="256" spans="1:21" ht="32.4" hidden="1" thickBot="1" x14ac:dyDescent="0.6">
      <c r="A256" s="10" t="s">
        <v>372</v>
      </c>
      <c r="B256" s="10" t="s">
        <v>374</v>
      </c>
      <c r="C256" s="12">
        <v>45036</v>
      </c>
      <c r="D256" s="10" t="s">
        <v>171</v>
      </c>
      <c r="E256" s="10" t="s">
        <v>74</v>
      </c>
      <c r="F256" s="10">
        <v>919</v>
      </c>
      <c r="G256" s="10" t="s">
        <v>15</v>
      </c>
      <c r="H256" s="10" t="s">
        <v>17</v>
      </c>
      <c r="I256" s="10" t="s">
        <v>66</v>
      </c>
      <c r="J256" s="10" t="s">
        <v>19</v>
      </c>
      <c r="K256" s="10" t="s">
        <v>19</v>
      </c>
      <c r="L256" s="10" t="s">
        <v>19</v>
      </c>
      <c r="M256" s="12"/>
      <c r="N256" s="10" t="s">
        <v>20</v>
      </c>
      <c r="O256" s="10" t="s">
        <v>2054</v>
      </c>
      <c r="P256" s="25" t="str">
        <f>IFERROR(
IF(OR(O256="anulado",O256="stand by"),CONCATENATE(O256,": ",H256),
IF(OR(YEAR(M256)=2022,YEAR(M256)=2023),CONCATENATE("Se activó en ",YEAR(M256)),
IF(AND(OR(O256="En proceso",O256="facturando"),AND(J256="-",M256="")),"Por revisar",
IF(M256="",IF(J256="NUEVAS",CONCATENATE("Estado: ",O256,", ",J256),
IF(L256=Meses!$A$3,"Por revisar",
IF(H256="","Sin registro","En programación Frcst."))),"En programación")))),
"Error")</f>
        <v>Por revisar</v>
      </c>
      <c r="Q256" s="9" t="str">
        <f t="shared" si="9"/>
        <v>programación de act. NO, estado: Facturando, Comercializador: VATIA, Etapa: Instalado y Activado</v>
      </c>
      <c r="R256" s="25" t="str">
        <f>IF(P256="En programación Frcst.",VLOOKUP(L256,Meses!$A$1:$H$14,3+HLOOKUP(Cronograma!J256,Meses!$D$1:$G$2,2,FALSE),FALSE),
IF(P256="En programación",M256,""))</f>
        <v/>
      </c>
      <c r="S256" s="25" t="str">
        <f t="shared" si="11"/>
        <v/>
      </c>
      <c r="T256" s="21" t="str">
        <f>IFERROR(
(VLOOKUP(MONTH(R256),Meses!$B$3:$C$14,2,FALSE)-DAY(R256))/VLOOKUP(MONTH(R256),Meses!$B$3:$C$14,2,FALSE)*U256,
"")</f>
        <v/>
      </c>
      <c r="U256" s="22">
        <f t="shared" si="10"/>
        <v>919</v>
      </c>
    </row>
    <row r="257" spans="1:21" ht="32.4" hidden="1" thickBot="1" x14ac:dyDescent="0.6">
      <c r="A257" s="10" t="s">
        <v>372</v>
      </c>
      <c r="B257" s="10" t="s">
        <v>375</v>
      </c>
      <c r="C257" s="12">
        <v>45036</v>
      </c>
      <c r="D257" s="10" t="s">
        <v>171</v>
      </c>
      <c r="E257" s="10" t="s">
        <v>74</v>
      </c>
      <c r="F257" s="10">
        <v>1230</v>
      </c>
      <c r="G257" s="10" t="s">
        <v>15</v>
      </c>
      <c r="H257" s="10" t="s">
        <v>17</v>
      </c>
      <c r="I257" s="10" t="s">
        <v>66</v>
      </c>
      <c r="J257" s="10" t="s">
        <v>19</v>
      </c>
      <c r="K257" s="10" t="s">
        <v>19</v>
      </c>
      <c r="L257" s="10" t="s">
        <v>19</v>
      </c>
      <c r="M257" s="12"/>
      <c r="N257" s="10" t="s">
        <v>20</v>
      </c>
      <c r="O257" s="10" t="s">
        <v>2054</v>
      </c>
      <c r="P257" s="25" t="str">
        <f>IFERROR(
IF(OR(O257="anulado",O257="stand by"),CONCATENATE(O257,": ",H257),
IF(OR(YEAR(M257)=2022,YEAR(M257)=2023),CONCATENATE("Se activó en ",YEAR(M257)),
IF(AND(OR(O257="En proceso",O257="facturando"),AND(J257="-",M257="")),"Por revisar",
IF(M257="",IF(J257="NUEVAS",CONCATENATE("Estado: ",O257,", ",J257),
IF(L257=Meses!$A$3,"Por revisar",
IF(H257="","Sin registro","En programación Frcst."))),"En programación")))),
"Error")</f>
        <v>Por revisar</v>
      </c>
      <c r="Q257" s="9" t="str">
        <f t="shared" si="9"/>
        <v>programación de act. NO, estado: Facturando, Comercializador: VATIA, Etapa: Instalado y Activado</v>
      </c>
      <c r="R257" s="25" t="str">
        <f>IF(P257="En programación Frcst.",VLOOKUP(L257,Meses!$A$1:$H$14,3+HLOOKUP(Cronograma!J257,Meses!$D$1:$G$2,2,FALSE),FALSE),
IF(P257="En programación",M257,""))</f>
        <v/>
      </c>
      <c r="S257" s="25" t="str">
        <f t="shared" si="11"/>
        <v/>
      </c>
      <c r="T257" s="21" t="str">
        <f>IFERROR(
(VLOOKUP(MONTH(R257),Meses!$B$3:$C$14,2,FALSE)-DAY(R257))/VLOOKUP(MONTH(R257),Meses!$B$3:$C$14,2,FALSE)*U257,
"")</f>
        <v/>
      </c>
      <c r="U257" s="22">
        <f t="shared" si="10"/>
        <v>1230</v>
      </c>
    </row>
    <row r="258" spans="1:21" ht="47.4" hidden="1" thickBot="1" x14ac:dyDescent="0.6">
      <c r="A258" s="10" t="s">
        <v>376</v>
      </c>
      <c r="B258" s="10" t="s">
        <v>377</v>
      </c>
      <c r="C258" s="12"/>
      <c r="D258" s="10" t="s">
        <v>156</v>
      </c>
      <c r="E258" s="10" t="s">
        <v>156</v>
      </c>
      <c r="F258" s="10">
        <v>7900</v>
      </c>
      <c r="G258" s="10" t="s">
        <v>15</v>
      </c>
      <c r="H258" s="10" t="s">
        <v>2917</v>
      </c>
      <c r="I258" s="10" t="s">
        <v>43</v>
      </c>
      <c r="J258" s="10" t="s">
        <v>143</v>
      </c>
      <c r="K258" s="10" t="s">
        <v>2895</v>
      </c>
      <c r="L258" s="10" t="s">
        <v>2292</v>
      </c>
      <c r="M258" s="12">
        <v>45400</v>
      </c>
      <c r="N258" s="10" t="s">
        <v>15</v>
      </c>
      <c r="O258" s="10" t="s">
        <v>2057</v>
      </c>
      <c r="P258" s="25" t="str">
        <f>IFERROR(
IF(OR(O258="anulado",O258="stand by"),CONCATENATE(O258,": ",H258),
IF(OR(YEAR(M258)=2022,YEAR(M258)=2023),CONCATENATE("Se activó en ",YEAR(M258)),
IF(AND(OR(O258="En proceso",O258="facturando"),AND(J258="-",M258="")),"Por revisar",
IF(M258="",IF(J258="NUEVAS",CONCATENATE("Estado: ",O258,", ",J258),
IF(L258=Meses!$A$3,"Por revisar",
IF(H258="","Sin registro","En programación Frcst."))),"En programación")))),
"Error")</f>
        <v>En programación</v>
      </c>
      <c r="Q258" s="9" t="str">
        <f t="shared" ref="Q258:Q321" si="12">IF(P258="Por revisar",CONCATENATE("programación de act. ",N258,", estado: ",O258,", Comercializador: ",D258,", Etapa: ",H258),"")</f>
        <v/>
      </c>
      <c r="R258" s="25">
        <f>IF(P258="En programación Frcst.",VLOOKUP(L258,Meses!$A$1:$H$14,3+HLOOKUP(Cronograma!J258,Meses!$D$1:$G$2,2,FALSE),FALSE),
IF(P258="En programación",M258,""))</f>
        <v>45400</v>
      </c>
      <c r="S258" s="25" t="str">
        <f t="shared" si="11"/>
        <v>2024/4</v>
      </c>
      <c r="T258" s="21">
        <f>IFERROR(
(VLOOKUP(MONTH(R258),Meses!$B$3:$C$14,2,FALSE)-DAY(R258))/VLOOKUP(MONTH(R258),Meses!$B$3:$C$14,2,FALSE)*U258,
"")</f>
        <v>3160</v>
      </c>
      <c r="U258" s="22">
        <f t="shared" ref="U258:U321" si="13">F258</f>
        <v>7900</v>
      </c>
    </row>
    <row r="259" spans="1:21" ht="32.4" hidden="1" thickBot="1" x14ac:dyDescent="0.6">
      <c r="A259" s="10" t="s">
        <v>318</v>
      </c>
      <c r="B259" s="10" t="s">
        <v>378</v>
      </c>
      <c r="C259" s="12">
        <v>45071</v>
      </c>
      <c r="D259" s="10" t="s">
        <v>23</v>
      </c>
      <c r="E259" s="10" t="s">
        <v>23</v>
      </c>
      <c r="F259" s="10">
        <v>5214</v>
      </c>
      <c r="G259" s="10" t="s">
        <v>15</v>
      </c>
      <c r="H259" s="10" t="s">
        <v>17</v>
      </c>
      <c r="I259" s="10" t="s">
        <v>43</v>
      </c>
      <c r="J259" s="10" t="s">
        <v>19</v>
      </c>
      <c r="K259" s="10" t="s">
        <v>19</v>
      </c>
      <c r="L259" s="10" t="s">
        <v>19</v>
      </c>
      <c r="M259" s="12"/>
      <c r="N259" s="10" t="s">
        <v>20</v>
      </c>
      <c r="O259" s="10" t="s">
        <v>2054</v>
      </c>
      <c r="P259" s="25" t="str">
        <f>IFERROR(
IF(OR(O259="anulado",O259="stand by"),CONCATENATE(O259,": ",H259),
IF(OR(YEAR(M259)=2022,YEAR(M259)=2023),CONCATENATE("Se activó en ",YEAR(M259)),
IF(AND(OR(O259="En proceso",O259="facturando"),AND(J259="-",M259="")),"Por revisar",
IF(M259="",IF(J259="NUEVAS",CONCATENATE("Estado: ",O259,", ",J259),
IF(L259=Meses!$A$3,"Por revisar",
IF(H259="","Sin registro","En programación Frcst."))),"En programación")))),
"Error")</f>
        <v>Por revisar</v>
      </c>
      <c r="Q259" s="9" t="str">
        <f t="shared" si="12"/>
        <v>programación de act. NO, estado: Facturando, Comercializador: EMCALI, Etapa: Instalado y Activado</v>
      </c>
      <c r="R259" s="25" t="str">
        <f>IF(P259="En programación Frcst.",VLOOKUP(L259,Meses!$A$1:$H$14,3+HLOOKUP(Cronograma!J259,Meses!$D$1:$G$2,2,FALSE),FALSE),
IF(P259="En programación",M259,""))</f>
        <v/>
      </c>
      <c r="S259" s="25" t="str">
        <f t="shared" ref="S259:S322" si="14">IFERROR(CONCATENATE(YEAR(R259),"/",MONTH(R259)),"")</f>
        <v/>
      </c>
      <c r="T259" s="21" t="str">
        <f>IFERROR(
(VLOOKUP(MONTH(R259),Meses!$B$3:$C$14,2,FALSE)-DAY(R259))/VLOOKUP(MONTH(R259),Meses!$B$3:$C$14,2,FALSE)*U259,
"")</f>
        <v/>
      </c>
      <c r="U259" s="22">
        <f t="shared" si="13"/>
        <v>5214</v>
      </c>
    </row>
    <row r="260" spans="1:21" ht="32.4" hidden="1" thickBot="1" x14ac:dyDescent="0.6">
      <c r="A260" s="10" t="s">
        <v>318</v>
      </c>
      <c r="B260" s="10" t="s">
        <v>379</v>
      </c>
      <c r="C260" s="12">
        <v>45022</v>
      </c>
      <c r="D260" s="10" t="s">
        <v>14</v>
      </c>
      <c r="E260" s="10" t="s">
        <v>14</v>
      </c>
      <c r="F260" s="10">
        <v>5439</v>
      </c>
      <c r="G260" s="10" t="s">
        <v>15</v>
      </c>
      <c r="H260" s="10" t="s">
        <v>17</v>
      </c>
      <c r="I260" s="10" t="s">
        <v>18</v>
      </c>
      <c r="J260" s="10" t="s">
        <v>19</v>
      </c>
      <c r="K260" s="10" t="s">
        <v>19</v>
      </c>
      <c r="L260" s="10" t="s">
        <v>19</v>
      </c>
      <c r="M260" s="12"/>
      <c r="N260" s="10" t="s">
        <v>20</v>
      </c>
      <c r="O260" s="10" t="s">
        <v>2054</v>
      </c>
      <c r="P260" s="25" t="str">
        <f>IFERROR(
IF(OR(O260="anulado",O260="stand by"),CONCATENATE(O260,": ",H260),
IF(OR(YEAR(M260)=2022,YEAR(M260)=2023),CONCATENATE("Se activó en ",YEAR(M260)),
IF(AND(OR(O260="En proceso",O260="facturando"),AND(J260="-",M260="")),"Por revisar",
IF(M260="",IF(J260="NUEVAS",CONCATENATE("Estado: ",O260,", ",J260),
IF(L260=Meses!$A$3,"Por revisar",
IF(H260="","Sin registro","En programación Frcst."))),"En programación")))),
"Error")</f>
        <v>Por revisar</v>
      </c>
      <c r="Q260" s="9" t="str">
        <f t="shared" si="12"/>
        <v>programación de act. NO, estado: Facturando, Comercializador: ENEL, Etapa: Instalado y Activado</v>
      </c>
      <c r="R260" s="25" t="str">
        <f>IF(P260="En programación Frcst.",VLOOKUP(L260,Meses!$A$1:$H$14,3+HLOOKUP(Cronograma!J260,Meses!$D$1:$G$2,2,FALSE),FALSE),
IF(P260="En programación",M260,""))</f>
        <v/>
      </c>
      <c r="S260" s="25" t="str">
        <f t="shared" si="14"/>
        <v/>
      </c>
      <c r="T260" s="21" t="str">
        <f>IFERROR(
(VLOOKUP(MONTH(R260),Meses!$B$3:$C$14,2,FALSE)-DAY(R260))/VLOOKUP(MONTH(R260),Meses!$B$3:$C$14,2,FALSE)*U260,
"")</f>
        <v/>
      </c>
      <c r="U260" s="22">
        <f t="shared" si="13"/>
        <v>5439</v>
      </c>
    </row>
    <row r="261" spans="1:21" ht="32.4" hidden="1" thickBot="1" x14ac:dyDescent="0.6">
      <c r="A261" s="10" t="s">
        <v>380</v>
      </c>
      <c r="B261" s="10" t="s">
        <v>381</v>
      </c>
      <c r="C261" s="12">
        <v>45036</v>
      </c>
      <c r="D261" s="10" t="s">
        <v>14</v>
      </c>
      <c r="E261" s="10" t="s">
        <v>14</v>
      </c>
      <c r="F261" s="10">
        <v>1819</v>
      </c>
      <c r="G261" s="10" t="s">
        <v>15</v>
      </c>
      <c r="H261" s="10" t="s">
        <v>17</v>
      </c>
      <c r="I261" s="10" t="s">
        <v>18</v>
      </c>
      <c r="J261" s="10" t="s">
        <v>19</v>
      </c>
      <c r="K261" s="10" t="s">
        <v>19</v>
      </c>
      <c r="L261" s="10" t="s">
        <v>19</v>
      </c>
      <c r="M261" s="12"/>
      <c r="N261" s="10" t="s">
        <v>20</v>
      </c>
      <c r="O261" s="10" t="s">
        <v>2054</v>
      </c>
      <c r="P261" s="25" t="str">
        <f>IFERROR(
IF(OR(O261="anulado",O261="stand by"),CONCATENATE(O261,": ",H261),
IF(OR(YEAR(M261)=2022,YEAR(M261)=2023),CONCATENATE("Se activó en ",YEAR(M261)),
IF(AND(OR(O261="En proceso",O261="facturando"),AND(J261="-",M261="")),"Por revisar",
IF(M261="",IF(J261="NUEVAS",CONCATENATE("Estado: ",O261,", ",J261),
IF(L261=Meses!$A$3,"Por revisar",
IF(H261="","Sin registro","En programación Frcst."))),"En programación")))),
"Error")</f>
        <v>Por revisar</v>
      </c>
      <c r="Q261" s="9" t="str">
        <f t="shared" si="12"/>
        <v>programación de act. NO, estado: Facturando, Comercializador: ENEL, Etapa: Instalado y Activado</v>
      </c>
      <c r="R261" s="25" t="str">
        <f>IF(P261="En programación Frcst.",VLOOKUP(L261,Meses!$A$1:$H$14,3+HLOOKUP(Cronograma!J261,Meses!$D$1:$G$2,2,FALSE),FALSE),
IF(P261="En programación",M261,""))</f>
        <v/>
      </c>
      <c r="S261" s="25" t="str">
        <f t="shared" si="14"/>
        <v/>
      </c>
      <c r="T261" s="21" t="str">
        <f>IFERROR(
(VLOOKUP(MONTH(R261),Meses!$B$3:$C$14,2,FALSE)-DAY(R261))/VLOOKUP(MONTH(R261),Meses!$B$3:$C$14,2,FALSE)*U261,
"")</f>
        <v/>
      </c>
      <c r="U261" s="22">
        <f t="shared" si="13"/>
        <v>1819</v>
      </c>
    </row>
    <row r="262" spans="1:21" ht="32.4" hidden="1" thickBot="1" x14ac:dyDescent="0.6">
      <c r="A262" s="10" t="s">
        <v>91</v>
      </c>
      <c r="B262" s="10" t="s">
        <v>2438</v>
      </c>
      <c r="C262" s="12">
        <v>45036</v>
      </c>
      <c r="D262" s="10" t="s">
        <v>41</v>
      </c>
      <c r="E262" s="10" t="s">
        <v>41</v>
      </c>
      <c r="F262" s="10" t="s">
        <v>19</v>
      </c>
      <c r="G262" s="10" t="s">
        <v>61</v>
      </c>
      <c r="H262" s="10" t="s">
        <v>17</v>
      </c>
      <c r="I262" s="10" t="s">
        <v>43</v>
      </c>
      <c r="J262" s="10" t="s">
        <v>19</v>
      </c>
      <c r="K262" s="10" t="s">
        <v>19</v>
      </c>
      <c r="L262" s="10" t="s">
        <v>19</v>
      </c>
      <c r="M262" s="12"/>
      <c r="N262" s="10" t="s">
        <v>20</v>
      </c>
      <c r="O262" s="10" t="s">
        <v>2054</v>
      </c>
      <c r="P262" s="25" t="str">
        <f>IFERROR(
IF(OR(O262="anulado",O262="stand by"),CONCATENATE(O262,": ",H262),
IF(OR(YEAR(M262)=2022,YEAR(M262)=2023),CONCATENATE("Se activó en ",YEAR(M262)),
IF(AND(OR(O262="En proceso",O262="facturando"),AND(J262="-",M262="")),"Por revisar",
IF(M262="",IF(J262="NUEVAS",CONCATENATE("Estado: ",O262,", ",J262),
IF(L262=Meses!$A$3,"Por revisar",
IF(H262="","Sin registro","En programación Frcst."))),"En programación")))),
"Error")</f>
        <v>Por revisar</v>
      </c>
      <c r="Q262" s="9" t="str">
        <f t="shared" si="12"/>
        <v>programación de act. NO, estado: Facturando, Comercializador: EPM, Etapa: Instalado y Activado</v>
      </c>
      <c r="R262" s="25" t="str">
        <f>IF(P262="En programación Frcst.",VLOOKUP(L262,Meses!$A$1:$H$14,3+HLOOKUP(Cronograma!J262,Meses!$D$1:$G$2,2,FALSE),FALSE),
IF(P262="En programación",M262,""))</f>
        <v/>
      </c>
      <c r="S262" s="25" t="str">
        <f t="shared" si="14"/>
        <v/>
      </c>
      <c r="T262" s="21" t="str">
        <f>IFERROR(
(VLOOKUP(MONTH(R262),Meses!$B$3:$C$14,2,FALSE)-DAY(R262))/VLOOKUP(MONTH(R262),Meses!$B$3:$C$14,2,FALSE)*U262,
"")</f>
        <v/>
      </c>
      <c r="U262" s="22" t="str">
        <f t="shared" si="13"/>
        <v>-</v>
      </c>
    </row>
    <row r="263" spans="1:21" ht="31.8" hidden="1" thickBot="1" x14ac:dyDescent="0.6">
      <c r="A263" s="10" t="s">
        <v>382</v>
      </c>
      <c r="B263" s="10" t="s">
        <v>383</v>
      </c>
      <c r="C263" s="12">
        <v>45295</v>
      </c>
      <c r="D263" s="10" t="s">
        <v>41</v>
      </c>
      <c r="E263" s="10" t="s">
        <v>41</v>
      </c>
      <c r="F263" s="10">
        <v>783</v>
      </c>
      <c r="G263" s="10" t="s">
        <v>15</v>
      </c>
      <c r="H263" s="10" t="s">
        <v>17</v>
      </c>
      <c r="I263" s="10" t="s">
        <v>43</v>
      </c>
      <c r="J263" s="10" t="s">
        <v>282</v>
      </c>
      <c r="K263" s="10" t="s">
        <v>283</v>
      </c>
      <c r="L263" s="10" t="s">
        <v>279</v>
      </c>
      <c r="M263" s="12"/>
      <c r="N263" s="10" t="s">
        <v>15</v>
      </c>
      <c r="O263" s="10" t="s">
        <v>2054</v>
      </c>
      <c r="P263" s="25" t="str">
        <f>IFERROR(
IF(OR(O263="anulado",O263="stand by"),CONCATENATE(O263,": ",H263),
IF(OR(YEAR(M263)=2022,YEAR(M263)=2023),CONCATENATE("Se activó en ",YEAR(M263)),
IF(AND(OR(O263="En proceso",O263="facturando"),AND(J263="-",M263="")),"Por revisar",
IF(M263="",IF(J263="NUEVAS",CONCATENATE("Estado: ",O263,", ",J263),
IF(L263=Meses!$A$3,"Por revisar",
IF(H263="","Sin registro","En programación Frcst."))),"En programación")))),
"Error")</f>
        <v>En programación Frcst.</v>
      </c>
      <c r="Q263" s="9" t="str">
        <f t="shared" si="12"/>
        <v/>
      </c>
      <c r="R263" s="25">
        <f>IF(P263="En programación Frcst.",VLOOKUP(L263,Meses!$A$1:$H$14,3+HLOOKUP(Cronograma!J263,Meses!$D$1:$G$2,2,FALSE),FALSE),
IF(P263="En programación",M263,""))</f>
        <v>45295</v>
      </c>
      <c r="S263" s="25" t="str">
        <f t="shared" si="14"/>
        <v>2024/1</v>
      </c>
      <c r="T263" s="21">
        <f>IFERROR(
(VLOOKUP(MONTH(R263),Meses!$B$3:$C$14,2,FALSE)-DAY(R263))/VLOOKUP(MONTH(R263),Meses!$B$3:$C$14,2,FALSE)*U263,
"")</f>
        <v>681.9677419354839</v>
      </c>
      <c r="U263" s="22">
        <f t="shared" si="13"/>
        <v>783</v>
      </c>
    </row>
    <row r="264" spans="1:21" ht="32.4" hidden="1" thickBot="1" x14ac:dyDescent="0.6">
      <c r="A264" s="10" t="s">
        <v>382</v>
      </c>
      <c r="B264" s="10" t="s">
        <v>384</v>
      </c>
      <c r="C264" s="12">
        <v>45120</v>
      </c>
      <c r="D264" s="10" t="s">
        <v>41</v>
      </c>
      <c r="E264" s="10" t="s">
        <v>41</v>
      </c>
      <c r="F264" s="10">
        <v>779</v>
      </c>
      <c r="G264" s="10" t="s">
        <v>15</v>
      </c>
      <c r="H264" s="10" t="s">
        <v>17</v>
      </c>
      <c r="I264" s="10" t="s">
        <v>43</v>
      </c>
      <c r="J264" s="10" t="s">
        <v>19</v>
      </c>
      <c r="K264" s="10" t="s">
        <v>19</v>
      </c>
      <c r="L264" s="10" t="s">
        <v>19</v>
      </c>
      <c r="M264" s="12"/>
      <c r="N264" s="10" t="s">
        <v>20</v>
      </c>
      <c r="O264" s="10" t="s">
        <v>2054</v>
      </c>
      <c r="P264" s="25" t="str">
        <f>IFERROR(
IF(OR(O264="anulado",O264="stand by"),CONCATENATE(O264,": ",H264),
IF(OR(YEAR(M264)=2022,YEAR(M264)=2023),CONCATENATE("Se activó en ",YEAR(M264)),
IF(AND(OR(O264="En proceso",O264="facturando"),AND(J264="-",M264="")),"Por revisar",
IF(M264="",IF(J264="NUEVAS",CONCATENATE("Estado: ",O264,", ",J264),
IF(L264=Meses!$A$3,"Por revisar",
IF(H264="","Sin registro","En programación Frcst."))),"En programación")))),
"Error")</f>
        <v>Por revisar</v>
      </c>
      <c r="Q264" s="9" t="str">
        <f t="shared" si="12"/>
        <v>programación de act. NO, estado: Facturando, Comercializador: EPM, Etapa: Instalado y Activado</v>
      </c>
      <c r="R264" s="25" t="str">
        <f>IF(P264="En programación Frcst.",VLOOKUP(L264,Meses!$A$1:$H$14,3+HLOOKUP(Cronograma!J264,Meses!$D$1:$G$2,2,FALSE),FALSE),
IF(P264="En programación",M264,""))</f>
        <v/>
      </c>
      <c r="S264" s="25" t="str">
        <f t="shared" si="14"/>
        <v/>
      </c>
      <c r="T264" s="21" t="str">
        <f>IFERROR(
(VLOOKUP(MONTH(R264),Meses!$B$3:$C$14,2,FALSE)-DAY(R264))/VLOOKUP(MONTH(R264),Meses!$B$3:$C$14,2,FALSE)*U264,
"")</f>
        <v/>
      </c>
      <c r="U264" s="22">
        <f t="shared" si="13"/>
        <v>779</v>
      </c>
    </row>
    <row r="265" spans="1:21" ht="32.4" hidden="1" thickBot="1" x14ac:dyDescent="0.6">
      <c r="A265" s="10" t="s">
        <v>382</v>
      </c>
      <c r="B265" s="10" t="s">
        <v>385</v>
      </c>
      <c r="C265" s="12">
        <v>45120</v>
      </c>
      <c r="D265" s="10" t="s">
        <v>41</v>
      </c>
      <c r="E265" s="10" t="s">
        <v>41</v>
      </c>
      <c r="F265" s="10">
        <v>314</v>
      </c>
      <c r="G265" s="10" t="s">
        <v>15</v>
      </c>
      <c r="H265" s="10" t="s">
        <v>17</v>
      </c>
      <c r="I265" s="10" t="s">
        <v>43</v>
      </c>
      <c r="J265" s="10" t="s">
        <v>19</v>
      </c>
      <c r="K265" s="10" t="s">
        <v>19</v>
      </c>
      <c r="L265" s="10" t="s">
        <v>19</v>
      </c>
      <c r="M265" s="12"/>
      <c r="N265" s="10" t="s">
        <v>20</v>
      </c>
      <c r="O265" s="10" t="s">
        <v>2054</v>
      </c>
      <c r="P265" s="25" t="str">
        <f>IFERROR(
IF(OR(O265="anulado",O265="stand by"),CONCATENATE(O265,": ",H265),
IF(OR(YEAR(M265)=2022,YEAR(M265)=2023),CONCATENATE("Se activó en ",YEAR(M265)),
IF(AND(OR(O265="En proceso",O265="facturando"),AND(J265="-",M265="")),"Por revisar",
IF(M265="",IF(J265="NUEVAS",CONCATENATE("Estado: ",O265,", ",J265),
IF(L265=Meses!$A$3,"Por revisar",
IF(H265="","Sin registro","En programación Frcst."))),"En programación")))),
"Error")</f>
        <v>Por revisar</v>
      </c>
      <c r="Q265" s="9" t="str">
        <f t="shared" si="12"/>
        <v>programación de act. NO, estado: Facturando, Comercializador: EPM, Etapa: Instalado y Activado</v>
      </c>
      <c r="R265" s="25" t="str">
        <f>IF(P265="En programación Frcst.",VLOOKUP(L265,Meses!$A$1:$H$14,3+HLOOKUP(Cronograma!J265,Meses!$D$1:$G$2,2,FALSE),FALSE),
IF(P265="En programación",M265,""))</f>
        <v/>
      </c>
      <c r="S265" s="25" t="str">
        <f t="shared" si="14"/>
        <v/>
      </c>
      <c r="T265" s="21" t="str">
        <f>IFERROR(
(VLOOKUP(MONTH(R265),Meses!$B$3:$C$14,2,FALSE)-DAY(R265))/VLOOKUP(MONTH(R265),Meses!$B$3:$C$14,2,FALSE)*U265,
"")</f>
        <v/>
      </c>
      <c r="U265" s="22">
        <f t="shared" si="13"/>
        <v>314</v>
      </c>
    </row>
    <row r="266" spans="1:21" ht="31.8" hidden="1" thickBot="1" x14ac:dyDescent="0.6">
      <c r="A266" s="10" t="s">
        <v>382</v>
      </c>
      <c r="B266" s="10" t="s">
        <v>386</v>
      </c>
      <c r="C266" s="12"/>
      <c r="D266" s="10" t="s">
        <v>41</v>
      </c>
      <c r="E266" s="10" t="s">
        <v>41</v>
      </c>
      <c r="F266" s="10">
        <v>1273</v>
      </c>
      <c r="G266" s="10" t="s">
        <v>15</v>
      </c>
      <c r="H266" s="10" t="s">
        <v>140</v>
      </c>
      <c r="I266" s="10" t="s">
        <v>43</v>
      </c>
      <c r="J266" s="10" t="s">
        <v>19</v>
      </c>
      <c r="K266" s="10" t="s">
        <v>19</v>
      </c>
      <c r="L266" s="10" t="s">
        <v>19</v>
      </c>
      <c r="M266" s="12"/>
      <c r="N266" s="10" t="s">
        <v>20</v>
      </c>
      <c r="O266" s="10" t="s">
        <v>2056</v>
      </c>
      <c r="P266" s="25" t="str">
        <f>IFERROR(
IF(OR(O266="anulado",O266="stand by"),CONCATENATE(O266,": ",H266),
IF(OR(YEAR(M266)=2022,YEAR(M266)=2023),CONCATENATE("Se activó en ",YEAR(M266)),
IF(AND(OR(O266="En proceso",O266="facturando"),AND(J266="-",M266="")),"Por revisar",
IF(M266="",IF(J266="NUEVAS",CONCATENATE("Estado: ",O266,", ",J266),
IF(L266=Meses!$A$3,"Por revisar",
IF(H266="","Sin registro","En programación Frcst."))),"En programación")))),
"Error")</f>
        <v>anulado: Desistido</v>
      </c>
      <c r="Q266" s="9" t="str">
        <f t="shared" si="12"/>
        <v/>
      </c>
      <c r="R266" s="25" t="str">
        <f>IF(P266="En programación Frcst.",VLOOKUP(L266,Meses!$A$1:$H$14,3+HLOOKUP(Cronograma!J266,Meses!$D$1:$G$2,2,FALSE),FALSE),
IF(P266="En programación",M266,""))</f>
        <v/>
      </c>
      <c r="S266" s="25" t="str">
        <f t="shared" si="14"/>
        <v/>
      </c>
      <c r="T266" s="21" t="str">
        <f>IFERROR(
(VLOOKUP(MONTH(R266),Meses!$B$3:$C$14,2,FALSE)-DAY(R266))/VLOOKUP(MONTH(R266),Meses!$B$3:$C$14,2,FALSE)*U266,
"")</f>
        <v/>
      </c>
      <c r="U266" s="22">
        <f t="shared" si="13"/>
        <v>1273</v>
      </c>
    </row>
    <row r="267" spans="1:21" ht="32.4" hidden="1" thickBot="1" x14ac:dyDescent="0.6">
      <c r="A267" s="10" t="s">
        <v>382</v>
      </c>
      <c r="B267" s="10" t="s">
        <v>387</v>
      </c>
      <c r="C267" s="12">
        <v>45120</v>
      </c>
      <c r="D267" s="10" t="s">
        <v>41</v>
      </c>
      <c r="E267" s="10" t="s">
        <v>41</v>
      </c>
      <c r="F267" s="10">
        <v>798</v>
      </c>
      <c r="G267" s="10" t="s">
        <v>15</v>
      </c>
      <c r="H267" s="10" t="s">
        <v>17</v>
      </c>
      <c r="I267" s="10" t="s">
        <v>43</v>
      </c>
      <c r="J267" s="10" t="s">
        <v>19</v>
      </c>
      <c r="K267" s="10" t="s">
        <v>19</v>
      </c>
      <c r="L267" s="10" t="s">
        <v>19</v>
      </c>
      <c r="M267" s="12"/>
      <c r="N267" s="10" t="s">
        <v>20</v>
      </c>
      <c r="O267" s="10" t="s">
        <v>2054</v>
      </c>
      <c r="P267" s="25" t="str">
        <f>IFERROR(
IF(OR(O267="anulado",O267="stand by"),CONCATENATE(O267,": ",H267),
IF(OR(YEAR(M267)=2022,YEAR(M267)=2023),CONCATENATE("Se activó en ",YEAR(M267)),
IF(AND(OR(O267="En proceso",O267="facturando"),AND(J267="-",M267="")),"Por revisar",
IF(M267="",IF(J267="NUEVAS",CONCATENATE("Estado: ",O267,", ",J267),
IF(L267=Meses!$A$3,"Por revisar",
IF(H267="","Sin registro","En programación Frcst."))),"En programación")))),
"Error")</f>
        <v>Por revisar</v>
      </c>
      <c r="Q267" s="9" t="str">
        <f t="shared" si="12"/>
        <v>programación de act. NO, estado: Facturando, Comercializador: EPM, Etapa: Instalado y Activado</v>
      </c>
      <c r="R267" s="25" t="str">
        <f>IF(P267="En programación Frcst.",VLOOKUP(L267,Meses!$A$1:$H$14,3+HLOOKUP(Cronograma!J267,Meses!$D$1:$G$2,2,FALSE),FALSE),
IF(P267="En programación",M267,""))</f>
        <v/>
      </c>
      <c r="S267" s="25" t="str">
        <f t="shared" si="14"/>
        <v/>
      </c>
      <c r="T267" s="21" t="str">
        <f>IFERROR(
(VLOOKUP(MONTH(R267),Meses!$B$3:$C$14,2,FALSE)-DAY(R267))/VLOOKUP(MONTH(R267),Meses!$B$3:$C$14,2,FALSE)*U267,
"")</f>
        <v/>
      </c>
      <c r="U267" s="22">
        <f t="shared" si="13"/>
        <v>798</v>
      </c>
    </row>
    <row r="268" spans="1:21" ht="31.8" hidden="1" thickBot="1" x14ac:dyDescent="0.6">
      <c r="A268" s="10" t="s">
        <v>382</v>
      </c>
      <c r="B268" s="10" t="s">
        <v>388</v>
      </c>
      <c r="C268" s="12"/>
      <c r="D268" s="10" t="s">
        <v>41</v>
      </c>
      <c r="E268" s="10" t="s">
        <v>41</v>
      </c>
      <c r="F268" s="10">
        <v>1217</v>
      </c>
      <c r="G268" s="10" t="s">
        <v>15</v>
      </c>
      <c r="H268" s="10" t="s">
        <v>140</v>
      </c>
      <c r="I268" s="10" t="s">
        <v>43</v>
      </c>
      <c r="J268" s="10" t="s">
        <v>19</v>
      </c>
      <c r="K268" s="10" t="s">
        <v>19</v>
      </c>
      <c r="L268" s="10" t="s">
        <v>19</v>
      </c>
      <c r="M268" s="12"/>
      <c r="N268" s="10" t="s">
        <v>20</v>
      </c>
      <c r="O268" s="10" t="s">
        <v>2056</v>
      </c>
      <c r="P268" s="25" t="str">
        <f>IFERROR(
IF(OR(O268="anulado",O268="stand by"),CONCATENATE(O268,": ",H268),
IF(OR(YEAR(M268)=2022,YEAR(M268)=2023),CONCATENATE("Se activó en ",YEAR(M268)),
IF(AND(OR(O268="En proceso",O268="facturando"),AND(J268="-",M268="")),"Por revisar",
IF(M268="",IF(J268="NUEVAS",CONCATENATE("Estado: ",O268,", ",J268),
IF(L268=Meses!$A$3,"Por revisar",
IF(H268="","Sin registro","En programación Frcst."))),"En programación")))),
"Error")</f>
        <v>anulado: Desistido</v>
      </c>
      <c r="Q268" s="9" t="str">
        <f t="shared" si="12"/>
        <v/>
      </c>
      <c r="R268" s="25" t="str">
        <f>IF(P268="En programación Frcst.",VLOOKUP(L268,Meses!$A$1:$H$14,3+HLOOKUP(Cronograma!J268,Meses!$D$1:$G$2,2,FALSE),FALSE),
IF(P268="En programación",M268,""))</f>
        <v/>
      </c>
      <c r="S268" s="25" t="str">
        <f t="shared" si="14"/>
        <v/>
      </c>
      <c r="T268" s="21" t="str">
        <f>IFERROR(
(VLOOKUP(MONTH(R268),Meses!$B$3:$C$14,2,FALSE)-DAY(R268))/VLOOKUP(MONTH(R268),Meses!$B$3:$C$14,2,FALSE)*U268,
"")</f>
        <v/>
      </c>
      <c r="U268" s="22">
        <f t="shared" si="13"/>
        <v>1217</v>
      </c>
    </row>
    <row r="269" spans="1:21" ht="32.4" hidden="1" thickBot="1" x14ac:dyDescent="0.6">
      <c r="A269" s="10" t="s">
        <v>389</v>
      </c>
      <c r="B269" s="10" t="s">
        <v>390</v>
      </c>
      <c r="C269" s="12">
        <v>45127</v>
      </c>
      <c r="D269" s="10" t="s">
        <v>44</v>
      </c>
      <c r="E269" s="10" t="s">
        <v>44</v>
      </c>
      <c r="F269" s="10">
        <v>935</v>
      </c>
      <c r="G269" s="10" t="s">
        <v>15</v>
      </c>
      <c r="H269" s="10" t="s">
        <v>17</v>
      </c>
      <c r="I269" s="10" t="s">
        <v>43</v>
      </c>
      <c r="J269" s="10" t="s">
        <v>19</v>
      </c>
      <c r="K269" s="10" t="s">
        <v>19</v>
      </c>
      <c r="L269" s="10" t="s">
        <v>19</v>
      </c>
      <c r="M269" s="12"/>
      <c r="N269" s="10" t="s">
        <v>20</v>
      </c>
      <c r="O269" s="10" t="s">
        <v>2054</v>
      </c>
      <c r="P269" s="25" t="str">
        <f>IFERROR(
IF(OR(O269="anulado",O269="stand by"),CONCATENATE(O269,": ",H269),
IF(OR(YEAR(M269)=2022,YEAR(M269)=2023),CONCATENATE("Se activó en ",YEAR(M269)),
IF(AND(OR(O269="En proceso",O269="facturando"),AND(J269="-",M269="")),"Por revisar",
IF(M269="",IF(J269="NUEVAS",CONCATENATE("Estado: ",O269,", ",J269),
IF(L269=Meses!$A$3,"Por revisar",
IF(H269="","Sin registro","En programación Frcst."))),"En programación")))),
"Error")</f>
        <v>Por revisar</v>
      </c>
      <c r="Q269" s="9" t="str">
        <f t="shared" si="12"/>
        <v>programación de act. NO, estado: Facturando, Comercializador: AFINIA, Etapa: Instalado y Activado</v>
      </c>
      <c r="R269" s="25" t="str">
        <f>IF(P269="En programación Frcst.",VLOOKUP(L269,Meses!$A$1:$H$14,3+HLOOKUP(Cronograma!J269,Meses!$D$1:$G$2,2,FALSE),FALSE),
IF(P269="En programación",M269,""))</f>
        <v/>
      </c>
      <c r="S269" s="25" t="str">
        <f t="shared" si="14"/>
        <v/>
      </c>
      <c r="T269" s="21" t="str">
        <f>IFERROR(
(VLOOKUP(MONTH(R269),Meses!$B$3:$C$14,2,FALSE)-DAY(R269))/VLOOKUP(MONTH(R269),Meses!$B$3:$C$14,2,FALSE)*U269,
"")</f>
        <v/>
      </c>
      <c r="U269" s="22">
        <f t="shared" si="13"/>
        <v>935</v>
      </c>
    </row>
    <row r="270" spans="1:21" ht="32.4" hidden="1" thickBot="1" x14ac:dyDescent="0.6">
      <c r="A270" s="10" t="s">
        <v>389</v>
      </c>
      <c r="B270" s="10" t="s">
        <v>391</v>
      </c>
      <c r="C270" s="12">
        <v>45127</v>
      </c>
      <c r="D270" s="10" t="s">
        <v>44</v>
      </c>
      <c r="E270" s="10" t="s">
        <v>44</v>
      </c>
      <c r="F270" s="10">
        <v>999</v>
      </c>
      <c r="G270" s="10" t="s">
        <v>15</v>
      </c>
      <c r="H270" s="10" t="s">
        <v>17</v>
      </c>
      <c r="I270" s="10" t="s">
        <v>43</v>
      </c>
      <c r="J270" s="10" t="s">
        <v>19</v>
      </c>
      <c r="K270" s="10" t="s">
        <v>19</v>
      </c>
      <c r="L270" s="10" t="s">
        <v>19</v>
      </c>
      <c r="M270" s="12"/>
      <c r="N270" s="10" t="s">
        <v>20</v>
      </c>
      <c r="O270" s="10" t="s">
        <v>2054</v>
      </c>
      <c r="P270" s="25" t="str">
        <f>IFERROR(
IF(OR(O270="anulado",O270="stand by"),CONCATENATE(O270,": ",H270),
IF(OR(YEAR(M270)=2022,YEAR(M270)=2023),CONCATENATE("Se activó en ",YEAR(M270)),
IF(AND(OR(O270="En proceso",O270="facturando"),AND(J270="-",M270="")),"Por revisar",
IF(M270="",IF(J270="NUEVAS",CONCATENATE("Estado: ",O270,", ",J270),
IF(L270=Meses!$A$3,"Por revisar",
IF(H270="","Sin registro","En programación Frcst."))),"En programación")))),
"Error")</f>
        <v>Por revisar</v>
      </c>
      <c r="Q270" s="9" t="str">
        <f t="shared" si="12"/>
        <v>programación de act. NO, estado: Facturando, Comercializador: AFINIA, Etapa: Instalado y Activado</v>
      </c>
      <c r="R270" s="25" t="str">
        <f>IF(P270="En programación Frcst.",VLOOKUP(L270,Meses!$A$1:$H$14,3+HLOOKUP(Cronograma!J270,Meses!$D$1:$G$2,2,FALSE),FALSE),
IF(P270="En programación",M270,""))</f>
        <v/>
      </c>
      <c r="S270" s="25" t="str">
        <f t="shared" si="14"/>
        <v/>
      </c>
      <c r="T270" s="21" t="str">
        <f>IFERROR(
(VLOOKUP(MONTH(R270),Meses!$B$3:$C$14,2,FALSE)-DAY(R270))/VLOOKUP(MONTH(R270),Meses!$B$3:$C$14,2,FALSE)*U270,
"")</f>
        <v/>
      </c>
      <c r="U270" s="22">
        <f t="shared" si="13"/>
        <v>999</v>
      </c>
    </row>
    <row r="271" spans="1:21" ht="32.4" hidden="1" thickBot="1" x14ac:dyDescent="0.6">
      <c r="A271" s="10" t="s">
        <v>389</v>
      </c>
      <c r="B271" s="10" t="s">
        <v>392</v>
      </c>
      <c r="C271" s="12">
        <v>45127</v>
      </c>
      <c r="D271" s="10" t="s">
        <v>44</v>
      </c>
      <c r="E271" s="10" t="s">
        <v>44</v>
      </c>
      <c r="F271" s="10">
        <v>793</v>
      </c>
      <c r="G271" s="10" t="s">
        <v>15</v>
      </c>
      <c r="H271" s="10" t="s">
        <v>17</v>
      </c>
      <c r="I271" s="10" t="s">
        <v>43</v>
      </c>
      <c r="J271" s="10" t="s">
        <v>19</v>
      </c>
      <c r="K271" s="10" t="s">
        <v>19</v>
      </c>
      <c r="L271" s="10" t="s">
        <v>19</v>
      </c>
      <c r="M271" s="12"/>
      <c r="N271" s="10" t="s">
        <v>20</v>
      </c>
      <c r="O271" s="10" t="s">
        <v>2054</v>
      </c>
      <c r="P271" s="25" t="str">
        <f>IFERROR(
IF(OR(O271="anulado",O271="stand by"),CONCATENATE(O271,": ",H271),
IF(OR(YEAR(M271)=2022,YEAR(M271)=2023),CONCATENATE("Se activó en ",YEAR(M271)),
IF(AND(OR(O271="En proceso",O271="facturando"),AND(J271="-",M271="")),"Por revisar",
IF(M271="",IF(J271="NUEVAS",CONCATENATE("Estado: ",O271,", ",J271),
IF(L271=Meses!$A$3,"Por revisar",
IF(H271="","Sin registro","En programación Frcst."))),"En programación")))),
"Error")</f>
        <v>Por revisar</v>
      </c>
      <c r="Q271" s="9" t="str">
        <f t="shared" si="12"/>
        <v>programación de act. NO, estado: Facturando, Comercializador: AFINIA, Etapa: Instalado y Activado</v>
      </c>
      <c r="R271" s="25" t="str">
        <f>IF(P271="En programación Frcst.",VLOOKUP(L271,Meses!$A$1:$H$14,3+HLOOKUP(Cronograma!J271,Meses!$D$1:$G$2,2,FALSE),FALSE),
IF(P271="En programación",M271,""))</f>
        <v/>
      </c>
      <c r="S271" s="25" t="str">
        <f t="shared" si="14"/>
        <v/>
      </c>
      <c r="T271" s="21" t="str">
        <f>IFERROR(
(VLOOKUP(MONTH(R271),Meses!$B$3:$C$14,2,FALSE)-DAY(R271))/VLOOKUP(MONTH(R271),Meses!$B$3:$C$14,2,FALSE)*U271,
"")</f>
        <v/>
      </c>
      <c r="U271" s="22">
        <f t="shared" si="13"/>
        <v>793</v>
      </c>
    </row>
    <row r="272" spans="1:21" ht="32.4" hidden="1" thickBot="1" x14ac:dyDescent="0.6">
      <c r="A272" s="10" t="s">
        <v>389</v>
      </c>
      <c r="B272" s="10" t="s">
        <v>393</v>
      </c>
      <c r="C272" s="12">
        <v>45127</v>
      </c>
      <c r="D272" s="10" t="s">
        <v>44</v>
      </c>
      <c r="E272" s="10" t="s">
        <v>44</v>
      </c>
      <c r="F272" s="10">
        <v>815</v>
      </c>
      <c r="G272" s="10" t="s">
        <v>15</v>
      </c>
      <c r="H272" s="10" t="s">
        <v>17</v>
      </c>
      <c r="I272" s="10" t="s">
        <v>43</v>
      </c>
      <c r="J272" s="10" t="s">
        <v>19</v>
      </c>
      <c r="K272" s="10" t="s">
        <v>19</v>
      </c>
      <c r="L272" s="10" t="s">
        <v>19</v>
      </c>
      <c r="M272" s="12"/>
      <c r="N272" s="10" t="s">
        <v>20</v>
      </c>
      <c r="O272" s="10" t="s">
        <v>2054</v>
      </c>
      <c r="P272" s="25" t="str">
        <f>IFERROR(
IF(OR(O272="anulado",O272="stand by"),CONCATENATE(O272,": ",H272),
IF(OR(YEAR(M272)=2022,YEAR(M272)=2023),CONCATENATE("Se activó en ",YEAR(M272)),
IF(AND(OR(O272="En proceso",O272="facturando"),AND(J272="-",M272="")),"Por revisar",
IF(M272="",IF(J272="NUEVAS",CONCATENATE("Estado: ",O272,", ",J272),
IF(L272=Meses!$A$3,"Por revisar",
IF(H272="","Sin registro","En programación Frcst."))),"En programación")))),
"Error")</f>
        <v>Por revisar</v>
      </c>
      <c r="Q272" s="9" t="str">
        <f t="shared" si="12"/>
        <v>programación de act. NO, estado: Facturando, Comercializador: AFINIA, Etapa: Instalado y Activado</v>
      </c>
      <c r="R272" s="25" t="str">
        <f>IF(P272="En programación Frcst.",VLOOKUP(L272,Meses!$A$1:$H$14,3+HLOOKUP(Cronograma!J272,Meses!$D$1:$G$2,2,FALSE),FALSE),
IF(P272="En programación",M272,""))</f>
        <v/>
      </c>
      <c r="S272" s="25" t="str">
        <f t="shared" si="14"/>
        <v/>
      </c>
      <c r="T272" s="21" t="str">
        <f>IFERROR(
(VLOOKUP(MONTH(R272),Meses!$B$3:$C$14,2,FALSE)-DAY(R272))/VLOOKUP(MONTH(R272),Meses!$B$3:$C$14,2,FALSE)*U272,
"")</f>
        <v/>
      </c>
      <c r="U272" s="22">
        <f t="shared" si="13"/>
        <v>815</v>
      </c>
    </row>
    <row r="273" spans="1:21" ht="32.4" hidden="1" thickBot="1" x14ac:dyDescent="0.6">
      <c r="A273" s="10" t="s">
        <v>389</v>
      </c>
      <c r="B273" s="10" t="s">
        <v>394</v>
      </c>
      <c r="C273" s="12">
        <v>45127</v>
      </c>
      <c r="D273" s="10" t="s">
        <v>44</v>
      </c>
      <c r="E273" s="10" t="s">
        <v>44</v>
      </c>
      <c r="F273" s="10">
        <v>777</v>
      </c>
      <c r="G273" s="10" t="s">
        <v>15</v>
      </c>
      <c r="H273" s="10" t="s">
        <v>17</v>
      </c>
      <c r="I273" s="10" t="s">
        <v>43</v>
      </c>
      <c r="J273" s="10" t="s">
        <v>19</v>
      </c>
      <c r="K273" s="10" t="s">
        <v>19</v>
      </c>
      <c r="L273" s="10" t="s">
        <v>19</v>
      </c>
      <c r="M273" s="12"/>
      <c r="N273" s="10" t="s">
        <v>20</v>
      </c>
      <c r="O273" s="10" t="s">
        <v>2054</v>
      </c>
      <c r="P273" s="25" t="str">
        <f>IFERROR(
IF(OR(O273="anulado",O273="stand by"),CONCATENATE(O273,": ",H273),
IF(OR(YEAR(M273)=2022,YEAR(M273)=2023),CONCATENATE("Se activó en ",YEAR(M273)),
IF(AND(OR(O273="En proceso",O273="facturando"),AND(J273="-",M273="")),"Por revisar",
IF(M273="",IF(J273="NUEVAS",CONCATENATE("Estado: ",O273,", ",J273),
IF(L273=Meses!$A$3,"Por revisar",
IF(H273="","Sin registro","En programación Frcst."))),"En programación")))),
"Error")</f>
        <v>Por revisar</v>
      </c>
      <c r="Q273" s="9" t="str">
        <f t="shared" si="12"/>
        <v>programación de act. NO, estado: Facturando, Comercializador: AFINIA, Etapa: Instalado y Activado</v>
      </c>
      <c r="R273" s="25" t="str">
        <f>IF(P273="En programación Frcst.",VLOOKUP(L273,Meses!$A$1:$H$14,3+HLOOKUP(Cronograma!J273,Meses!$D$1:$G$2,2,FALSE),FALSE),
IF(P273="En programación",M273,""))</f>
        <v/>
      </c>
      <c r="S273" s="25" t="str">
        <f t="shared" si="14"/>
        <v/>
      </c>
      <c r="T273" s="21" t="str">
        <f>IFERROR(
(VLOOKUP(MONTH(R273),Meses!$B$3:$C$14,2,FALSE)-DAY(R273))/VLOOKUP(MONTH(R273),Meses!$B$3:$C$14,2,FALSE)*U273,
"")</f>
        <v/>
      </c>
      <c r="U273" s="22">
        <f t="shared" si="13"/>
        <v>777</v>
      </c>
    </row>
    <row r="274" spans="1:21" ht="32.4" hidden="1" thickBot="1" x14ac:dyDescent="0.6">
      <c r="A274" s="10" t="s">
        <v>389</v>
      </c>
      <c r="B274" s="10" t="s">
        <v>395</v>
      </c>
      <c r="C274" s="12">
        <v>45127</v>
      </c>
      <c r="D274" s="10" t="s">
        <v>44</v>
      </c>
      <c r="E274" s="10" t="s">
        <v>44</v>
      </c>
      <c r="F274" s="10">
        <v>1379</v>
      </c>
      <c r="G274" s="10" t="s">
        <v>15</v>
      </c>
      <c r="H274" s="10" t="s">
        <v>17</v>
      </c>
      <c r="I274" s="10" t="s">
        <v>43</v>
      </c>
      <c r="J274" s="10" t="s">
        <v>19</v>
      </c>
      <c r="K274" s="10" t="s">
        <v>19</v>
      </c>
      <c r="L274" s="10" t="s">
        <v>19</v>
      </c>
      <c r="M274" s="12"/>
      <c r="N274" s="10" t="s">
        <v>20</v>
      </c>
      <c r="O274" s="10" t="s">
        <v>2054</v>
      </c>
      <c r="P274" s="25" t="str">
        <f>IFERROR(
IF(OR(O274="anulado",O274="stand by"),CONCATENATE(O274,": ",H274),
IF(OR(YEAR(M274)=2022,YEAR(M274)=2023),CONCATENATE("Se activó en ",YEAR(M274)),
IF(AND(OR(O274="En proceso",O274="facturando"),AND(J274="-",M274="")),"Por revisar",
IF(M274="",IF(J274="NUEVAS",CONCATENATE("Estado: ",O274,", ",J274),
IF(L274=Meses!$A$3,"Por revisar",
IF(H274="","Sin registro","En programación Frcst."))),"En programación")))),
"Error")</f>
        <v>Por revisar</v>
      </c>
      <c r="Q274" s="9" t="str">
        <f t="shared" si="12"/>
        <v>programación de act. NO, estado: Facturando, Comercializador: AFINIA, Etapa: Instalado y Activado</v>
      </c>
      <c r="R274" s="25" t="str">
        <f>IF(P274="En programación Frcst.",VLOOKUP(L274,Meses!$A$1:$H$14,3+HLOOKUP(Cronograma!J274,Meses!$D$1:$G$2,2,FALSE),FALSE),
IF(P274="En programación",M274,""))</f>
        <v/>
      </c>
      <c r="S274" s="25" t="str">
        <f t="shared" si="14"/>
        <v/>
      </c>
      <c r="T274" s="21" t="str">
        <f>IFERROR(
(VLOOKUP(MONTH(R274),Meses!$B$3:$C$14,2,FALSE)-DAY(R274))/VLOOKUP(MONTH(R274),Meses!$B$3:$C$14,2,FALSE)*U274,
"")</f>
        <v/>
      </c>
      <c r="U274" s="22">
        <f t="shared" si="13"/>
        <v>1379</v>
      </c>
    </row>
    <row r="275" spans="1:21" ht="32.4" hidden="1" thickBot="1" x14ac:dyDescent="0.6">
      <c r="A275" s="10" t="s">
        <v>389</v>
      </c>
      <c r="B275" s="10" t="s">
        <v>396</v>
      </c>
      <c r="C275" s="12">
        <v>45127</v>
      </c>
      <c r="D275" s="10" t="s">
        <v>44</v>
      </c>
      <c r="E275" s="10" t="s">
        <v>44</v>
      </c>
      <c r="F275" s="10">
        <v>1441</v>
      </c>
      <c r="G275" s="10" t="s">
        <v>15</v>
      </c>
      <c r="H275" s="10" t="s">
        <v>17</v>
      </c>
      <c r="I275" s="10" t="s">
        <v>43</v>
      </c>
      <c r="J275" s="10" t="s">
        <v>19</v>
      </c>
      <c r="K275" s="10" t="s">
        <v>19</v>
      </c>
      <c r="L275" s="10" t="s">
        <v>19</v>
      </c>
      <c r="M275" s="12"/>
      <c r="N275" s="10" t="s">
        <v>20</v>
      </c>
      <c r="O275" s="10" t="s">
        <v>2054</v>
      </c>
      <c r="P275" s="25" t="str">
        <f>IFERROR(
IF(OR(O275="anulado",O275="stand by"),CONCATENATE(O275,": ",H275),
IF(OR(YEAR(M275)=2022,YEAR(M275)=2023),CONCATENATE("Se activó en ",YEAR(M275)),
IF(AND(OR(O275="En proceso",O275="facturando"),AND(J275="-",M275="")),"Por revisar",
IF(M275="",IF(J275="NUEVAS",CONCATENATE("Estado: ",O275,", ",J275),
IF(L275=Meses!$A$3,"Por revisar",
IF(H275="","Sin registro","En programación Frcst."))),"En programación")))),
"Error")</f>
        <v>Por revisar</v>
      </c>
      <c r="Q275" s="9" t="str">
        <f t="shared" si="12"/>
        <v>programación de act. NO, estado: Facturando, Comercializador: AFINIA, Etapa: Instalado y Activado</v>
      </c>
      <c r="R275" s="25" t="str">
        <f>IF(P275="En programación Frcst.",VLOOKUP(L275,Meses!$A$1:$H$14,3+HLOOKUP(Cronograma!J275,Meses!$D$1:$G$2,2,FALSE),FALSE),
IF(P275="En programación",M275,""))</f>
        <v/>
      </c>
      <c r="S275" s="25" t="str">
        <f t="shared" si="14"/>
        <v/>
      </c>
      <c r="T275" s="21" t="str">
        <f>IFERROR(
(VLOOKUP(MONTH(R275),Meses!$B$3:$C$14,2,FALSE)-DAY(R275))/VLOOKUP(MONTH(R275),Meses!$B$3:$C$14,2,FALSE)*U275,
"")</f>
        <v/>
      </c>
      <c r="U275" s="22">
        <f t="shared" si="13"/>
        <v>1441</v>
      </c>
    </row>
    <row r="276" spans="1:21" ht="32.4" hidden="1" thickBot="1" x14ac:dyDescent="0.6">
      <c r="A276" s="10" t="s">
        <v>389</v>
      </c>
      <c r="B276" s="10" t="s">
        <v>397</v>
      </c>
      <c r="C276" s="12">
        <v>45127</v>
      </c>
      <c r="D276" s="10" t="s">
        <v>44</v>
      </c>
      <c r="E276" s="10" t="s">
        <v>44</v>
      </c>
      <c r="F276" s="10">
        <v>1260</v>
      </c>
      <c r="G276" s="10" t="s">
        <v>15</v>
      </c>
      <c r="H276" s="10" t="s">
        <v>17</v>
      </c>
      <c r="I276" s="10" t="s">
        <v>43</v>
      </c>
      <c r="J276" s="10" t="s">
        <v>19</v>
      </c>
      <c r="K276" s="10" t="s">
        <v>19</v>
      </c>
      <c r="L276" s="10" t="s">
        <v>19</v>
      </c>
      <c r="M276" s="12"/>
      <c r="N276" s="10" t="s">
        <v>20</v>
      </c>
      <c r="O276" s="10" t="s">
        <v>2054</v>
      </c>
      <c r="P276" s="25" t="str">
        <f>IFERROR(
IF(OR(O276="anulado",O276="stand by"),CONCATENATE(O276,": ",H276),
IF(OR(YEAR(M276)=2022,YEAR(M276)=2023),CONCATENATE("Se activó en ",YEAR(M276)),
IF(AND(OR(O276="En proceso",O276="facturando"),AND(J276="-",M276="")),"Por revisar",
IF(M276="",IF(J276="NUEVAS",CONCATENATE("Estado: ",O276,", ",J276),
IF(L276=Meses!$A$3,"Por revisar",
IF(H276="","Sin registro","En programación Frcst."))),"En programación")))),
"Error")</f>
        <v>Por revisar</v>
      </c>
      <c r="Q276" s="9" t="str">
        <f t="shared" si="12"/>
        <v>programación de act. NO, estado: Facturando, Comercializador: AFINIA, Etapa: Instalado y Activado</v>
      </c>
      <c r="R276" s="25" t="str">
        <f>IF(P276="En programación Frcst.",VLOOKUP(L276,Meses!$A$1:$H$14,3+HLOOKUP(Cronograma!J276,Meses!$D$1:$G$2,2,FALSE),FALSE),
IF(P276="En programación",M276,""))</f>
        <v/>
      </c>
      <c r="S276" s="25" t="str">
        <f t="shared" si="14"/>
        <v/>
      </c>
      <c r="T276" s="21" t="str">
        <f>IFERROR(
(VLOOKUP(MONTH(R276),Meses!$B$3:$C$14,2,FALSE)-DAY(R276))/VLOOKUP(MONTH(R276),Meses!$B$3:$C$14,2,FALSE)*U276,
"")</f>
        <v/>
      </c>
      <c r="U276" s="22">
        <f t="shared" si="13"/>
        <v>1260</v>
      </c>
    </row>
    <row r="277" spans="1:21" ht="32.4" hidden="1" thickBot="1" x14ac:dyDescent="0.6">
      <c r="A277" s="10" t="s">
        <v>389</v>
      </c>
      <c r="B277" s="10" t="s">
        <v>398</v>
      </c>
      <c r="C277" s="12">
        <v>45127</v>
      </c>
      <c r="D277" s="10" t="s">
        <v>44</v>
      </c>
      <c r="E277" s="10" t="s">
        <v>44</v>
      </c>
      <c r="F277" s="10">
        <v>1294</v>
      </c>
      <c r="G277" s="10" t="s">
        <v>15</v>
      </c>
      <c r="H277" s="10" t="s">
        <v>17</v>
      </c>
      <c r="I277" s="10" t="s">
        <v>43</v>
      </c>
      <c r="J277" s="10" t="s">
        <v>19</v>
      </c>
      <c r="K277" s="10" t="s">
        <v>19</v>
      </c>
      <c r="L277" s="10" t="s">
        <v>19</v>
      </c>
      <c r="M277" s="12"/>
      <c r="N277" s="10" t="s">
        <v>20</v>
      </c>
      <c r="O277" s="10" t="s">
        <v>2054</v>
      </c>
      <c r="P277" s="25" t="str">
        <f>IFERROR(
IF(OR(O277="anulado",O277="stand by"),CONCATENATE(O277,": ",H277),
IF(OR(YEAR(M277)=2022,YEAR(M277)=2023),CONCATENATE("Se activó en ",YEAR(M277)),
IF(AND(OR(O277="En proceso",O277="facturando"),AND(J277="-",M277="")),"Por revisar",
IF(M277="",IF(J277="NUEVAS",CONCATENATE("Estado: ",O277,", ",J277),
IF(L277=Meses!$A$3,"Por revisar",
IF(H277="","Sin registro","En programación Frcst."))),"En programación")))),
"Error")</f>
        <v>Por revisar</v>
      </c>
      <c r="Q277" s="9" t="str">
        <f t="shared" si="12"/>
        <v>programación de act. NO, estado: Facturando, Comercializador: AFINIA, Etapa: Instalado y Activado</v>
      </c>
      <c r="R277" s="25" t="str">
        <f>IF(P277="En programación Frcst.",VLOOKUP(L277,Meses!$A$1:$H$14,3+HLOOKUP(Cronograma!J277,Meses!$D$1:$G$2,2,FALSE),FALSE),
IF(P277="En programación",M277,""))</f>
        <v/>
      </c>
      <c r="S277" s="25" t="str">
        <f t="shared" si="14"/>
        <v/>
      </c>
      <c r="T277" s="21" t="str">
        <f>IFERROR(
(VLOOKUP(MONTH(R277),Meses!$B$3:$C$14,2,FALSE)-DAY(R277))/VLOOKUP(MONTH(R277),Meses!$B$3:$C$14,2,FALSE)*U277,
"")</f>
        <v/>
      </c>
      <c r="U277" s="22">
        <f t="shared" si="13"/>
        <v>1294</v>
      </c>
    </row>
    <row r="278" spans="1:21" ht="32.4" hidden="1" thickBot="1" x14ac:dyDescent="0.6">
      <c r="A278" s="10" t="s">
        <v>389</v>
      </c>
      <c r="B278" s="10" t="s">
        <v>399</v>
      </c>
      <c r="C278" s="12">
        <v>45127</v>
      </c>
      <c r="D278" s="10" t="s">
        <v>44</v>
      </c>
      <c r="E278" s="10" t="s">
        <v>44</v>
      </c>
      <c r="F278" s="10">
        <v>1409</v>
      </c>
      <c r="G278" s="10" t="s">
        <v>15</v>
      </c>
      <c r="H278" s="10" t="s">
        <v>17</v>
      </c>
      <c r="I278" s="10" t="s">
        <v>43</v>
      </c>
      <c r="J278" s="10" t="s">
        <v>19</v>
      </c>
      <c r="K278" s="10" t="s">
        <v>19</v>
      </c>
      <c r="L278" s="10" t="s">
        <v>19</v>
      </c>
      <c r="M278" s="12"/>
      <c r="N278" s="10" t="s">
        <v>20</v>
      </c>
      <c r="O278" s="10" t="s">
        <v>2054</v>
      </c>
      <c r="P278" s="25" t="str">
        <f>IFERROR(
IF(OR(O278="anulado",O278="stand by"),CONCATENATE(O278,": ",H278),
IF(OR(YEAR(M278)=2022,YEAR(M278)=2023),CONCATENATE("Se activó en ",YEAR(M278)),
IF(AND(OR(O278="En proceso",O278="facturando"),AND(J278="-",M278="")),"Por revisar",
IF(M278="",IF(J278="NUEVAS",CONCATENATE("Estado: ",O278,", ",J278),
IF(L278=Meses!$A$3,"Por revisar",
IF(H278="","Sin registro","En programación Frcst."))),"En programación")))),
"Error")</f>
        <v>Por revisar</v>
      </c>
      <c r="Q278" s="9" t="str">
        <f t="shared" si="12"/>
        <v>programación de act. NO, estado: Facturando, Comercializador: AFINIA, Etapa: Instalado y Activado</v>
      </c>
      <c r="R278" s="25" t="str">
        <f>IF(P278="En programación Frcst.",VLOOKUP(L278,Meses!$A$1:$H$14,3+HLOOKUP(Cronograma!J278,Meses!$D$1:$G$2,2,FALSE),FALSE),
IF(P278="En programación",M278,""))</f>
        <v/>
      </c>
      <c r="S278" s="25" t="str">
        <f t="shared" si="14"/>
        <v/>
      </c>
      <c r="T278" s="21" t="str">
        <f>IFERROR(
(VLOOKUP(MONTH(R278),Meses!$B$3:$C$14,2,FALSE)-DAY(R278))/VLOOKUP(MONTH(R278),Meses!$B$3:$C$14,2,FALSE)*U278,
"")</f>
        <v/>
      </c>
      <c r="U278" s="22">
        <f t="shared" si="13"/>
        <v>1409</v>
      </c>
    </row>
    <row r="279" spans="1:21" ht="31.8" hidden="1" thickBot="1" x14ac:dyDescent="0.6">
      <c r="A279" s="10" t="s">
        <v>400</v>
      </c>
      <c r="B279" s="10" t="s">
        <v>401</v>
      </c>
      <c r="C279" s="12"/>
      <c r="D279" s="10" t="s">
        <v>74</v>
      </c>
      <c r="E279" s="10" t="s">
        <v>74</v>
      </c>
      <c r="F279" s="10">
        <v>2770</v>
      </c>
      <c r="G279" s="10" t="s">
        <v>15</v>
      </c>
      <c r="H279" s="10" t="s">
        <v>2921</v>
      </c>
      <c r="I279" s="10" t="s">
        <v>43</v>
      </c>
      <c r="J279" s="10" t="s">
        <v>143</v>
      </c>
      <c r="K279" s="10" t="s">
        <v>3309</v>
      </c>
      <c r="L279" s="10" t="s">
        <v>1120</v>
      </c>
      <c r="M279" s="12">
        <v>45365</v>
      </c>
      <c r="N279" s="10" t="s">
        <v>15</v>
      </c>
      <c r="O279" s="10" t="s">
        <v>2057</v>
      </c>
      <c r="P279" s="25" t="str">
        <f>IFERROR(
IF(OR(O279="anulado",O279="stand by"),CONCATENATE(O279,": ",H279),
IF(OR(YEAR(M279)=2022,YEAR(M279)=2023),CONCATENATE("Se activó en ",YEAR(M279)),
IF(AND(OR(O279="En proceso",O279="facturando"),AND(J279="-",M279="")),"Por revisar",
IF(M279="",IF(J279="NUEVAS",CONCATENATE("Estado: ",O279,", ",J279),
IF(L279=Meses!$A$3,"Por revisar",
IF(H279="","Sin registro","En programación Frcst."))),"En programación")))),
"Error")</f>
        <v>En programación</v>
      </c>
      <c r="Q279" s="9" t="str">
        <f t="shared" si="12"/>
        <v/>
      </c>
      <c r="R279" s="25">
        <f>IF(P279="En programación Frcst.",VLOOKUP(L279,Meses!$A$1:$H$14,3+HLOOKUP(Cronograma!J279,Meses!$D$1:$G$2,2,FALSE),FALSE),
IF(P279="En programación",M279,""))</f>
        <v>45365</v>
      </c>
      <c r="S279" s="25" t="str">
        <f t="shared" si="14"/>
        <v>2024/3</v>
      </c>
      <c r="T279" s="21">
        <f>IFERROR(
(VLOOKUP(MONTH(R279),Meses!$B$3:$C$14,2,FALSE)-DAY(R279))/VLOOKUP(MONTH(R279),Meses!$B$3:$C$14,2,FALSE)*U279,
"")</f>
        <v>1519.0322580645161</v>
      </c>
      <c r="U279" s="22">
        <f t="shared" si="13"/>
        <v>2770</v>
      </c>
    </row>
    <row r="280" spans="1:21" ht="32.4" hidden="1" thickBot="1" x14ac:dyDescent="0.6">
      <c r="A280" s="10" t="s">
        <v>402</v>
      </c>
      <c r="B280" s="10" t="s">
        <v>403</v>
      </c>
      <c r="C280" s="12">
        <v>45120</v>
      </c>
      <c r="D280" s="10" t="s">
        <v>41</v>
      </c>
      <c r="E280" s="10" t="s">
        <v>41</v>
      </c>
      <c r="F280" s="10">
        <v>3765</v>
      </c>
      <c r="G280" s="10" t="s">
        <v>15</v>
      </c>
      <c r="H280" s="10" t="s">
        <v>17</v>
      </c>
      <c r="I280" s="10" t="s">
        <v>43</v>
      </c>
      <c r="J280" s="10" t="s">
        <v>19</v>
      </c>
      <c r="K280" s="10" t="s">
        <v>19</v>
      </c>
      <c r="L280" s="10" t="s">
        <v>19</v>
      </c>
      <c r="M280" s="12"/>
      <c r="N280" s="10" t="s">
        <v>20</v>
      </c>
      <c r="O280" s="10" t="s">
        <v>2054</v>
      </c>
      <c r="P280" s="25" t="str">
        <f>IFERROR(
IF(OR(O280="anulado",O280="stand by"),CONCATENATE(O280,": ",H280),
IF(OR(YEAR(M280)=2022,YEAR(M280)=2023),CONCATENATE("Se activó en ",YEAR(M280)),
IF(AND(OR(O280="En proceso",O280="facturando"),AND(J280="-",M280="")),"Por revisar",
IF(M280="",IF(J280="NUEVAS",CONCATENATE("Estado: ",O280,", ",J280),
IF(L280=Meses!$A$3,"Por revisar",
IF(H280="","Sin registro","En programación Frcst."))),"En programación")))),
"Error")</f>
        <v>Por revisar</v>
      </c>
      <c r="Q280" s="9" t="str">
        <f t="shared" si="12"/>
        <v>programación de act. NO, estado: Facturando, Comercializador: EPM, Etapa: Instalado y Activado</v>
      </c>
      <c r="R280" s="25" t="str">
        <f>IF(P280="En programación Frcst.",VLOOKUP(L280,Meses!$A$1:$H$14,3+HLOOKUP(Cronograma!J280,Meses!$D$1:$G$2,2,FALSE),FALSE),
IF(P280="En programación",M280,""))</f>
        <v/>
      </c>
      <c r="S280" s="25" t="str">
        <f t="shared" si="14"/>
        <v/>
      </c>
      <c r="T280" s="21" t="str">
        <f>IFERROR(
(VLOOKUP(MONTH(R280),Meses!$B$3:$C$14,2,FALSE)-DAY(R280))/VLOOKUP(MONTH(R280),Meses!$B$3:$C$14,2,FALSE)*U280,
"")</f>
        <v/>
      </c>
      <c r="U280" s="22">
        <f t="shared" si="13"/>
        <v>3765</v>
      </c>
    </row>
    <row r="281" spans="1:21" ht="32.4" hidden="1" thickBot="1" x14ac:dyDescent="0.6">
      <c r="A281" s="10" t="s">
        <v>402</v>
      </c>
      <c r="B281" s="10" t="s">
        <v>404</v>
      </c>
      <c r="C281" s="12">
        <v>45127</v>
      </c>
      <c r="D281" s="10" t="s">
        <v>41</v>
      </c>
      <c r="E281" s="10" t="s">
        <v>41</v>
      </c>
      <c r="F281" s="10">
        <v>3587</v>
      </c>
      <c r="G281" s="10" t="s">
        <v>15</v>
      </c>
      <c r="H281" s="10" t="s">
        <v>17</v>
      </c>
      <c r="I281" s="10" t="s">
        <v>43</v>
      </c>
      <c r="J281" s="10" t="s">
        <v>19</v>
      </c>
      <c r="K281" s="10" t="s">
        <v>19</v>
      </c>
      <c r="L281" s="10" t="s">
        <v>19</v>
      </c>
      <c r="M281" s="12"/>
      <c r="N281" s="10" t="s">
        <v>20</v>
      </c>
      <c r="O281" s="10" t="s">
        <v>2054</v>
      </c>
      <c r="P281" s="25" t="str">
        <f>IFERROR(
IF(OR(O281="anulado",O281="stand by"),CONCATENATE(O281,": ",H281),
IF(OR(YEAR(M281)=2022,YEAR(M281)=2023),CONCATENATE("Se activó en ",YEAR(M281)),
IF(AND(OR(O281="En proceso",O281="facturando"),AND(J281="-",M281="")),"Por revisar",
IF(M281="",IF(J281="NUEVAS",CONCATENATE("Estado: ",O281,", ",J281),
IF(L281=Meses!$A$3,"Por revisar",
IF(H281="","Sin registro","En programación Frcst."))),"En programación")))),
"Error")</f>
        <v>Por revisar</v>
      </c>
      <c r="Q281" s="9" t="str">
        <f t="shared" si="12"/>
        <v>programación de act. NO, estado: Facturando, Comercializador: EPM, Etapa: Instalado y Activado</v>
      </c>
      <c r="R281" s="25" t="str">
        <f>IF(P281="En programación Frcst.",VLOOKUP(L281,Meses!$A$1:$H$14,3+HLOOKUP(Cronograma!J281,Meses!$D$1:$G$2,2,FALSE),FALSE),
IF(P281="En programación",M281,""))</f>
        <v/>
      </c>
      <c r="S281" s="25" t="str">
        <f t="shared" si="14"/>
        <v/>
      </c>
      <c r="T281" s="21" t="str">
        <f>IFERROR(
(VLOOKUP(MONTH(R281),Meses!$B$3:$C$14,2,FALSE)-DAY(R281))/VLOOKUP(MONTH(R281),Meses!$B$3:$C$14,2,FALSE)*U281,
"")</f>
        <v/>
      </c>
      <c r="U281" s="22">
        <f t="shared" si="13"/>
        <v>3587</v>
      </c>
    </row>
    <row r="282" spans="1:21" ht="32.4" hidden="1" thickBot="1" x14ac:dyDescent="0.6">
      <c r="A282" s="10" t="s">
        <v>402</v>
      </c>
      <c r="B282" s="10" t="s">
        <v>405</v>
      </c>
      <c r="C282" s="12">
        <v>45127</v>
      </c>
      <c r="D282" s="10" t="s">
        <v>41</v>
      </c>
      <c r="E282" s="10" t="s">
        <v>41</v>
      </c>
      <c r="F282" s="10">
        <v>6651</v>
      </c>
      <c r="G282" s="10" t="s">
        <v>15</v>
      </c>
      <c r="H282" s="10" t="s">
        <v>17</v>
      </c>
      <c r="I282" s="10" t="s">
        <v>43</v>
      </c>
      <c r="J282" s="10" t="s">
        <v>19</v>
      </c>
      <c r="K282" s="10" t="s">
        <v>19</v>
      </c>
      <c r="L282" s="10" t="s">
        <v>19</v>
      </c>
      <c r="M282" s="12"/>
      <c r="N282" s="10" t="s">
        <v>20</v>
      </c>
      <c r="O282" s="10" t="s">
        <v>2054</v>
      </c>
      <c r="P282" s="25" t="str">
        <f>IFERROR(
IF(OR(O282="anulado",O282="stand by"),CONCATENATE(O282,": ",H282),
IF(OR(YEAR(M282)=2022,YEAR(M282)=2023),CONCATENATE("Se activó en ",YEAR(M282)),
IF(AND(OR(O282="En proceso",O282="facturando"),AND(J282="-",M282="")),"Por revisar",
IF(M282="",IF(J282="NUEVAS",CONCATENATE("Estado: ",O282,", ",J282),
IF(L282=Meses!$A$3,"Por revisar",
IF(H282="","Sin registro","En programación Frcst."))),"En programación")))),
"Error")</f>
        <v>Por revisar</v>
      </c>
      <c r="Q282" s="9" t="str">
        <f t="shared" si="12"/>
        <v>programación de act. NO, estado: Facturando, Comercializador: EPM, Etapa: Instalado y Activado</v>
      </c>
      <c r="R282" s="25" t="str">
        <f>IF(P282="En programación Frcst.",VLOOKUP(L282,Meses!$A$1:$H$14,3+HLOOKUP(Cronograma!J282,Meses!$D$1:$G$2,2,FALSE),FALSE),
IF(P282="En programación",M282,""))</f>
        <v/>
      </c>
      <c r="S282" s="25" t="str">
        <f t="shared" si="14"/>
        <v/>
      </c>
      <c r="T282" s="21" t="str">
        <f>IFERROR(
(VLOOKUP(MONTH(R282),Meses!$B$3:$C$14,2,FALSE)-DAY(R282))/VLOOKUP(MONTH(R282),Meses!$B$3:$C$14,2,FALSE)*U282,
"")</f>
        <v/>
      </c>
      <c r="U282" s="22">
        <f t="shared" si="13"/>
        <v>6651</v>
      </c>
    </row>
    <row r="283" spans="1:21" ht="32.4" hidden="1" thickBot="1" x14ac:dyDescent="0.6">
      <c r="A283" s="10" t="s">
        <v>402</v>
      </c>
      <c r="B283" s="10" t="s">
        <v>406</v>
      </c>
      <c r="C283" s="12">
        <v>45127</v>
      </c>
      <c r="D283" s="10" t="s">
        <v>41</v>
      </c>
      <c r="E283" s="10" t="s">
        <v>41</v>
      </c>
      <c r="F283" s="10">
        <v>6171</v>
      </c>
      <c r="G283" s="10" t="s">
        <v>15</v>
      </c>
      <c r="H283" s="10" t="s">
        <v>17</v>
      </c>
      <c r="I283" s="10" t="s">
        <v>43</v>
      </c>
      <c r="J283" s="10" t="s">
        <v>19</v>
      </c>
      <c r="K283" s="10" t="s">
        <v>19</v>
      </c>
      <c r="L283" s="10" t="s">
        <v>19</v>
      </c>
      <c r="M283" s="12"/>
      <c r="N283" s="10" t="s">
        <v>20</v>
      </c>
      <c r="O283" s="10" t="s">
        <v>2054</v>
      </c>
      <c r="P283" s="25" t="str">
        <f>IFERROR(
IF(OR(O283="anulado",O283="stand by"),CONCATENATE(O283,": ",H283),
IF(OR(YEAR(M283)=2022,YEAR(M283)=2023),CONCATENATE("Se activó en ",YEAR(M283)),
IF(AND(OR(O283="En proceso",O283="facturando"),AND(J283="-",M283="")),"Por revisar",
IF(M283="",IF(J283="NUEVAS",CONCATENATE("Estado: ",O283,", ",J283),
IF(L283=Meses!$A$3,"Por revisar",
IF(H283="","Sin registro","En programación Frcst."))),"En programación")))),
"Error")</f>
        <v>Por revisar</v>
      </c>
      <c r="Q283" s="9" t="str">
        <f t="shared" si="12"/>
        <v>programación de act. NO, estado: Facturando, Comercializador: EPM, Etapa: Instalado y Activado</v>
      </c>
      <c r="R283" s="25" t="str">
        <f>IF(P283="En programación Frcst.",VLOOKUP(L283,Meses!$A$1:$H$14,3+HLOOKUP(Cronograma!J283,Meses!$D$1:$G$2,2,FALSE),FALSE),
IF(P283="En programación",M283,""))</f>
        <v/>
      </c>
      <c r="S283" s="25" t="str">
        <f t="shared" si="14"/>
        <v/>
      </c>
      <c r="T283" s="21" t="str">
        <f>IFERROR(
(VLOOKUP(MONTH(R283),Meses!$B$3:$C$14,2,FALSE)-DAY(R283))/VLOOKUP(MONTH(R283),Meses!$B$3:$C$14,2,FALSE)*U283,
"")</f>
        <v/>
      </c>
      <c r="U283" s="22">
        <f t="shared" si="13"/>
        <v>6171</v>
      </c>
    </row>
    <row r="284" spans="1:21" ht="32.4" hidden="1" thickBot="1" x14ac:dyDescent="0.6">
      <c r="A284" s="10" t="s">
        <v>402</v>
      </c>
      <c r="B284" s="10" t="s">
        <v>407</v>
      </c>
      <c r="C284" s="12">
        <v>45127</v>
      </c>
      <c r="D284" s="10" t="s">
        <v>41</v>
      </c>
      <c r="E284" s="10" t="s">
        <v>41</v>
      </c>
      <c r="F284" s="10">
        <v>1495</v>
      </c>
      <c r="G284" s="10" t="s">
        <v>15</v>
      </c>
      <c r="H284" s="10" t="s">
        <v>17</v>
      </c>
      <c r="I284" s="10" t="s">
        <v>43</v>
      </c>
      <c r="J284" s="10" t="s">
        <v>19</v>
      </c>
      <c r="K284" s="10" t="s">
        <v>19</v>
      </c>
      <c r="L284" s="10" t="s">
        <v>19</v>
      </c>
      <c r="M284" s="12"/>
      <c r="N284" s="10" t="s">
        <v>20</v>
      </c>
      <c r="O284" s="10" t="s">
        <v>2054</v>
      </c>
      <c r="P284" s="25" t="str">
        <f>IFERROR(
IF(OR(O284="anulado",O284="stand by"),CONCATENATE(O284,": ",H284),
IF(OR(YEAR(M284)=2022,YEAR(M284)=2023),CONCATENATE("Se activó en ",YEAR(M284)),
IF(AND(OR(O284="En proceso",O284="facturando"),AND(J284="-",M284="")),"Por revisar",
IF(M284="",IF(J284="NUEVAS",CONCATENATE("Estado: ",O284,", ",J284),
IF(L284=Meses!$A$3,"Por revisar",
IF(H284="","Sin registro","En programación Frcst."))),"En programación")))),
"Error")</f>
        <v>Por revisar</v>
      </c>
      <c r="Q284" s="9" t="str">
        <f t="shared" si="12"/>
        <v>programación de act. NO, estado: Facturando, Comercializador: EPM, Etapa: Instalado y Activado</v>
      </c>
      <c r="R284" s="25" t="str">
        <f>IF(P284="En programación Frcst.",VLOOKUP(L284,Meses!$A$1:$H$14,3+HLOOKUP(Cronograma!J284,Meses!$D$1:$G$2,2,FALSE),FALSE),
IF(P284="En programación",M284,""))</f>
        <v/>
      </c>
      <c r="S284" s="25" t="str">
        <f t="shared" si="14"/>
        <v/>
      </c>
      <c r="T284" s="21" t="str">
        <f>IFERROR(
(VLOOKUP(MONTH(R284),Meses!$B$3:$C$14,2,FALSE)-DAY(R284))/VLOOKUP(MONTH(R284),Meses!$B$3:$C$14,2,FALSE)*U284,
"")</f>
        <v/>
      </c>
      <c r="U284" s="22">
        <f t="shared" si="13"/>
        <v>1495</v>
      </c>
    </row>
    <row r="285" spans="1:21" ht="32.4" hidden="1" thickBot="1" x14ac:dyDescent="0.6">
      <c r="A285" s="10" t="s">
        <v>402</v>
      </c>
      <c r="B285" s="10" t="s">
        <v>408</v>
      </c>
      <c r="C285" s="12">
        <v>45127</v>
      </c>
      <c r="D285" s="10" t="s">
        <v>41</v>
      </c>
      <c r="E285" s="10" t="s">
        <v>41</v>
      </c>
      <c r="F285" s="10">
        <v>3711</v>
      </c>
      <c r="G285" s="10" t="s">
        <v>15</v>
      </c>
      <c r="H285" s="10" t="s">
        <v>17</v>
      </c>
      <c r="I285" s="10" t="s">
        <v>43</v>
      </c>
      <c r="J285" s="10" t="s">
        <v>19</v>
      </c>
      <c r="K285" s="10" t="s">
        <v>19</v>
      </c>
      <c r="L285" s="10" t="s">
        <v>19</v>
      </c>
      <c r="M285" s="12"/>
      <c r="N285" s="10" t="s">
        <v>20</v>
      </c>
      <c r="O285" s="10" t="s">
        <v>2054</v>
      </c>
      <c r="P285" s="25" t="str">
        <f>IFERROR(
IF(OR(O285="anulado",O285="stand by"),CONCATENATE(O285,": ",H285),
IF(OR(YEAR(M285)=2022,YEAR(M285)=2023),CONCATENATE("Se activó en ",YEAR(M285)),
IF(AND(OR(O285="En proceso",O285="facturando"),AND(J285="-",M285="")),"Por revisar",
IF(M285="",IF(J285="NUEVAS",CONCATENATE("Estado: ",O285,", ",J285),
IF(L285=Meses!$A$3,"Por revisar",
IF(H285="","Sin registro","En programación Frcst."))),"En programación")))),
"Error")</f>
        <v>Por revisar</v>
      </c>
      <c r="Q285" s="9" t="str">
        <f t="shared" si="12"/>
        <v>programación de act. NO, estado: Facturando, Comercializador: EPM, Etapa: Instalado y Activado</v>
      </c>
      <c r="R285" s="25" t="str">
        <f>IF(P285="En programación Frcst.",VLOOKUP(L285,Meses!$A$1:$H$14,3+HLOOKUP(Cronograma!J285,Meses!$D$1:$G$2,2,FALSE),FALSE),
IF(P285="En programación",M285,""))</f>
        <v/>
      </c>
      <c r="S285" s="25" t="str">
        <f t="shared" si="14"/>
        <v/>
      </c>
      <c r="T285" s="21" t="str">
        <f>IFERROR(
(VLOOKUP(MONTH(R285),Meses!$B$3:$C$14,2,FALSE)-DAY(R285))/VLOOKUP(MONTH(R285),Meses!$B$3:$C$14,2,FALSE)*U285,
"")</f>
        <v/>
      </c>
      <c r="U285" s="22">
        <f t="shared" si="13"/>
        <v>3711</v>
      </c>
    </row>
    <row r="286" spans="1:21" ht="32.4" hidden="1" thickBot="1" x14ac:dyDescent="0.6">
      <c r="A286" s="10" t="s">
        <v>402</v>
      </c>
      <c r="B286" s="10" t="s">
        <v>409</v>
      </c>
      <c r="C286" s="12">
        <v>45127</v>
      </c>
      <c r="D286" s="10" t="s">
        <v>41</v>
      </c>
      <c r="E286" s="10" t="s">
        <v>41</v>
      </c>
      <c r="F286" s="10">
        <v>3574</v>
      </c>
      <c r="G286" s="10" t="s">
        <v>15</v>
      </c>
      <c r="H286" s="10" t="s">
        <v>17</v>
      </c>
      <c r="I286" s="10" t="s">
        <v>43</v>
      </c>
      <c r="J286" s="10" t="s">
        <v>19</v>
      </c>
      <c r="K286" s="10" t="s">
        <v>19</v>
      </c>
      <c r="L286" s="10" t="s">
        <v>19</v>
      </c>
      <c r="M286" s="12"/>
      <c r="N286" s="10" t="s">
        <v>20</v>
      </c>
      <c r="O286" s="10" t="s">
        <v>2054</v>
      </c>
      <c r="P286" s="25" t="str">
        <f>IFERROR(
IF(OR(O286="anulado",O286="stand by"),CONCATENATE(O286,": ",H286),
IF(OR(YEAR(M286)=2022,YEAR(M286)=2023),CONCATENATE("Se activó en ",YEAR(M286)),
IF(AND(OR(O286="En proceso",O286="facturando"),AND(J286="-",M286="")),"Por revisar",
IF(M286="",IF(J286="NUEVAS",CONCATENATE("Estado: ",O286,", ",J286),
IF(L286=Meses!$A$3,"Por revisar",
IF(H286="","Sin registro","En programación Frcst."))),"En programación")))),
"Error")</f>
        <v>Por revisar</v>
      </c>
      <c r="Q286" s="9" t="str">
        <f t="shared" si="12"/>
        <v>programación de act. NO, estado: Facturando, Comercializador: EPM, Etapa: Instalado y Activado</v>
      </c>
      <c r="R286" s="25" t="str">
        <f>IF(P286="En programación Frcst.",VLOOKUP(L286,Meses!$A$1:$H$14,3+HLOOKUP(Cronograma!J286,Meses!$D$1:$G$2,2,FALSE),FALSE),
IF(P286="En programación",M286,""))</f>
        <v/>
      </c>
      <c r="S286" s="25" t="str">
        <f t="shared" si="14"/>
        <v/>
      </c>
      <c r="T286" s="21" t="str">
        <f>IFERROR(
(VLOOKUP(MONTH(R286),Meses!$B$3:$C$14,2,FALSE)-DAY(R286))/VLOOKUP(MONTH(R286),Meses!$B$3:$C$14,2,FALSE)*U286,
"")</f>
        <v/>
      </c>
      <c r="U286" s="22">
        <f t="shared" si="13"/>
        <v>3574</v>
      </c>
    </row>
    <row r="287" spans="1:21" ht="32.4" hidden="1" thickBot="1" x14ac:dyDescent="0.6">
      <c r="A287" s="10" t="s">
        <v>402</v>
      </c>
      <c r="B287" s="10" t="s">
        <v>410</v>
      </c>
      <c r="C287" s="12">
        <v>45127</v>
      </c>
      <c r="D287" s="10" t="s">
        <v>41</v>
      </c>
      <c r="E287" s="10" t="s">
        <v>41</v>
      </c>
      <c r="F287" s="10">
        <v>5140</v>
      </c>
      <c r="G287" s="10" t="s">
        <v>15</v>
      </c>
      <c r="H287" s="10" t="s">
        <v>17</v>
      </c>
      <c r="I287" s="10" t="s">
        <v>43</v>
      </c>
      <c r="J287" s="10" t="s">
        <v>19</v>
      </c>
      <c r="K287" s="10" t="s">
        <v>19</v>
      </c>
      <c r="L287" s="10" t="s">
        <v>19</v>
      </c>
      <c r="M287" s="12"/>
      <c r="N287" s="10" t="s">
        <v>20</v>
      </c>
      <c r="O287" s="10" t="s">
        <v>2054</v>
      </c>
      <c r="P287" s="25" t="str">
        <f>IFERROR(
IF(OR(O287="anulado",O287="stand by"),CONCATENATE(O287,": ",H287),
IF(OR(YEAR(M287)=2022,YEAR(M287)=2023),CONCATENATE("Se activó en ",YEAR(M287)),
IF(AND(OR(O287="En proceso",O287="facturando"),AND(J287="-",M287="")),"Por revisar",
IF(M287="",IF(J287="NUEVAS",CONCATENATE("Estado: ",O287,", ",J287),
IF(L287=Meses!$A$3,"Por revisar",
IF(H287="","Sin registro","En programación Frcst."))),"En programación")))),
"Error")</f>
        <v>Por revisar</v>
      </c>
      <c r="Q287" s="9" t="str">
        <f t="shared" si="12"/>
        <v>programación de act. NO, estado: Facturando, Comercializador: EPM, Etapa: Instalado y Activado</v>
      </c>
      <c r="R287" s="25" t="str">
        <f>IF(P287="En programación Frcst.",VLOOKUP(L287,Meses!$A$1:$H$14,3+HLOOKUP(Cronograma!J287,Meses!$D$1:$G$2,2,FALSE),FALSE),
IF(P287="En programación",M287,""))</f>
        <v/>
      </c>
      <c r="S287" s="25" t="str">
        <f t="shared" si="14"/>
        <v/>
      </c>
      <c r="T287" s="21" t="str">
        <f>IFERROR(
(VLOOKUP(MONTH(R287),Meses!$B$3:$C$14,2,FALSE)-DAY(R287))/VLOOKUP(MONTH(R287),Meses!$B$3:$C$14,2,FALSE)*U287,
"")</f>
        <v/>
      </c>
      <c r="U287" s="22">
        <f t="shared" si="13"/>
        <v>5140</v>
      </c>
    </row>
    <row r="288" spans="1:21" ht="32.4" hidden="1" thickBot="1" x14ac:dyDescent="0.6">
      <c r="A288" s="10" t="s">
        <v>382</v>
      </c>
      <c r="B288" s="10" t="s">
        <v>411</v>
      </c>
      <c r="C288" s="12">
        <v>45120</v>
      </c>
      <c r="D288" s="10" t="s">
        <v>41</v>
      </c>
      <c r="E288" s="10" t="s">
        <v>41</v>
      </c>
      <c r="F288" s="10">
        <v>615</v>
      </c>
      <c r="G288" s="10" t="s">
        <v>15</v>
      </c>
      <c r="H288" s="10" t="s">
        <v>17</v>
      </c>
      <c r="I288" s="10" t="s">
        <v>43</v>
      </c>
      <c r="J288" s="10" t="s">
        <v>19</v>
      </c>
      <c r="K288" s="10" t="s">
        <v>19</v>
      </c>
      <c r="L288" s="10" t="s">
        <v>19</v>
      </c>
      <c r="M288" s="12"/>
      <c r="N288" s="10" t="s">
        <v>20</v>
      </c>
      <c r="O288" s="10" t="s">
        <v>2054</v>
      </c>
      <c r="P288" s="25" t="str">
        <f>IFERROR(
IF(OR(O288="anulado",O288="stand by"),CONCATENATE(O288,": ",H288),
IF(OR(YEAR(M288)=2022,YEAR(M288)=2023),CONCATENATE("Se activó en ",YEAR(M288)),
IF(AND(OR(O288="En proceso",O288="facturando"),AND(J288="-",M288="")),"Por revisar",
IF(M288="",IF(J288="NUEVAS",CONCATENATE("Estado: ",O288,", ",J288),
IF(L288=Meses!$A$3,"Por revisar",
IF(H288="","Sin registro","En programación Frcst."))),"En programación")))),
"Error")</f>
        <v>Por revisar</v>
      </c>
      <c r="Q288" s="9" t="str">
        <f t="shared" si="12"/>
        <v>programación de act. NO, estado: Facturando, Comercializador: EPM, Etapa: Instalado y Activado</v>
      </c>
      <c r="R288" s="25" t="str">
        <f>IF(P288="En programación Frcst.",VLOOKUP(L288,Meses!$A$1:$H$14,3+HLOOKUP(Cronograma!J288,Meses!$D$1:$G$2,2,FALSE),FALSE),
IF(P288="En programación",M288,""))</f>
        <v/>
      </c>
      <c r="S288" s="25" t="str">
        <f t="shared" si="14"/>
        <v/>
      </c>
      <c r="T288" s="21" t="str">
        <f>IFERROR(
(VLOOKUP(MONTH(R288),Meses!$B$3:$C$14,2,FALSE)-DAY(R288))/VLOOKUP(MONTH(R288),Meses!$B$3:$C$14,2,FALSE)*U288,
"")</f>
        <v/>
      </c>
      <c r="U288" s="22">
        <f t="shared" si="13"/>
        <v>615</v>
      </c>
    </row>
    <row r="289" spans="1:21" ht="32.4" hidden="1" thickBot="1" x14ac:dyDescent="0.6">
      <c r="A289" s="10" t="s">
        <v>412</v>
      </c>
      <c r="B289" s="10" t="s">
        <v>413</v>
      </c>
      <c r="C289" s="12">
        <v>45036</v>
      </c>
      <c r="D289" s="10" t="s">
        <v>14</v>
      </c>
      <c r="E289" s="10" t="s">
        <v>14</v>
      </c>
      <c r="F289" s="10">
        <v>1515</v>
      </c>
      <c r="G289" s="10" t="s">
        <v>15</v>
      </c>
      <c r="H289" s="10" t="s">
        <v>17</v>
      </c>
      <c r="I289" s="10" t="s">
        <v>18</v>
      </c>
      <c r="J289" s="10" t="s">
        <v>19</v>
      </c>
      <c r="K289" s="10" t="s">
        <v>19</v>
      </c>
      <c r="L289" s="10" t="s">
        <v>19</v>
      </c>
      <c r="M289" s="12"/>
      <c r="N289" s="10" t="s">
        <v>20</v>
      </c>
      <c r="O289" s="10" t="s">
        <v>2054</v>
      </c>
      <c r="P289" s="25" t="str">
        <f>IFERROR(
IF(OR(O289="anulado",O289="stand by"),CONCATENATE(O289,": ",H289),
IF(OR(YEAR(M289)=2022,YEAR(M289)=2023),CONCATENATE("Se activó en ",YEAR(M289)),
IF(AND(OR(O289="En proceso",O289="facturando"),AND(J289="-",M289="")),"Por revisar",
IF(M289="",IF(J289="NUEVAS",CONCATENATE("Estado: ",O289,", ",J289),
IF(L289=Meses!$A$3,"Por revisar",
IF(H289="","Sin registro","En programación Frcst."))),"En programación")))),
"Error")</f>
        <v>Por revisar</v>
      </c>
      <c r="Q289" s="9" t="str">
        <f t="shared" si="12"/>
        <v>programación de act. NO, estado: Facturando, Comercializador: ENEL, Etapa: Instalado y Activado</v>
      </c>
      <c r="R289" s="25" t="str">
        <f>IF(P289="En programación Frcst.",VLOOKUP(L289,Meses!$A$1:$H$14,3+HLOOKUP(Cronograma!J289,Meses!$D$1:$G$2,2,FALSE),FALSE),
IF(P289="En programación",M289,""))</f>
        <v/>
      </c>
      <c r="S289" s="25" t="str">
        <f t="shared" si="14"/>
        <v/>
      </c>
      <c r="T289" s="21" t="str">
        <f>IFERROR(
(VLOOKUP(MONTH(R289),Meses!$B$3:$C$14,2,FALSE)-DAY(R289))/VLOOKUP(MONTH(R289),Meses!$B$3:$C$14,2,FALSE)*U289,
"")</f>
        <v/>
      </c>
      <c r="U289" s="22">
        <f t="shared" si="13"/>
        <v>1515</v>
      </c>
    </row>
    <row r="290" spans="1:21" ht="32.4" hidden="1" thickBot="1" x14ac:dyDescent="0.6">
      <c r="A290" s="10" t="s">
        <v>414</v>
      </c>
      <c r="B290" s="10" t="s">
        <v>415</v>
      </c>
      <c r="C290" s="12">
        <v>45057</v>
      </c>
      <c r="D290" s="10" t="s">
        <v>14</v>
      </c>
      <c r="E290" s="10" t="s">
        <v>14</v>
      </c>
      <c r="F290" s="10">
        <v>2834</v>
      </c>
      <c r="G290" s="10" t="s">
        <v>15</v>
      </c>
      <c r="H290" s="10" t="s">
        <v>17</v>
      </c>
      <c r="I290" s="10" t="s">
        <v>18</v>
      </c>
      <c r="J290" s="10" t="s">
        <v>19</v>
      </c>
      <c r="K290" s="10" t="s">
        <v>19</v>
      </c>
      <c r="L290" s="10" t="s">
        <v>19</v>
      </c>
      <c r="M290" s="12"/>
      <c r="N290" s="10" t="s">
        <v>20</v>
      </c>
      <c r="O290" s="10" t="s">
        <v>2054</v>
      </c>
      <c r="P290" s="25" t="str">
        <f>IFERROR(
IF(OR(O290="anulado",O290="stand by"),CONCATENATE(O290,": ",H290),
IF(OR(YEAR(M290)=2022,YEAR(M290)=2023),CONCATENATE("Se activó en ",YEAR(M290)),
IF(AND(OR(O290="En proceso",O290="facturando"),AND(J290="-",M290="")),"Por revisar",
IF(M290="",IF(J290="NUEVAS",CONCATENATE("Estado: ",O290,", ",J290),
IF(L290=Meses!$A$3,"Por revisar",
IF(H290="","Sin registro","En programación Frcst."))),"En programación")))),
"Error")</f>
        <v>Por revisar</v>
      </c>
      <c r="Q290" s="9" t="str">
        <f t="shared" si="12"/>
        <v>programación de act. NO, estado: Facturando, Comercializador: ENEL, Etapa: Instalado y Activado</v>
      </c>
      <c r="R290" s="25" t="str">
        <f>IF(P290="En programación Frcst.",VLOOKUP(L290,Meses!$A$1:$H$14,3+HLOOKUP(Cronograma!J290,Meses!$D$1:$G$2,2,FALSE),FALSE),
IF(P290="En programación",M290,""))</f>
        <v/>
      </c>
      <c r="S290" s="25" t="str">
        <f t="shared" si="14"/>
        <v/>
      </c>
      <c r="T290" s="21" t="str">
        <f>IFERROR(
(VLOOKUP(MONTH(R290),Meses!$B$3:$C$14,2,FALSE)-DAY(R290))/VLOOKUP(MONTH(R290),Meses!$B$3:$C$14,2,FALSE)*U290,
"")</f>
        <v/>
      </c>
      <c r="U290" s="22">
        <f t="shared" si="13"/>
        <v>2834</v>
      </c>
    </row>
    <row r="291" spans="1:21" ht="31.8" thickBot="1" x14ac:dyDescent="0.6">
      <c r="A291" s="10" t="s">
        <v>414</v>
      </c>
      <c r="B291" s="10" t="s">
        <v>416</v>
      </c>
      <c r="C291" s="12">
        <v>45057</v>
      </c>
      <c r="D291" s="10" t="s">
        <v>14</v>
      </c>
      <c r="E291" s="10" t="s">
        <v>14</v>
      </c>
      <c r="F291" s="10">
        <v>4800</v>
      </c>
      <c r="G291" s="10" t="s">
        <v>15</v>
      </c>
      <c r="H291" s="10" t="s">
        <v>2406</v>
      </c>
      <c r="I291" s="10" t="s">
        <v>18</v>
      </c>
      <c r="J291" s="10" t="s">
        <v>143</v>
      </c>
      <c r="K291" s="10" t="s">
        <v>2896</v>
      </c>
      <c r="L291" s="10" t="s">
        <v>2293</v>
      </c>
      <c r="M291" s="12"/>
      <c r="N291" s="10" t="s">
        <v>20</v>
      </c>
      <c r="O291" s="10" t="s">
        <v>2054</v>
      </c>
      <c r="P291" s="25" t="str">
        <f>IFERROR(
IF(OR(O291="anulado",O291="stand by"),CONCATENATE(O291,": ",H291),
IF(OR(YEAR(M291)=2022,YEAR(M291)=2023),CONCATENATE("Se activó en ",YEAR(M291)),
IF(AND(OR(O291="En proceso",O291="facturando"),AND(J291="-",M291="")),"Por revisar",
IF(M291="",IF(J291="NUEVAS",CONCATENATE("Estado: ",O291,", ",J291),
IF(L291=Meses!$A$3,"Por revisar",
IF(H291="","Sin registro","En programación Frcst."))),"En programación")))),
"Error")</f>
        <v>En programación Frcst.</v>
      </c>
      <c r="Q291" s="9" t="str">
        <f t="shared" si="12"/>
        <v/>
      </c>
      <c r="R291" s="25">
        <f>IF(P291="En programación Frcst.",VLOOKUP(L291,Meses!$A$1:$H$14,3+HLOOKUP(Cronograma!J291,Meses!$D$1:$G$2,2,FALSE),FALSE),
IF(P291="En programación",M291,""))</f>
        <v>45421</v>
      </c>
      <c r="S291" s="25" t="str">
        <f t="shared" si="14"/>
        <v>2024/5</v>
      </c>
      <c r="T291" s="21">
        <f>IFERROR(
(VLOOKUP(MONTH(R291),Meses!$B$3:$C$14,2,FALSE)-DAY(R291))/VLOOKUP(MONTH(R291),Meses!$B$3:$C$14,2,FALSE)*U291,
"")</f>
        <v>3406.4516129032259</v>
      </c>
      <c r="U291" s="22">
        <f t="shared" si="13"/>
        <v>4800</v>
      </c>
    </row>
    <row r="292" spans="1:21" ht="32.4" hidden="1" thickBot="1" x14ac:dyDescent="0.6">
      <c r="A292" s="10" t="s">
        <v>414</v>
      </c>
      <c r="B292" s="10" t="s">
        <v>417</v>
      </c>
      <c r="C292" s="12">
        <v>45057</v>
      </c>
      <c r="D292" s="10" t="s">
        <v>14</v>
      </c>
      <c r="E292" s="10" t="s">
        <v>14</v>
      </c>
      <c r="F292" s="10">
        <v>376</v>
      </c>
      <c r="G292" s="10" t="s">
        <v>15</v>
      </c>
      <c r="H292" s="10" t="s">
        <v>17</v>
      </c>
      <c r="I292" s="10" t="s">
        <v>18</v>
      </c>
      <c r="J292" s="10" t="s">
        <v>19</v>
      </c>
      <c r="K292" s="10" t="s">
        <v>19</v>
      </c>
      <c r="L292" s="10" t="s">
        <v>19</v>
      </c>
      <c r="M292" s="12"/>
      <c r="N292" s="10" t="s">
        <v>20</v>
      </c>
      <c r="O292" s="10" t="s">
        <v>2054</v>
      </c>
      <c r="P292" s="25" t="str">
        <f>IFERROR(
IF(OR(O292="anulado",O292="stand by"),CONCATENATE(O292,": ",H292),
IF(OR(YEAR(M292)=2022,YEAR(M292)=2023),CONCATENATE("Se activó en ",YEAR(M292)),
IF(AND(OR(O292="En proceso",O292="facturando"),AND(J292="-",M292="")),"Por revisar",
IF(M292="",IF(J292="NUEVAS",CONCATENATE("Estado: ",O292,", ",J292),
IF(L292=Meses!$A$3,"Por revisar",
IF(H292="","Sin registro","En programación Frcst."))),"En programación")))),
"Error")</f>
        <v>Por revisar</v>
      </c>
      <c r="Q292" s="9" t="str">
        <f t="shared" si="12"/>
        <v>programación de act. NO, estado: Facturando, Comercializador: ENEL, Etapa: Instalado y Activado</v>
      </c>
      <c r="R292" s="25" t="str">
        <f>IF(P292="En programación Frcst.",VLOOKUP(L292,Meses!$A$1:$H$14,3+HLOOKUP(Cronograma!J292,Meses!$D$1:$G$2,2,FALSE),FALSE),
IF(P292="En programación",M292,""))</f>
        <v/>
      </c>
      <c r="S292" s="25" t="str">
        <f t="shared" si="14"/>
        <v/>
      </c>
      <c r="T292" s="21" t="str">
        <f>IFERROR(
(VLOOKUP(MONTH(R292),Meses!$B$3:$C$14,2,FALSE)-DAY(R292))/VLOOKUP(MONTH(R292),Meses!$B$3:$C$14,2,FALSE)*U292,
"")</f>
        <v/>
      </c>
      <c r="U292" s="22">
        <f t="shared" si="13"/>
        <v>376</v>
      </c>
    </row>
    <row r="293" spans="1:21" ht="32.4" hidden="1" thickBot="1" x14ac:dyDescent="0.6">
      <c r="A293" s="10" t="s">
        <v>414</v>
      </c>
      <c r="B293" s="10" t="s">
        <v>418</v>
      </c>
      <c r="C293" s="12">
        <v>45057</v>
      </c>
      <c r="D293" s="10" t="s">
        <v>14</v>
      </c>
      <c r="E293" s="10" t="s">
        <v>14</v>
      </c>
      <c r="F293" s="10">
        <v>3800</v>
      </c>
      <c r="G293" s="10" t="s">
        <v>15</v>
      </c>
      <c r="H293" s="10" t="s">
        <v>17</v>
      </c>
      <c r="I293" s="10" t="s">
        <v>18</v>
      </c>
      <c r="J293" s="10" t="s">
        <v>19</v>
      </c>
      <c r="K293" s="10" t="s">
        <v>19</v>
      </c>
      <c r="L293" s="10" t="s">
        <v>19</v>
      </c>
      <c r="M293" s="12"/>
      <c r="N293" s="10" t="s">
        <v>20</v>
      </c>
      <c r="O293" s="10" t="s">
        <v>2054</v>
      </c>
      <c r="P293" s="25" t="str">
        <f>IFERROR(
IF(OR(O293="anulado",O293="stand by"),CONCATENATE(O293,": ",H293),
IF(OR(YEAR(M293)=2022,YEAR(M293)=2023),CONCATENATE("Se activó en ",YEAR(M293)),
IF(AND(OR(O293="En proceso",O293="facturando"),AND(J293="-",M293="")),"Por revisar",
IF(M293="",IF(J293="NUEVAS",CONCATENATE("Estado: ",O293,", ",J293),
IF(L293=Meses!$A$3,"Por revisar",
IF(H293="","Sin registro","En programación Frcst."))),"En programación")))),
"Error")</f>
        <v>Por revisar</v>
      </c>
      <c r="Q293" s="9" t="str">
        <f t="shared" si="12"/>
        <v>programación de act. NO, estado: Facturando, Comercializador: ENEL, Etapa: Instalado y Activado</v>
      </c>
      <c r="R293" s="25" t="str">
        <f>IF(P293="En programación Frcst.",VLOOKUP(L293,Meses!$A$1:$H$14,3+HLOOKUP(Cronograma!J293,Meses!$D$1:$G$2,2,FALSE),FALSE),
IF(P293="En programación",M293,""))</f>
        <v/>
      </c>
      <c r="S293" s="25" t="str">
        <f t="shared" si="14"/>
        <v/>
      </c>
      <c r="T293" s="21" t="str">
        <f>IFERROR(
(VLOOKUP(MONTH(R293),Meses!$B$3:$C$14,2,FALSE)-DAY(R293))/VLOOKUP(MONTH(R293),Meses!$B$3:$C$14,2,FALSE)*U293,
"")</f>
        <v/>
      </c>
      <c r="U293" s="22">
        <f t="shared" si="13"/>
        <v>3800</v>
      </c>
    </row>
    <row r="294" spans="1:21" ht="32.4" hidden="1" thickBot="1" x14ac:dyDescent="0.6">
      <c r="A294" s="10" t="s">
        <v>414</v>
      </c>
      <c r="B294" s="10" t="s">
        <v>419</v>
      </c>
      <c r="C294" s="12">
        <v>45057</v>
      </c>
      <c r="D294" s="10" t="s">
        <v>14</v>
      </c>
      <c r="E294" s="10" t="s">
        <v>14</v>
      </c>
      <c r="F294" s="10">
        <v>5000</v>
      </c>
      <c r="G294" s="10" t="s">
        <v>15</v>
      </c>
      <c r="H294" s="10" t="s">
        <v>17</v>
      </c>
      <c r="I294" s="10" t="s">
        <v>18</v>
      </c>
      <c r="J294" s="10" t="s">
        <v>19</v>
      </c>
      <c r="K294" s="10" t="s">
        <v>19</v>
      </c>
      <c r="L294" s="10" t="s">
        <v>19</v>
      </c>
      <c r="M294" s="12"/>
      <c r="N294" s="10" t="s">
        <v>20</v>
      </c>
      <c r="O294" s="10" t="s">
        <v>2054</v>
      </c>
      <c r="P294" s="25" t="str">
        <f>IFERROR(
IF(OR(O294="anulado",O294="stand by"),CONCATENATE(O294,": ",H294),
IF(OR(YEAR(M294)=2022,YEAR(M294)=2023),CONCATENATE("Se activó en ",YEAR(M294)),
IF(AND(OR(O294="En proceso",O294="facturando"),AND(J294="-",M294="")),"Por revisar",
IF(M294="",IF(J294="NUEVAS",CONCATENATE("Estado: ",O294,", ",J294),
IF(L294=Meses!$A$3,"Por revisar",
IF(H294="","Sin registro","En programación Frcst."))),"En programación")))),
"Error")</f>
        <v>Por revisar</v>
      </c>
      <c r="Q294" s="9" t="str">
        <f t="shared" si="12"/>
        <v>programación de act. NO, estado: Facturando, Comercializador: ENEL, Etapa: Instalado y Activado</v>
      </c>
      <c r="R294" s="25" t="str">
        <f>IF(P294="En programación Frcst.",VLOOKUP(L294,Meses!$A$1:$H$14,3+HLOOKUP(Cronograma!J294,Meses!$D$1:$G$2,2,FALSE),FALSE),
IF(P294="En programación",M294,""))</f>
        <v/>
      </c>
      <c r="S294" s="25" t="str">
        <f t="shared" si="14"/>
        <v/>
      </c>
      <c r="T294" s="21" t="str">
        <f>IFERROR(
(VLOOKUP(MONTH(R294),Meses!$B$3:$C$14,2,FALSE)-DAY(R294))/VLOOKUP(MONTH(R294),Meses!$B$3:$C$14,2,FALSE)*U294,
"")</f>
        <v/>
      </c>
      <c r="U294" s="22">
        <f t="shared" si="13"/>
        <v>5000</v>
      </c>
    </row>
    <row r="295" spans="1:21" ht="31.8" hidden="1" thickBot="1" x14ac:dyDescent="0.6">
      <c r="A295" s="10" t="s">
        <v>420</v>
      </c>
      <c r="B295" s="10" t="s">
        <v>421</v>
      </c>
      <c r="C295" s="12"/>
      <c r="D295" s="10" t="s">
        <v>74</v>
      </c>
      <c r="E295" s="10" t="s">
        <v>74</v>
      </c>
      <c r="F295" s="10">
        <v>24460</v>
      </c>
      <c r="G295" s="10" t="s">
        <v>15</v>
      </c>
      <c r="H295" s="10" t="s">
        <v>140</v>
      </c>
      <c r="I295" s="10" t="s">
        <v>43</v>
      </c>
      <c r="J295" s="10" t="s">
        <v>19</v>
      </c>
      <c r="K295" s="10" t="s">
        <v>19</v>
      </c>
      <c r="L295" s="10" t="s">
        <v>19</v>
      </c>
      <c r="M295" s="12"/>
      <c r="N295" s="10" t="s">
        <v>20</v>
      </c>
      <c r="O295" s="10" t="s">
        <v>2056</v>
      </c>
      <c r="P295" s="25" t="str">
        <f>IFERROR(
IF(OR(O295="anulado",O295="stand by"),CONCATENATE(O295,": ",H295),
IF(OR(YEAR(M295)=2022,YEAR(M295)=2023),CONCATENATE("Se activó en ",YEAR(M295)),
IF(AND(OR(O295="En proceso",O295="facturando"),AND(J295="-",M295="")),"Por revisar",
IF(M295="",IF(J295="NUEVAS",CONCATENATE("Estado: ",O295,", ",J295),
IF(L295=Meses!$A$3,"Por revisar",
IF(H295="","Sin registro","En programación Frcst."))),"En programación")))),
"Error")</f>
        <v>anulado: Desistido</v>
      </c>
      <c r="Q295" s="9" t="str">
        <f t="shared" si="12"/>
        <v/>
      </c>
      <c r="R295" s="25" t="str">
        <f>IF(P295="En programación Frcst.",VLOOKUP(L295,Meses!$A$1:$H$14,3+HLOOKUP(Cronograma!J295,Meses!$D$1:$G$2,2,FALSE),FALSE),
IF(P295="En programación",M295,""))</f>
        <v/>
      </c>
      <c r="S295" s="25" t="str">
        <f t="shared" si="14"/>
        <v/>
      </c>
      <c r="T295" s="21" t="str">
        <f>IFERROR(
(VLOOKUP(MONTH(R295),Meses!$B$3:$C$14,2,FALSE)-DAY(R295))/VLOOKUP(MONTH(R295),Meses!$B$3:$C$14,2,FALSE)*U295,
"")</f>
        <v/>
      </c>
      <c r="U295" s="22">
        <f t="shared" si="13"/>
        <v>24460</v>
      </c>
    </row>
    <row r="296" spans="1:21" ht="31.8" hidden="1" thickBot="1" x14ac:dyDescent="0.6">
      <c r="A296" s="10" t="s">
        <v>420</v>
      </c>
      <c r="B296" s="10" t="s">
        <v>422</v>
      </c>
      <c r="C296" s="12"/>
      <c r="D296" s="10" t="s">
        <v>74</v>
      </c>
      <c r="E296" s="10" t="s">
        <v>74</v>
      </c>
      <c r="F296" s="10">
        <v>30800</v>
      </c>
      <c r="G296" s="10" t="s">
        <v>15</v>
      </c>
      <c r="H296" s="10" t="s">
        <v>140</v>
      </c>
      <c r="I296" s="10" t="s">
        <v>43</v>
      </c>
      <c r="J296" s="10" t="s">
        <v>19</v>
      </c>
      <c r="K296" s="10" t="s">
        <v>19</v>
      </c>
      <c r="L296" s="10" t="s">
        <v>19</v>
      </c>
      <c r="M296" s="12"/>
      <c r="N296" s="10" t="s">
        <v>20</v>
      </c>
      <c r="O296" s="10" t="s">
        <v>2056</v>
      </c>
      <c r="P296" s="25" t="str">
        <f>IFERROR(
IF(OR(O296="anulado",O296="stand by"),CONCATENATE(O296,": ",H296),
IF(OR(YEAR(M296)=2022,YEAR(M296)=2023),CONCATENATE("Se activó en ",YEAR(M296)),
IF(AND(OR(O296="En proceso",O296="facturando"),AND(J296="-",M296="")),"Por revisar",
IF(M296="",IF(J296="NUEVAS",CONCATENATE("Estado: ",O296,", ",J296),
IF(L296=Meses!$A$3,"Por revisar",
IF(H296="","Sin registro","En programación Frcst."))),"En programación")))),
"Error")</f>
        <v>anulado: Desistido</v>
      </c>
      <c r="Q296" s="9" t="str">
        <f t="shared" si="12"/>
        <v/>
      </c>
      <c r="R296" s="25" t="str">
        <f>IF(P296="En programación Frcst.",VLOOKUP(L296,Meses!$A$1:$H$14,3+HLOOKUP(Cronograma!J296,Meses!$D$1:$G$2,2,FALSE),FALSE),
IF(P296="En programación",M296,""))</f>
        <v/>
      </c>
      <c r="S296" s="25" t="str">
        <f t="shared" si="14"/>
        <v/>
      </c>
      <c r="T296" s="21" t="str">
        <f>IFERROR(
(VLOOKUP(MONTH(R296),Meses!$B$3:$C$14,2,FALSE)-DAY(R296))/VLOOKUP(MONTH(R296),Meses!$B$3:$C$14,2,FALSE)*U296,
"")</f>
        <v/>
      </c>
      <c r="U296" s="22">
        <f t="shared" si="13"/>
        <v>30800</v>
      </c>
    </row>
    <row r="297" spans="1:21" ht="31.8" hidden="1" thickBot="1" x14ac:dyDescent="0.6">
      <c r="A297" s="10" t="s">
        <v>420</v>
      </c>
      <c r="B297" s="10" t="s">
        <v>423</v>
      </c>
      <c r="C297" s="12"/>
      <c r="D297" s="10" t="s">
        <v>74</v>
      </c>
      <c r="E297" s="10" t="s">
        <v>74</v>
      </c>
      <c r="F297" s="10">
        <v>11963</v>
      </c>
      <c r="G297" s="10" t="s">
        <v>15</v>
      </c>
      <c r="H297" s="10" t="s">
        <v>140</v>
      </c>
      <c r="I297" s="10" t="s">
        <v>43</v>
      </c>
      <c r="J297" s="10" t="s">
        <v>19</v>
      </c>
      <c r="K297" s="10" t="s">
        <v>19</v>
      </c>
      <c r="L297" s="10" t="s">
        <v>19</v>
      </c>
      <c r="M297" s="12"/>
      <c r="N297" s="10" t="s">
        <v>20</v>
      </c>
      <c r="O297" s="10" t="s">
        <v>2056</v>
      </c>
      <c r="P297" s="25" t="str">
        <f>IFERROR(
IF(OR(O297="anulado",O297="stand by"),CONCATENATE(O297,": ",H297),
IF(OR(YEAR(M297)=2022,YEAR(M297)=2023),CONCATENATE("Se activó en ",YEAR(M297)),
IF(AND(OR(O297="En proceso",O297="facturando"),AND(J297="-",M297="")),"Por revisar",
IF(M297="",IF(J297="NUEVAS",CONCATENATE("Estado: ",O297,", ",J297),
IF(L297=Meses!$A$3,"Por revisar",
IF(H297="","Sin registro","En programación Frcst."))),"En programación")))),
"Error")</f>
        <v>anulado: Desistido</v>
      </c>
      <c r="Q297" s="9" t="str">
        <f t="shared" si="12"/>
        <v/>
      </c>
      <c r="R297" s="25" t="str">
        <f>IF(P297="En programación Frcst.",VLOOKUP(L297,Meses!$A$1:$H$14,3+HLOOKUP(Cronograma!J297,Meses!$D$1:$G$2,2,FALSE),FALSE),
IF(P297="En programación",M297,""))</f>
        <v/>
      </c>
      <c r="S297" s="25" t="str">
        <f t="shared" si="14"/>
        <v/>
      </c>
      <c r="T297" s="21" t="str">
        <f>IFERROR(
(VLOOKUP(MONTH(R297),Meses!$B$3:$C$14,2,FALSE)-DAY(R297))/VLOOKUP(MONTH(R297),Meses!$B$3:$C$14,2,FALSE)*U297,
"")</f>
        <v/>
      </c>
      <c r="U297" s="22">
        <f t="shared" si="13"/>
        <v>11963</v>
      </c>
    </row>
    <row r="298" spans="1:21" ht="31.8" hidden="1" thickBot="1" x14ac:dyDescent="0.6">
      <c r="A298" s="10" t="s">
        <v>420</v>
      </c>
      <c r="B298" s="10" t="s">
        <v>424</v>
      </c>
      <c r="C298" s="12"/>
      <c r="D298" s="10" t="s">
        <v>74</v>
      </c>
      <c r="E298" s="10" t="s">
        <v>74</v>
      </c>
      <c r="F298" s="10">
        <v>127820</v>
      </c>
      <c r="G298" s="10" t="s">
        <v>15</v>
      </c>
      <c r="H298" s="10" t="s">
        <v>140</v>
      </c>
      <c r="I298" s="10" t="s">
        <v>43</v>
      </c>
      <c r="J298" s="10" t="s">
        <v>19</v>
      </c>
      <c r="K298" s="10" t="s">
        <v>19</v>
      </c>
      <c r="L298" s="10" t="s">
        <v>19</v>
      </c>
      <c r="M298" s="12"/>
      <c r="N298" s="10" t="s">
        <v>20</v>
      </c>
      <c r="O298" s="10" t="s">
        <v>2056</v>
      </c>
      <c r="P298" s="25" t="str">
        <f>IFERROR(
IF(OR(O298="anulado",O298="stand by"),CONCATENATE(O298,": ",H298),
IF(OR(YEAR(M298)=2022,YEAR(M298)=2023),CONCATENATE("Se activó en ",YEAR(M298)),
IF(AND(OR(O298="En proceso",O298="facturando"),AND(J298="-",M298="")),"Por revisar",
IF(M298="",IF(J298="NUEVAS",CONCATENATE("Estado: ",O298,", ",J298),
IF(L298=Meses!$A$3,"Por revisar",
IF(H298="","Sin registro","En programación Frcst."))),"En programación")))),
"Error")</f>
        <v>anulado: Desistido</v>
      </c>
      <c r="Q298" s="9" t="str">
        <f t="shared" si="12"/>
        <v/>
      </c>
      <c r="R298" s="25" t="str">
        <f>IF(P298="En programación Frcst.",VLOOKUP(L298,Meses!$A$1:$H$14,3+HLOOKUP(Cronograma!J298,Meses!$D$1:$G$2,2,FALSE),FALSE),
IF(P298="En programación",M298,""))</f>
        <v/>
      </c>
      <c r="S298" s="25" t="str">
        <f t="shared" si="14"/>
        <v/>
      </c>
      <c r="T298" s="21" t="str">
        <f>IFERROR(
(VLOOKUP(MONTH(R298),Meses!$B$3:$C$14,2,FALSE)-DAY(R298))/VLOOKUP(MONTH(R298),Meses!$B$3:$C$14,2,FALSE)*U298,
"")</f>
        <v/>
      </c>
      <c r="U298" s="22">
        <f t="shared" si="13"/>
        <v>127820</v>
      </c>
    </row>
    <row r="299" spans="1:21" ht="31.8" hidden="1" thickBot="1" x14ac:dyDescent="0.6">
      <c r="A299" s="10" t="s">
        <v>420</v>
      </c>
      <c r="B299" s="10" t="s">
        <v>425</v>
      </c>
      <c r="C299" s="12"/>
      <c r="D299" s="10" t="s">
        <v>74</v>
      </c>
      <c r="E299" s="10" t="s">
        <v>74</v>
      </c>
      <c r="F299" s="10">
        <v>7112</v>
      </c>
      <c r="G299" s="10" t="s">
        <v>15</v>
      </c>
      <c r="H299" s="10" t="s">
        <v>140</v>
      </c>
      <c r="I299" s="10" t="s">
        <v>43</v>
      </c>
      <c r="J299" s="10" t="s">
        <v>19</v>
      </c>
      <c r="K299" s="10" t="s">
        <v>19</v>
      </c>
      <c r="L299" s="10" t="s">
        <v>19</v>
      </c>
      <c r="M299" s="12"/>
      <c r="N299" s="10" t="s">
        <v>15</v>
      </c>
      <c r="O299" s="10" t="s">
        <v>2056</v>
      </c>
      <c r="P299" s="25" t="str">
        <f>IFERROR(
IF(OR(O299="anulado",O299="stand by"),CONCATENATE(O299,": ",H299),
IF(OR(YEAR(M299)=2022,YEAR(M299)=2023),CONCATENATE("Se activó en ",YEAR(M299)),
IF(AND(OR(O299="En proceso",O299="facturando"),AND(J299="-",M299="")),"Por revisar",
IF(M299="",IF(J299="NUEVAS",CONCATENATE("Estado: ",O299,", ",J299),
IF(L299=Meses!$A$3,"Por revisar",
IF(H299="","Sin registro","En programación Frcst."))),"En programación")))),
"Error")</f>
        <v>anulado: Desistido</v>
      </c>
      <c r="Q299" s="9" t="str">
        <f t="shared" si="12"/>
        <v/>
      </c>
      <c r="R299" s="25" t="str">
        <f>IF(P299="En programación Frcst.",VLOOKUP(L299,Meses!$A$1:$H$14,3+HLOOKUP(Cronograma!J299,Meses!$D$1:$G$2,2,FALSE),FALSE),
IF(P299="En programación",M299,""))</f>
        <v/>
      </c>
      <c r="S299" s="25" t="str">
        <f t="shared" si="14"/>
        <v/>
      </c>
      <c r="T299" s="21" t="str">
        <f>IFERROR(
(VLOOKUP(MONTH(R299),Meses!$B$3:$C$14,2,FALSE)-DAY(R299))/VLOOKUP(MONTH(R299),Meses!$B$3:$C$14,2,FALSE)*U299,
"")</f>
        <v/>
      </c>
      <c r="U299" s="22">
        <f t="shared" si="13"/>
        <v>7112</v>
      </c>
    </row>
    <row r="300" spans="1:21" ht="31.8" hidden="1" thickBot="1" x14ac:dyDescent="0.6">
      <c r="A300" s="10" t="s">
        <v>420</v>
      </c>
      <c r="B300" s="10" t="s">
        <v>426</v>
      </c>
      <c r="C300" s="12"/>
      <c r="D300" s="10" t="s">
        <v>74</v>
      </c>
      <c r="E300" s="10" t="s">
        <v>74</v>
      </c>
      <c r="F300" s="10">
        <v>2.8929999999999998</v>
      </c>
      <c r="G300" s="10" t="s">
        <v>15</v>
      </c>
      <c r="H300" s="10" t="s">
        <v>140</v>
      </c>
      <c r="I300" s="10" t="s">
        <v>43</v>
      </c>
      <c r="J300" s="10" t="s">
        <v>19</v>
      </c>
      <c r="K300" s="10" t="s">
        <v>19</v>
      </c>
      <c r="L300" s="10" t="s">
        <v>19</v>
      </c>
      <c r="M300" s="12"/>
      <c r="N300" s="10" t="s">
        <v>20</v>
      </c>
      <c r="O300" s="10" t="s">
        <v>2056</v>
      </c>
      <c r="P300" s="25" t="str">
        <f>IFERROR(
IF(OR(O300="anulado",O300="stand by"),CONCATENATE(O300,": ",H300),
IF(OR(YEAR(M300)=2022,YEAR(M300)=2023),CONCATENATE("Se activó en ",YEAR(M300)),
IF(AND(OR(O300="En proceso",O300="facturando"),AND(J300="-",M300="")),"Por revisar",
IF(M300="",IF(J300="NUEVAS",CONCATENATE("Estado: ",O300,", ",J300),
IF(L300=Meses!$A$3,"Por revisar",
IF(H300="","Sin registro","En programación Frcst."))),"En programación")))),
"Error")</f>
        <v>anulado: Desistido</v>
      </c>
      <c r="Q300" s="9" t="str">
        <f t="shared" si="12"/>
        <v/>
      </c>
      <c r="R300" s="25" t="str">
        <f>IF(P300="En programación Frcst.",VLOOKUP(L300,Meses!$A$1:$H$14,3+HLOOKUP(Cronograma!J300,Meses!$D$1:$G$2,2,FALSE),FALSE),
IF(P300="En programación",M300,""))</f>
        <v/>
      </c>
      <c r="S300" s="25" t="str">
        <f t="shared" si="14"/>
        <v/>
      </c>
      <c r="T300" s="21" t="str">
        <f>IFERROR(
(VLOOKUP(MONTH(R300),Meses!$B$3:$C$14,2,FALSE)-DAY(R300))/VLOOKUP(MONTH(R300),Meses!$B$3:$C$14,2,FALSE)*U300,
"")</f>
        <v/>
      </c>
      <c r="U300" s="22">
        <f t="shared" si="13"/>
        <v>2.8929999999999998</v>
      </c>
    </row>
    <row r="301" spans="1:21" ht="32.4" hidden="1" thickBot="1" x14ac:dyDescent="0.6">
      <c r="A301" s="10" t="s">
        <v>420</v>
      </c>
      <c r="B301" s="10" t="s">
        <v>427</v>
      </c>
      <c r="C301" s="12">
        <v>45134</v>
      </c>
      <c r="D301" s="10" t="s">
        <v>74</v>
      </c>
      <c r="E301" s="10" t="s">
        <v>74</v>
      </c>
      <c r="F301" s="10">
        <v>3286</v>
      </c>
      <c r="G301" s="10" t="s">
        <v>15</v>
      </c>
      <c r="H301" s="10" t="s">
        <v>17</v>
      </c>
      <c r="I301" s="10" t="s">
        <v>43</v>
      </c>
      <c r="J301" s="10" t="s">
        <v>19</v>
      </c>
      <c r="K301" s="10" t="s">
        <v>19</v>
      </c>
      <c r="L301" s="10" t="s">
        <v>19</v>
      </c>
      <c r="M301" s="12"/>
      <c r="N301" s="10" t="s">
        <v>20</v>
      </c>
      <c r="O301" s="10" t="s">
        <v>2054</v>
      </c>
      <c r="P301" s="25" t="str">
        <f>IFERROR(
IF(OR(O301="anulado",O301="stand by"),CONCATENATE(O301,": ",H301),
IF(OR(YEAR(M301)=2022,YEAR(M301)=2023),CONCATENATE("Se activó en ",YEAR(M301)),
IF(AND(OR(O301="En proceso",O301="facturando"),AND(J301="-",M301="")),"Por revisar",
IF(M301="",IF(J301="NUEVAS",CONCATENATE("Estado: ",O301,", ",J301),
IF(L301=Meses!$A$3,"Por revisar",
IF(H301="","Sin registro","En programación Frcst."))),"En programación")))),
"Error")</f>
        <v>Por revisar</v>
      </c>
      <c r="Q301" s="9" t="str">
        <f t="shared" si="12"/>
        <v>programación de act. NO, estado: Facturando, Comercializador: AIR-E, Etapa: Instalado y Activado</v>
      </c>
      <c r="R301" s="25" t="str">
        <f>IF(P301="En programación Frcst.",VLOOKUP(L301,Meses!$A$1:$H$14,3+HLOOKUP(Cronograma!J301,Meses!$D$1:$G$2,2,FALSE),FALSE),
IF(P301="En programación",M301,""))</f>
        <v/>
      </c>
      <c r="S301" s="25" t="str">
        <f t="shared" si="14"/>
        <v/>
      </c>
      <c r="T301" s="21" t="str">
        <f>IFERROR(
(VLOOKUP(MONTH(R301),Meses!$B$3:$C$14,2,FALSE)-DAY(R301))/VLOOKUP(MONTH(R301),Meses!$B$3:$C$14,2,FALSE)*U301,
"")</f>
        <v/>
      </c>
      <c r="U301" s="22">
        <f t="shared" si="13"/>
        <v>3286</v>
      </c>
    </row>
    <row r="302" spans="1:21" ht="32.4" hidden="1" thickBot="1" x14ac:dyDescent="0.6">
      <c r="A302" s="10" t="s">
        <v>420</v>
      </c>
      <c r="B302" s="10" t="s">
        <v>428</v>
      </c>
      <c r="C302" s="12">
        <v>45162</v>
      </c>
      <c r="D302" s="10" t="s">
        <v>74</v>
      </c>
      <c r="E302" s="10" t="s">
        <v>74</v>
      </c>
      <c r="F302" s="10">
        <v>26490</v>
      </c>
      <c r="G302" s="10" t="s">
        <v>15</v>
      </c>
      <c r="H302" s="10" t="s">
        <v>17</v>
      </c>
      <c r="I302" s="10" t="s">
        <v>43</v>
      </c>
      <c r="J302" s="10" t="s">
        <v>19</v>
      </c>
      <c r="K302" s="10" t="s">
        <v>19</v>
      </c>
      <c r="L302" s="10" t="s">
        <v>19</v>
      </c>
      <c r="M302" s="12"/>
      <c r="N302" s="10" t="s">
        <v>20</v>
      </c>
      <c r="O302" s="10" t="s">
        <v>2054</v>
      </c>
      <c r="P302" s="25" t="str">
        <f>IFERROR(
IF(OR(O302="anulado",O302="stand by"),CONCATENATE(O302,": ",H302),
IF(OR(YEAR(M302)=2022,YEAR(M302)=2023),CONCATENATE("Se activó en ",YEAR(M302)),
IF(AND(OR(O302="En proceso",O302="facturando"),AND(J302="-",M302="")),"Por revisar",
IF(M302="",IF(J302="NUEVAS",CONCATENATE("Estado: ",O302,", ",J302),
IF(L302=Meses!$A$3,"Por revisar",
IF(H302="","Sin registro","En programación Frcst."))),"En programación")))),
"Error")</f>
        <v>Por revisar</v>
      </c>
      <c r="Q302" s="9" t="str">
        <f t="shared" si="12"/>
        <v>programación de act. NO, estado: Facturando, Comercializador: AIR-E, Etapa: Instalado y Activado</v>
      </c>
      <c r="R302" s="25" t="str">
        <f>IF(P302="En programación Frcst.",VLOOKUP(L302,Meses!$A$1:$H$14,3+HLOOKUP(Cronograma!J302,Meses!$D$1:$G$2,2,FALSE),FALSE),
IF(P302="En programación",M302,""))</f>
        <v/>
      </c>
      <c r="S302" s="25" t="str">
        <f t="shared" si="14"/>
        <v/>
      </c>
      <c r="T302" s="21" t="str">
        <f>IFERROR(
(VLOOKUP(MONTH(R302),Meses!$B$3:$C$14,2,FALSE)-DAY(R302))/VLOOKUP(MONTH(R302),Meses!$B$3:$C$14,2,FALSE)*U302,
"")</f>
        <v/>
      </c>
      <c r="U302" s="22">
        <f t="shared" si="13"/>
        <v>26490</v>
      </c>
    </row>
    <row r="303" spans="1:21" ht="31.8" hidden="1" thickBot="1" x14ac:dyDescent="0.6">
      <c r="A303" s="10" t="s">
        <v>420</v>
      </c>
      <c r="B303" s="10" t="s">
        <v>429</v>
      </c>
      <c r="C303" s="12"/>
      <c r="D303" s="10" t="s">
        <v>74</v>
      </c>
      <c r="E303" s="10" t="s">
        <v>74</v>
      </c>
      <c r="F303" s="10">
        <v>12950</v>
      </c>
      <c r="G303" s="10" t="s">
        <v>15</v>
      </c>
      <c r="H303" s="10" t="s">
        <v>140</v>
      </c>
      <c r="I303" s="10" t="s">
        <v>43</v>
      </c>
      <c r="J303" s="10" t="s">
        <v>19</v>
      </c>
      <c r="K303" s="10" t="s">
        <v>19</v>
      </c>
      <c r="L303" s="10" t="s">
        <v>19</v>
      </c>
      <c r="M303" s="12"/>
      <c r="N303" s="10" t="s">
        <v>20</v>
      </c>
      <c r="O303" s="10" t="s">
        <v>2056</v>
      </c>
      <c r="P303" s="25" t="str">
        <f>IFERROR(
IF(OR(O303="anulado",O303="stand by"),CONCATENATE(O303,": ",H303),
IF(OR(YEAR(M303)=2022,YEAR(M303)=2023),CONCATENATE("Se activó en ",YEAR(M303)),
IF(AND(OR(O303="En proceso",O303="facturando"),AND(J303="-",M303="")),"Por revisar",
IF(M303="",IF(J303="NUEVAS",CONCATENATE("Estado: ",O303,", ",J303),
IF(L303=Meses!$A$3,"Por revisar",
IF(H303="","Sin registro","En programación Frcst."))),"En programación")))),
"Error")</f>
        <v>anulado: Desistido</v>
      </c>
      <c r="Q303" s="9" t="str">
        <f t="shared" si="12"/>
        <v/>
      </c>
      <c r="R303" s="25" t="str">
        <f>IF(P303="En programación Frcst.",VLOOKUP(L303,Meses!$A$1:$H$14,3+HLOOKUP(Cronograma!J303,Meses!$D$1:$G$2,2,FALSE),FALSE),
IF(P303="En programación",M303,""))</f>
        <v/>
      </c>
      <c r="S303" s="25" t="str">
        <f t="shared" si="14"/>
        <v/>
      </c>
      <c r="T303" s="21" t="str">
        <f>IFERROR(
(VLOOKUP(MONTH(R303),Meses!$B$3:$C$14,2,FALSE)-DAY(R303))/VLOOKUP(MONTH(R303),Meses!$B$3:$C$14,2,FALSE)*U303,
"")</f>
        <v/>
      </c>
      <c r="U303" s="22">
        <f t="shared" si="13"/>
        <v>12950</v>
      </c>
    </row>
    <row r="304" spans="1:21" ht="31.8" hidden="1" thickBot="1" x14ac:dyDescent="0.6">
      <c r="A304" s="10" t="s">
        <v>420</v>
      </c>
      <c r="B304" s="10" t="s">
        <v>430</v>
      </c>
      <c r="C304" s="12"/>
      <c r="D304" s="10" t="s">
        <v>74</v>
      </c>
      <c r="E304" s="10" t="s">
        <v>74</v>
      </c>
      <c r="F304" s="10">
        <v>40283</v>
      </c>
      <c r="G304" s="10" t="s">
        <v>15</v>
      </c>
      <c r="H304" s="10" t="s">
        <v>140</v>
      </c>
      <c r="I304" s="10" t="s">
        <v>43</v>
      </c>
      <c r="J304" s="10" t="s">
        <v>19</v>
      </c>
      <c r="K304" s="10" t="s">
        <v>19</v>
      </c>
      <c r="L304" s="10" t="s">
        <v>19</v>
      </c>
      <c r="M304" s="12"/>
      <c r="N304" s="10" t="s">
        <v>20</v>
      </c>
      <c r="O304" s="10" t="s">
        <v>2056</v>
      </c>
      <c r="P304" s="25" t="str">
        <f>IFERROR(
IF(OR(O304="anulado",O304="stand by"),CONCATENATE(O304,": ",H304),
IF(OR(YEAR(M304)=2022,YEAR(M304)=2023),CONCATENATE("Se activó en ",YEAR(M304)),
IF(AND(OR(O304="En proceso",O304="facturando"),AND(J304="-",M304="")),"Por revisar",
IF(M304="",IF(J304="NUEVAS",CONCATENATE("Estado: ",O304,", ",J304),
IF(L304=Meses!$A$3,"Por revisar",
IF(H304="","Sin registro","En programación Frcst."))),"En programación")))),
"Error")</f>
        <v>anulado: Desistido</v>
      </c>
      <c r="Q304" s="9" t="str">
        <f t="shared" si="12"/>
        <v/>
      </c>
      <c r="R304" s="25" t="str">
        <f>IF(P304="En programación Frcst.",VLOOKUP(L304,Meses!$A$1:$H$14,3+HLOOKUP(Cronograma!J304,Meses!$D$1:$G$2,2,FALSE),FALSE),
IF(P304="En programación",M304,""))</f>
        <v/>
      </c>
      <c r="S304" s="25" t="str">
        <f t="shared" si="14"/>
        <v/>
      </c>
      <c r="T304" s="21" t="str">
        <f>IFERROR(
(VLOOKUP(MONTH(R304),Meses!$B$3:$C$14,2,FALSE)-DAY(R304))/VLOOKUP(MONTH(R304),Meses!$B$3:$C$14,2,FALSE)*U304,
"")</f>
        <v/>
      </c>
      <c r="U304" s="22">
        <f t="shared" si="13"/>
        <v>40283</v>
      </c>
    </row>
    <row r="305" spans="1:21" ht="31.8" hidden="1" thickBot="1" x14ac:dyDescent="0.6">
      <c r="A305" s="10" t="s">
        <v>420</v>
      </c>
      <c r="B305" s="10" t="s">
        <v>431</v>
      </c>
      <c r="C305" s="12"/>
      <c r="D305" s="10" t="s">
        <v>74</v>
      </c>
      <c r="E305" s="10" t="s">
        <v>74</v>
      </c>
      <c r="F305" s="10">
        <v>28840</v>
      </c>
      <c r="G305" s="10" t="s">
        <v>15</v>
      </c>
      <c r="H305" s="10" t="s">
        <v>140</v>
      </c>
      <c r="I305" s="10" t="s">
        <v>43</v>
      </c>
      <c r="J305" s="10" t="s">
        <v>19</v>
      </c>
      <c r="K305" s="10" t="s">
        <v>19</v>
      </c>
      <c r="L305" s="10" t="s">
        <v>19</v>
      </c>
      <c r="M305" s="12"/>
      <c r="N305" s="10" t="s">
        <v>20</v>
      </c>
      <c r="O305" s="10" t="s">
        <v>2056</v>
      </c>
      <c r="P305" s="25" t="str">
        <f>IFERROR(
IF(OR(O305="anulado",O305="stand by"),CONCATENATE(O305,": ",H305),
IF(OR(YEAR(M305)=2022,YEAR(M305)=2023),CONCATENATE("Se activó en ",YEAR(M305)),
IF(AND(OR(O305="En proceso",O305="facturando"),AND(J305="-",M305="")),"Por revisar",
IF(M305="",IF(J305="NUEVAS",CONCATENATE("Estado: ",O305,", ",J305),
IF(L305=Meses!$A$3,"Por revisar",
IF(H305="","Sin registro","En programación Frcst."))),"En programación")))),
"Error")</f>
        <v>anulado: Desistido</v>
      </c>
      <c r="Q305" s="9" t="str">
        <f t="shared" si="12"/>
        <v/>
      </c>
      <c r="R305" s="25" t="str">
        <f>IF(P305="En programación Frcst.",VLOOKUP(L305,Meses!$A$1:$H$14,3+HLOOKUP(Cronograma!J305,Meses!$D$1:$G$2,2,FALSE),FALSE),
IF(P305="En programación",M305,""))</f>
        <v/>
      </c>
      <c r="S305" s="25" t="str">
        <f t="shared" si="14"/>
        <v/>
      </c>
      <c r="T305" s="21" t="str">
        <f>IFERROR(
(VLOOKUP(MONTH(R305),Meses!$B$3:$C$14,2,FALSE)-DAY(R305))/VLOOKUP(MONTH(R305),Meses!$B$3:$C$14,2,FALSE)*U305,
"")</f>
        <v/>
      </c>
      <c r="U305" s="22">
        <f t="shared" si="13"/>
        <v>28840</v>
      </c>
    </row>
    <row r="306" spans="1:21" ht="31.8" hidden="1" thickBot="1" x14ac:dyDescent="0.6">
      <c r="A306" s="10" t="s">
        <v>420</v>
      </c>
      <c r="B306" s="10" t="s">
        <v>432</v>
      </c>
      <c r="C306" s="12"/>
      <c r="D306" s="10" t="s">
        <v>74</v>
      </c>
      <c r="E306" s="10" t="s">
        <v>74</v>
      </c>
      <c r="F306" s="10">
        <v>15387</v>
      </c>
      <c r="G306" s="10" t="s">
        <v>15</v>
      </c>
      <c r="H306" s="10" t="s">
        <v>140</v>
      </c>
      <c r="I306" s="10" t="s">
        <v>43</v>
      </c>
      <c r="J306" s="10" t="s">
        <v>19</v>
      </c>
      <c r="K306" s="10" t="s">
        <v>19</v>
      </c>
      <c r="L306" s="10" t="s">
        <v>19</v>
      </c>
      <c r="M306" s="12"/>
      <c r="N306" s="10" t="s">
        <v>20</v>
      </c>
      <c r="O306" s="10" t="s">
        <v>2056</v>
      </c>
      <c r="P306" s="25" t="str">
        <f>IFERROR(
IF(OR(O306="anulado",O306="stand by"),CONCATENATE(O306,": ",H306),
IF(OR(YEAR(M306)=2022,YEAR(M306)=2023),CONCATENATE("Se activó en ",YEAR(M306)),
IF(AND(OR(O306="En proceso",O306="facturando"),AND(J306="-",M306="")),"Por revisar",
IF(M306="",IF(J306="NUEVAS",CONCATENATE("Estado: ",O306,", ",J306),
IF(L306=Meses!$A$3,"Por revisar",
IF(H306="","Sin registro","En programación Frcst."))),"En programación")))),
"Error")</f>
        <v>anulado: Desistido</v>
      </c>
      <c r="Q306" s="9" t="str">
        <f t="shared" si="12"/>
        <v/>
      </c>
      <c r="R306" s="25" t="str">
        <f>IF(P306="En programación Frcst.",VLOOKUP(L306,Meses!$A$1:$H$14,3+HLOOKUP(Cronograma!J306,Meses!$D$1:$G$2,2,FALSE),FALSE),
IF(P306="En programación",M306,""))</f>
        <v/>
      </c>
      <c r="S306" s="25" t="str">
        <f t="shared" si="14"/>
        <v/>
      </c>
      <c r="T306" s="21" t="str">
        <f>IFERROR(
(VLOOKUP(MONTH(R306),Meses!$B$3:$C$14,2,FALSE)-DAY(R306))/VLOOKUP(MONTH(R306),Meses!$B$3:$C$14,2,FALSE)*U306,
"")</f>
        <v/>
      </c>
      <c r="U306" s="22">
        <f t="shared" si="13"/>
        <v>15387</v>
      </c>
    </row>
    <row r="307" spans="1:21" ht="31.8" hidden="1" thickBot="1" x14ac:dyDescent="0.6">
      <c r="A307" s="10" t="s">
        <v>420</v>
      </c>
      <c r="B307" s="10" t="s">
        <v>433</v>
      </c>
      <c r="C307" s="12"/>
      <c r="D307" s="10" t="s">
        <v>74</v>
      </c>
      <c r="E307" s="10" t="s">
        <v>74</v>
      </c>
      <c r="F307" s="10">
        <v>15654</v>
      </c>
      <c r="G307" s="10" t="s">
        <v>15</v>
      </c>
      <c r="H307" s="10" t="s">
        <v>140</v>
      </c>
      <c r="I307" s="10" t="s">
        <v>43</v>
      </c>
      <c r="J307" s="10" t="s">
        <v>19</v>
      </c>
      <c r="K307" s="10" t="s">
        <v>19</v>
      </c>
      <c r="L307" s="10" t="s">
        <v>19</v>
      </c>
      <c r="M307" s="12"/>
      <c r="N307" s="10" t="s">
        <v>20</v>
      </c>
      <c r="O307" s="10" t="s">
        <v>2056</v>
      </c>
      <c r="P307" s="25" t="str">
        <f>IFERROR(
IF(OR(O307="anulado",O307="stand by"),CONCATENATE(O307,": ",H307),
IF(OR(YEAR(M307)=2022,YEAR(M307)=2023),CONCATENATE("Se activó en ",YEAR(M307)),
IF(AND(OR(O307="En proceso",O307="facturando"),AND(J307="-",M307="")),"Por revisar",
IF(M307="",IF(J307="NUEVAS",CONCATENATE("Estado: ",O307,", ",J307),
IF(L307=Meses!$A$3,"Por revisar",
IF(H307="","Sin registro","En programación Frcst."))),"En programación")))),
"Error")</f>
        <v>anulado: Desistido</v>
      </c>
      <c r="Q307" s="9" t="str">
        <f t="shared" si="12"/>
        <v/>
      </c>
      <c r="R307" s="25" t="str">
        <f>IF(P307="En programación Frcst.",VLOOKUP(L307,Meses!$A$1:$H$14,3+HLOOKUP(Cronograma!J307,Meses!$D$1:$G$2,2,FALSE),FALSE),
IF(P307="En programación",M307,""))</f>
        <v/>
      </c>
      <c r="S307" s="25" t="str">
        <f t="shared" si="14"/>
        <v/>
      </c>
      <c r="T307" s="21" t="str">
        <f>IFERROR(
(VLOOKUP(MONTH(R307),Meses!$B$3:$C$14,2,FALSE)-DAY(R307))/VLOOKUP(MONTH(R307),Meses!$B$3:$C$14,2,FALSE)*U307,
"")</f>
        <v/>
      </c>
      <c r="U307" s="22">
        <f t="shared" si="13"/>
        <v>15654</v>
      </c>
    </row>
    <row r="308" spans="1:21" ht="31.8" hidden="1" thickBot="1" x14ac:dyDescent="0.6">
      <c r="A308" s="10" t="s">
        <v>420</v>
      </c>
      <c r="B308" s="10" t="s">
        <v>434</v>
      </c>
      <c r="C308" s="12"/>
      <c r="D308" s="10" t="s">
        <v>74</v>
      </c>
      <c r="E308" s="10" t="s">
        <v>74</v>
      </c>
      <c r="F308" s="10">
        <v>2165</v>
      </c>
      <c r="G308" s="10" t="s">
        <v>15</v>
      </c>
      <c r="H308" s="10" t="s">
        <v>140</v>
      </c>
      <c r="I308" s="10" t="s">
        <v>43</v>
      </c>
      <c r="J308" s="10" t="s">
        <v>19</v>
      </c>
      <c r="K308" s="10" t="s">
        <v>19</v>
      </c>
      <c r="L308" s="10" t="s">
        <v>19</v>
      </c>
      <c r="M308" s="12"/>
      <c r="N308" s="10" t="s">
        <v>20</v>
      </c>
      <c r="O308" s="10" t="s">
        <v>2056</v>
      </c>
      <c r="P308" s="25" t="str">
        <f>IFERROR(
IF(OR(O308="anulado",O308="stand by"),CONCATENATE(O308,": ",H308),
IF(OR(YEAR(M308)=2022,YEAR(M308)=2023),CONCATENATE("Se activó en ",YEAR(M308)),
IF(AND(OR(O308="En proceso",O308="facturando"),AND(J308="-",M308="")),"Por revisar",
IF(M308="",IF(J308="NUEVAS",CONCATENATE("Estado: ",O308,", ",J308),
IF(L308=Meses!$A$3,"Por revisar",
IF(H308="","Sin registro","En programación Frcst."))),"En programación")))),
"Error")</f>
        <v>anulado: Desistido</v>
      </c>
      <c r="Q308" s="9" t="str">
        <f t="shared" si="12"/>
        <v/>
      </c>
      <c r="R308" s="25" t="str">
        <f>IF(P308="En programación Frcst.",VLOOKUP(L308,Meses!$A$1:$H$14,3+HLOOKUP(Cronograma!J308,Meses!$D$1:$G$2,2,FALSE),FALSE),
IF(P308="En programación",M308,""))</f>
        <v/>
      </c>
      <c r="S308" s="25" t="str">
        <f t="shared" si="14"/>
        <v/>
      </c>
      <c r="T308" s="21" t="str">
        <f>IFERROR(
(VLOOKUP(MONTH(R308),Meses!$B$3:$C$14,2,FALSE)-DAY(R308))/VLOOKUP(MONTH(R308),Meses!$B$3:$C$14,2,FALSE)*U308,
"")</f>
        <v/>
      </c>
      <c r="U308" s="22">
        <f t="shared" si="13"/>
        <v>2165</v>
      </c>
    </row>
    <row r="309" spans="1:21" ht="31.8" hidden="1" thickBot="1" x14ac:dyDescent="0.6">
      <c r="A309" s="10" t="s">
        <v>420</v>
      </c>
      <c r="B309" s="10" t="s">
        <v>435</v>
      </c>
      <c r="C309" s="12"/>
      <c r="D309" s="10" t="s">
        <v>74</v>
      </c>
      <c r="E309" s="10" t="s">
        <v>74</v>
      </c>
      <c r="F309" s="10">
        <v>53020</v>
      </c>
      <c r="G309" s="10" t="s">
        <v>15</v>
      </c>
      <c r="H309" s="10" t="s">
        <v>140</v>
      </c>
      <c r="I309" s="10" t="s">
        <v>43</v>
      </c>
      <c r="J309" s="10" t="s">
        <v>19</v>
      </c>
      <c r="K309" s="10" t="s">
        <v>19</v>
      </c>
      <c r="L309" s="10" t="s">
        <v>19</v>
      </c>
      <c r="M309" s="12"/>
      <c r="N309" s="10" t="s">
        <v>20</v>
      </c>
      <c r="O309" s="10" t="s">
        <v>2056</v>
      </c>
      <c r="P309" s="25" t="str">
        <f>IFERROR(
IF(OR(O309="anulado",O309="stand by"),CONCATENATE(O309,": ",H309),
IF(OR(YEAR(M309)=2022,YEAR(M309)=2023),CONCATENATE("Se activó en ",YEAR(M309)),
IF(AND(OR(O309="En proceso",O309="facturando"),AND(J309="-",M309="")),"Por revisar",
IF(M309="",IF(J309="NUEVAS",CONCATENATE("Estado: ",O309,", ",J309),
IF(L309=Meses!$A$3,"Por revisar",
IF(H309="","Sin registro","En programación Frcst."))),"En programación")))),
"Error")</f>
        <v>anulado: Desistido</v>
      </c>
      <c r="Q309" s="9" t="str">
        <f t="shared" si="12"/>
        <v/>
      </c>
      <c r="R309" s="25" t="str">
        <f>IF(P309="En programación Frcst.",VLOOKUP(L309,Meses!$A$1:$H$14,3+HLOOKUP(Cronograma!J309,Meses!$D$1:$G$2,2,FALSE),FALSE),
IF(P309="En programación",M309,""))</f>
        <v/>
      </c>
      <c r="S309" s="25" t="str">
        <f t="shared" si="14"/>
        <v/>
      </c>
      <c r="T309" s="21" t="str">
        <f>IFERROR(
(VLOOKUP(MONTH(R309),Meses!$B$3:$C$14,2,FALSE)-DAY(R309))/VLOOKUP(MONTH(R309),Meses!$B$3:$C$14,2,FALSE)*U309,
"")</f>
        <v/>
      </c>
      <c r="U309" s="22">
        <f t="shared" si="13"/>
        <v>53020</v>
      </c>
    </row>
    <row r="310" spans="1:21" ht="31.8" hidden="1" thickBot="1" x14ac:dyDescent="0.6">
      <c r="A310" s="10" t="s">
        <v>420</v>
      </c>
      <c r="B310" s="10" t="s">
        <v>436</v>
      </c>
      <c r="C310" s="12"/>
      <c r="D310" s="10" t="s">
        <v>74</v>
      </c>
      <c r="E310" s="10" t="s">
        <v>74</v>
      </c>
      <c r="F310" s="10">
        <v>224640</v>
      </c>
      <c r="G310" s="10" t="s">
        <v>15</v>
      </c>
      <c r="H310" s="10" t="s">
        <v>140</v>
      </c>
      <c r="I310" s="10" t="s">
        <v>43</v>
      </c>
      <c r="J310" s="10" t="s">
        <v>19</v>
      </c>
      <c r="K310" s="10" t="s">
        <v>19</v>
      </c>
      <c r="L310" s="10" t="s">
        <v>19</v>
      </c>
      <c r="M310" s="12"/>
      <c r="N310" s="10" t="s">
        <v>20</v>
      </c>
      <c r="O310" s="10" t="s">
        <v>2056</v>
      </c>
      <c r="P310" s="25" t="str">
        <f>IFERROR(
IF(OR(O310="anulado",O310="stand by"),CONCATENATE(O310,": ",H310),
IF(OR(YEAR(M310)=2022,YEAR(M310)=2023),CONCATENATE("Se activó en ",YEAR(M310)),
IF(AND(OR(O310="En proceso",O310="facturando"),AND(J310="-",M310="")),"Por revisar",
IF(M310="",IF(J310="NUEVAS",CONCATENATE("Estado: ",O310,", ",J310),
IF(L310=Meses!$A$3,"Por revisar",
IF(H310="","Sin registro","En programación Frcst."))),"En programación")))),
"Error")</f>
        <v>anulado: Desistido</v>
      </c>
      <c r="Q310" s="9" t="str">
        <f t="shared" si="12"/>
        <v/>
      </c>
      <c r="R310" s="25" t="str">
        <f>IF(P310="En programación Frcst.",VLOOKUP(L310,Meses!$A$1:$H$14,3+HLOOKUP(Cronograma!J310,Meses!$D$1:$G$2,2,FALSE),FALSE),
IF(P310="En programación",M310,""))</f>
        <v/>
      </c>
      <c r="S310" s="25" t="str">
        <f t="shared" si="14"/>
        <v/>
      </c>
      <c r="T310" s="21" t="str">
        <f>IFERROR(
(VLOOKUP(MONTH(R310),Meses!$B$3:$C$14,2,FALSE)-DAY(R310))/VLOOKUP(MONTH(R310),Meses!$B$3:$C$14,2,FALSE)*U310,
"")</f>
        <v/>
      </c>
      <c r="U310" s="22">
        <f t="shared" si="13"/>
        <v>224640</v>
      </c>
    </row>
    <row r="311" spans="1:21" ht="31.8" hidden="1" thickBot="1" x14ac:dyDescent="0.6">
      <c r="A311" s="10" t="s">
        <v>420</v>
      </c>
      <c r="B311" s="10" t="s">
        <v>437</v>
      </c>
      <c r="C311" s="12"/>
      <c r="D311" s="10" t="s">
        <v>74</v>
      </c>
      <c r="E311" s="10" t="s">
        <v>74</v>
      </c>
      <c r="F311" s="10">
        <v>27670</v>
      </c>
      <c r="G311" s="10" t="s">
        <v>15</v>
      </c>
      <c r="H311" s="10" t="s">
        <v>140</v>
      </c>
      <c r="I311" s="10" t="s">
        <v>43</v>
      </c>
      <c r="J311" s="10" t="s">
        <v>19</v>
      </c>
      <c r="K311" s="10" t="s">
        <v>19</v>
      </c>
      <c r="L311" s="10" t="s">
        <v>19</v>
      </c>
      <c r="M311" s="12"/>
      <c r="N311" s="10" t="s">
        <v>20</v>
      </c>
      <c r="O311" s="10" t="s">
        <v>2056</v>
      </c>
      <c r="P311" s="25" t="str">
        <f>IFERROR(
IF(OR(O311="anulado",O311="stand by"),CONCATENATE(O311,": ",H311),
IF(OR(YEAR(M311)=2022,YEAR(M311)=2023),CONCATENATE("Se activó en ",YEAR(M311)),
IF(AND(OR(O311="En proceso",O311="facturando"),AND(J311="-",M311="")),"Por revisar",
IF(M311="",IF(J311="NUEVAS",CONCATENATE("Estado: ",O311,", ",J311),
IF(L311=Meses!$A$3,"Por revisar",
IF(H311="","Sin registro","En programación Frcst."))),"En programación")))),
"Error")</f>
        <v>anulado: Desistido</v>
      </c>
      <c r="Q311" s="9" t="str">
        <f t="shared" si="12"/>
        <v/>
      </c>
      <c r="R311" s="25" t="str">
        <f>IF(P311="En programación Frcst.",VLOOKUP(L311,Meses!$A$1:$H$14,3+HLOOKUP(Cronograma!J311,Meses!$D$1:$G$2,2,FALSE),FALSE),
IF(P311="En programación",M311,""))</f>
        <v/>
      </c>
      <c r="S311" s="25" t="str">
        <f t="shared" si="14"/>
        <v/>
      </c>
      <c r="T311" s="21" t="str">
        <f>IFERROR(
(VLOOKUP(MONTH(R311),Meses!$B$3:$C$14,2,FALSE)-DAY(R311))/VLOOKUP(MONTH(R311),Meses!$B$3:$C$14,2,FALSE)*U311,
"")</f>
        <v/>
      </c>
      <c r="U311" s="22">
        <f t="shared" si="13"/>
        <v>27670</v>
      </c>
    </row>
    <row r="312" spans="1:21" ht="31.8" hidden="1" thickBot="1" x14ac:dyDescent="0.6">
      <c r="A312" s="10" t="s">
        <v>420</v>
      </c>
      <c r="B312" s="10" t="s">
        <v>438</v>
      </c>
      <c r="C312" s="12"/>
      <c r="D312" s="10" t="s">
        <v>74</v>
      </c>
      <c r="E312" s="10" t="s">
        <v>74</v>
      </c>
      <c r="F312" s="10">
        <v>0</v>
      </c>
      <c r="G312" s="10" t="s">
        <v>15</v>
      </c>
      <c r="H312" s="10" t="s">
        <v>140</v>
      </c>
      <c r="I312" s="10" t="s">
        <v>43</v>
      </c>
      <c r="J312" s="10" t="s">
        <v>19</v>
      </c>
      <c r="K312" s="10" t="s">
        <v>19</v>
      </c>
      <c r="L312" s="10" t="s">
        <v>19</v>
      </c>
      <c r="M312" s="12"/>
      <c r="N312" s="10" t="s">
        <v>20</v>
      </c>
      <c r="O312" s="10" t="s">
        <v>2056</v>
      </c>
      <c r="P312" s="25" t="str">
        <f>IFERROR(
IF(OR(O312="anulado",O312="stand by"),CONCATENATE(O312,": ",H312),
IF(OR(YEAR(M312)=2022,YEAR(M312)=2023),CONCATENATE("Se activó en ",YEAR(M312)),
IF(AND(OR(O312="En proceso",O312="facturando"),AND(J312="-",M312="")),"Por revisar",
IF(M312="",IF(J312="NUEVAS",CONCATENATE("Estado: ",O312,", ",J312),
IF(L312=Meses!$A$3,"Por revisar",
IF(H312="","Sin registro","En programación Frcst."))),"En programación")))),
"Error")</f>
        <v>anulado: Desistido</v>
      </c>
      <c r="Q312" s="9" t="str">
        <f t="shared" si="12"/>
        <v/>
      </c>
      <c r="R312" s="25" t="str">
        <f>IF(P312="En programación Frcst.",VLOOKUP(L312,Meses!$A$1:$H$14,3+HLOOKUP(Cronograma!J312,Meses!$D$1:$G$2,2,FALSE),FALSE),
IF(P312="En programación",M312,""))</f>
        <v/>
      </c>
      <c r="S312" s="25" t="str">
        <f t="shared" si="14"/>
        <v/>
      </c>
      <c r="T312" s="21" t="str">
        <f>IFERROR(
(VLOOKUP(MONTH(R312),Meses!$B$3:$C$14,2,FALSE)-DAY(R312))/VLOOKUP(MONTH(R312),Meses!$B$3:$C$14,2,FALSE)*U312,
"")</f>
        <v/>
      </c>
      <c r="U312" s="22">
        <f t="shared" si="13"/>
        <v>0</v>
      </c>
    </row>
    <row r="313" spans="1:21" ht="31.8" hidden="1" thickBot="1" x14ac:dyDescent="0.6">
      <c r="A313" s="10" t="s">
        <v>420</v>
      </c>
      <c r="B313" s="10" t="s">
        <v>439</v>
      </c>
      <c r="C313" s="12"/>
      <c r="D313" s="10" t="s">
        <v>74</v>
      </c>
      <c r="E313" s="10" t="s">
        <v>74</v>
      </c>
      <c r="F313" s="10">
        <v>12680</v>
      </c>
      <c r="G313" s="10" t="s">
        <v>15</v>
      </c>
      <c r="H313" s="10" t="s">
        <v>140</v>
      </c>
      <c r="I313" s="10" t="s">
        <v>43</v>
      </c>
      <c r="J313" s="10" t="s">
        <v>19</v>
      </c>
      <c r="K313" s="10" t="s">
        <v>19</v>
      </c>
      <c r="L313" s="10" t="s">
        <v>19</v>
      </c>
      <c r="M313" s="12"/>
      <c r="N313" s="10" t="s">
        <v>20</v>
      </c>
      <c r="O313" s="10" t="s">
        <v>2056</v>
      </c>
      <c r="P313" s="25" t="str">
        <f>IFERROR(
IF(OR(O313="anulado",O313="stand by"),CONCATENATE(O313,": ",H313),
IF(OR(YEAR(M313)=2022,YEAR(M313)=2023),CONCATENATE("Se activó en ",YEAR(M313)),
IF(AND(OR(O313="En proceso",O313="facturando"),AND(J313="-",M313="")),"Por revisar",
IF(M313="",IF(J313="NUEVAS",CONCATENATE("Estado: ",O313,", ",J313),
IF(L313=Meses!$A$3,"Por revisar",
IF(H313="","Sin registro","En programación Frcst."))),"En programación")))),
"Error")</f>
        <v>anulado: Desistido</v>
      </c>
      <c r="Q313" s="9" t="str">
        <f t="shared" si="12"/>
        <v/>
      </c>
      <c r="R313" s="25" t="str">
        <f>IF(P313="En programación Frcst.",VLOOKUP(L313,Meses!$A$1:$H$14,3+HLOOKUP(Cronograma!J313,Meses!$D$1:$G$2,2,FALSE),FALSE),
IF(P313="En programación",M313,""))</f>
        <v/>
      </c>
      <c r="S313" s="25" t="str">
        <f t="shared" si="14"/>
        <v/>
      </c>
      <c r="T313" s="21" t="str">
        <f>IFERROR(
(VLOOKUP(MONTH(R313),Meses!$B$3:$C$14,2,FALSE)-DAY(R313))/VLOOKUP(MONTH(R313),Meses!$B$3:$C$14,2,FALSE)*U313,
"")</f>
        <v/>
      </c>
      <c r="U313" s="22">
        <f t="shared" si="13"/>
        <v>12680</v>
      </c>
    </row>
    <row r="314" spans="1:21" ht="31.8" hidden="1" thickBot="1" x14ac:dyDescent="0.6">
      <c r="A314" s="10" t="s">
        <v>420</v>
      </c>
      <c r="B314" s="10" t="s">
        <v>440</v>
      </c>
      <c r="C314" s="12"/>
      <c r="D314" s="10" t="s">
        <v>74</v>
      </c>
      <c r="E314" s="10" t="s">
        <v>74</v>
      </c>
      <c r="F314" s="10">
        <v>15017</v>
      </c>
      <c r="G314" s="10" t="s">
        <v>15</v>
      </c>
      <c r="H314" s="10" t="s">
        <v>140</v>
      </c>
      <c r="I314" s="10" t="s">
        <v>43</v>
      </c>
      <c r="J314" s="10" t="s">
        <v>19</v>
      </c>
      <c r="K314" s="10" t="s">
        <v>19</v>
      </c>
      <c r="L314" s="10" t="s">
        <v>19</v>
      </c>
      <c r="M314" s="12"/>
      <c r="N314" s="10" t="s">
        <v>20</v>
      </c>
      <c r="O314" s="10" t="s">
        <v>2056</v>
      </c>
      <c r="P314" s="25" t="str">
        <f>IFERROR(
IF(OR(O314="anulado",O314="stand by"),CONCATENATE(O314,": ",H314),
IF(OR(YEAR(M314)=2022,YEAR(M314)=2023),CONCATENATE("Se activó en ",YEAR(M314)),
IF(AND(OR(O314="En proceso",O314="facturando"),AND(J314="-",M314="")),"Por revisar",
IF(M314="",IF(J314="NUEVAS",CONCATENATE("Estado: ",O314,", ",J314),
IF(L314=Meses!$A$3,"Por revisar",
IF(H314="","Sin registro","En programación Frcst."))),"En programación")))),
"Error")</f>
        <v>anulado: Desistido</v>
      </c>
      <c r="Q314" s="9" t="str">
        <f t="shared" si="12"/>
        <v/>
      </c>
      <c r="R314" s="25" t="str">
        <f>IF(P314="En programación Frcst.",VLOOKUP(L314,Meses!$A$1:$H$14,3+HLOOKUP(Cronograma!J314,Meses!$D$1:$G$2,2,FALSE),FALSE),
IF(P314="En programación",M314,""))</f>
        <v/>
      </c>
      <c r="S314" s="25" t="str">
        <f t="shared" si="14"/>
        <v/>
      </c>
      <c r="T314" s="21" t="str">
        <f>IFERROR(
(VLOOKUP(MONTH(R314),Meses!$B$3:$C$14,2,FALSE)-DAY(R314))/VLOOKUP(MONTH(R314),Meses!$B$3:$C$14,2,FALSE)*U314,
"")</f>
        <v/>
      </c>
      <c r="U314" s="22">
        <f t="shared" si="13"/>
        <v>15017</v>
      </c>
    </row>
    <row r="315" spans="1:21" ht="47.4" hidden="1" thickBot="1" x14ac:dyDescent="0.6">
      <c r="A315" s="10" t="s">
        <v>441</v>
      </c>
      <c r="B315" s="10" t="s">
        <v>442</v>
      </c>
      <c r="C315" s="12"/>
      <c r="D315" s="10" t="s">
        <v>41</v>
      </c>
      <c r="E315" s="10" t="s">
        <v>41</v>
      </c>
      <c r="F315" s="10">
        <v>1197</v>
      </c>
      <c r="G315" s="10" t="s">
        <v>15</v>
      </c>
      <c r="H315" s="10" t="s">
        <v>2916</v>
      </c>
      <c r="I315" s="10" t="s">
        <v>43</v>
      </c>
      <c r="J315" s="10" t="s">
        <v>292</v>
      </c>
      <c r="K315" s="10" t="s">
        <v>3325</v>
      </c>
      <c r="L315" s="10" t="s">
        <v>2292</v>
      </c>
      <c r="M315" s="12">
        <v>45407</v>
      </c>
      <c r="N315" s="10" t="s">
        <v>20</v>
      </c>
      <c r="O315" s="10" t="s">
        <v>2057</v>
      </c>
      <c r="P315" s="25" t="str">
        <f>IFERROR(
IF(OR(O315="anulado",O315="stand by"),CONCATENATE(O315,": ",H315),
IF(OR(YEAR(M315)=2022,YEAR(M315)=2023),CONCATENATE("Se activó en ",YEAR(M315)),
IF(AND(OR(O315="En proceso",O315="facturando"),AND(J315="-",M315="")),"Por revisar",
IF(M315="",IF(J315="NUEVAS",CONCATENATE("Estado: ",O315,", ",J315),
IF(L315=Meses!$A$3,"Por revisar",
IF(H315="","Sin registro","En programación Frcst."))),"En programación")))),
"Error")</f>
        <v>En programación</v>
      </c>
      <c r="Q315" s="9" t="str">
        <f t="shared" si="12"/>
        <v/>
      </c>
      <c r="R315" s="25">
        <f>IF(P315="En programación Frcst.",VLOOKUP(L315,Meses!$A$1:$H$14,3+HLOOKUP(Cronograma!J315,Meses!$D$1:$G$2,2,FALSE),FALSE),
IF(P315="En programación",M315,""))</f>
        <v>45407</v>
      </c>
      <c r="S315" s="25" t="str">
        <f t="shared" si="14"/>
        <v>2024/4</v>
      </c>
      <c r="T315" s="21">
        <f>IFERROR(
(VLOOKUP(MONTH(R315),Meses!$B$3:$C$14,2,FALSE)-DAY(R315))/VLOOKUP(MONTH(R315),Meses!$B$3:$C$14,2,FALSE)*U315,
"")</f>
        <v>199.5</v>
      </c>
      <c r="U315" s="22">
        <f t="shared" si="13"/>
        <v>1197</v>
      </c>
    </row>
    <row r="316" spans="1:21" ht="47.4" hidden="1" thickBot="1" x14ac:dyDescent="0.6">
      <c r="A316" s="10" t="s">
        <v>441</v>
      </c>
      <c r="B316" s="10" t="s">
        <v>443</v>
      </c>
      <c r="C316" s="12"/>
      <c r="D316" s="10" t="s">
        <v>41</v>
      </c>
      <c r="E316" s="10" t="s">
        <v>41</v>
      </c>
      <c r="F316" s="10">
        <v>472</v>
      </c>
      <c r="G316" s="10" t="s">
        <v>15</v>
      </c>
      <c r="H316" s="10" t="s">
        <v>2921</v>
      </c>
      <c r="I316" s="10" t="s">
        <v>43</v>
      </c>
      <c r="J316" s="10" t="s">
        <v>143</v>
      </c>
      <c r="K316" s="10" t="s">
        <v>3309</v>
      </c>
      <c r="L316" s="10" t="s">
        <v>1120</v>
      </c>
      <c r="M316" s="12">
        <v>45365</v>
      </c>
      <c r="N316" s="10" t="s">
        <v>15</v>
      </c>
      <c r="O316" s="10" t="s">
        <v>2057</v>
      </c>
      <c r="P316" s="25" t="str">
        <f>IFERROR(
IF(OR(O316="anulado",O316="stand by"),CONCATENATE(O316,": ",H316),
IF(OR(YEAR(M316)=2022,YEAR(M316)=2023),CONCATENATE("Se activó en ",YEAR(M316)),
IF(AND(OR(O316="En proceso",O316="facturando"),AND(J316="-",M316="")),"Por revisar",
IF(M316="",IF(J316="NUEVAS",CONCATENATE("Estado: ",O316,", ",J316),
IF(L316=Meses!$A$3,"Por revisar",
IF(H316="","Sin registro","En programación Frcst."))),"En programación")))),
"Error")</f>
        <v>En programación</v>
      </c>
      <c r="Q316" s="9" t="str">
        <f t="shared" si="12"/>
        <v/>
      </c>
      <c r="R316" s="25">
        <f>IF(P316="En programación Frcst.",VLOOKUP(L316,Meses!$A$1:$H$14,3+HLOOKUP(Cronograma!J316,Meses!$D$1:$G$2,2,FALSE),FALSE),
IF(P316="En programación",M316,""))</f>
        <v>45365</v>
      </c>
      <c r="S316" s="25" t="str">
        <f t="shared" si="14"/>
        <v>2024/3</v>
      </c>
      <c r="T316" s="21">
        <f>IFERROR(
(VLOOKUP(MONTH(R316),Meses!$B$3:$C$14,2,FALSE)-DAY(R316))/VLOOKUP(MONTH(R316),Meses!$B$3:$C$14,2,FALSE)*U316,
"")</f>
        <v>258.83870967741933</v>
      </c>
      <c r="U316" s="22">
        <f t="shared" si="13"/>
        <v>472</v>
      </c>
    </row>
    <row r="317" spans="1:21" ht="47.4" thickBot="1" x14ac:dyDescent="0.6">
      <c r="A317" s="10" t="s">
        <v>441</v>
      </c>
      <c r="B317" s="10" t="s">
        <v>444</v>
      </c>
      <c r="C317" s="12">
        <v>45071</v>
      </c>
      <c r="D317" s="10" t="s">
        <v>41</v>
      </c>
      <c r="E317" s="10" t="s">
        <v>41</v>
      </c>
      <c r="F317" s="10">
        <v>2032</v>
      </c>
      <c r="G317" s="10" t="s">
        <v>15</v>
      </c>
      <c r="H317" s="10" t="s">
        <v>2406</v>
      </c>
      <c r="I317" s="10" t="s">
        <v>66</v>
      </c>
      <c r="J317" s="10" t="s">
        <v>282</v>
      </c>
      <c r="K317" s="10" t="s">
        <v>3326</v>
      </c>
      <c r="L317" s="10" t="s">
        <v>2293</v>
      </c>
      <c r="M317" s="12"/>
      <c r="N317" s="10" t="s">
        <v>20</v>
      </c>
      <c r="O317" s="10" t="s">
        <v>2054</v>
      </c>
      <c r="P317" s="25" t="str">
        <f>IFERROR(
IF(OR(O317="anulado",O317="stand by"),CONCATENATE(O317,": ",H317),
IF(OR(YEAR(M317)=2022,YEAR(M317)=2023),CONCATENATE("Se activó en ",YEAR(M317)),
IF(AND(OR(O317="En proceso",O317="facturando"),AND(J317="-",M317="")),"Por revisar",
IF(M317="",IF(J317="NUEVAS",CONCATENATE("Estado: ",O317,", ",J317),
IF(L317=Meses!$A$3,"Por revisar",
IF(H317="","Sin registro","En programación Frcst."))),"En programación")))),
"Error")</f>
        <v>En programación Frcst.</v>
      </c>
      <c r="Q317" s="9" t="str">
        <f t="shared" si="12"/>
        <v/>
      </c>
      <c r="R317" s="25">
        <f>IF(P317="En programación Frcst.",VLOOKUP(L317,Meses!$A$1:$H$14,3+HLOOKUP(Cronograma!J317,Meses!$D$1:$G$2,2,FALSE),FALSE),
IF(P317="En programación",M317,""))</f>
        <v>45414</v>
      </c>
      <c r="S317" s="25" t="str">
        <f t="shared" si="14"/>
        <v>2024/5</v>
      </c>
      <c r="T317" s="21">
        <f>IFERROR(
(VLOOKUP(MONTH(R317),Meses!$B$3:$C$14,2,FALSE)-DAY(R317))/VLOOKUP(MONTH(R317),Meses!$B$3:$C$14,2,FALSE)*U317,
"")</f>
        <v>1900.9032258064515</v>
      </c>
      <c r="U317" s="22">
        <f t="shared" si="13"/>
        <v>2032</v>
      </c>
    </row>
    <row r="318" spans="1:21" ht="32.4" hidden="1" thickBot="1" x14ac:dyDescent="0.6">
      <c r="A318" s="10" t="s">
        <v>372</v>
      </c>
      <c r="B318" s="10" t="s">
        <v>445</v>
      </c>
      <c r="C318" s="12">
        <v>45218</v>
      </c>
      <c r="D318" s="10" t="s">
        <v>74</v>
      </c>
      <c r="E318" s="10" t="s">
        <v>74</v>
      </c>
      <c r="F318" s="10">
        <v>2040</v>
      </c>
      <c r="G318" s="10" t="s">
        <v>15</v>
      </c>
      <c r="H318" s="10" t="s">
        <v>17</v>
      </c>
      <c r="I318" s="10" t="s">
        <v>43</v>
      </c>
      <c r="J318" s="10" t="s">
        <v>19</v>
      </c>
      <c r="K318" s="10" t="s">
        <v>19</v>
      </c>
      <c r="L318" s="10" t="s">
        <v>19</v>
      </c>
      <c r="M318" s="12"/>
      <c r="N318" s="10" t="s">
        <v>20</v>
      </c>
      <c r="O318" s="10" t="s">
        <v>2054</v>
      </c>
      <c r="P318" s="25" t="str">
        <f>IFERROR(
IF(OR(O318="anulado",O318="stand by"),CONCATENATE(O318,": ",H318),
IF(OR(YEAR(M318)=2022,YEAR(M318)=2023),CONCATENATE("Se activó en ",YEAR(M318)),
IF(AND(OR(O318="En proceso",O318="facturando"),AND(J318="-",M318="")),"Por revisar",
IF(M318="",IF(J318="NUEVAS",CONCATENATE("Estado: ",O318,", ",J318),
IF(L318=Meses!$A$3,"Por revisar",
IF(H318="","Sin registro","En programación Frcst."))),"En programación")))),
"Error")</f>
        <v>Por revisar</v>
      </c>
      <c r="Q318" s="9" t="str">
        <f t="shared" si="12"/>
        <v>programación de act. NO, estado: Facturando, Comercializador: AIR-E, Etapa: Instalado y Activado</v>
      </c>
      <c r="R318" s="25" t="str">
        <f>IF(P318="En programación Frcst.",VLOOKUP(L318,Meses!$A$1:$H$14,3+HLOOKUP(Cronograma!J318,Meses!$D$1:$G$2,2,FALSE),FALSE),
IF(P318="En programación",M318,""))</f>
        <v/>
      </c>
      <c r="S318" s="25" t="str">
        <f t="shared" si="14"/>
        <v/>
      </c>
      <c r="T318" s="21" t="str">
        <f>IFERROR(
(VLOOKUP(MONTH(R318),Meses!$B$3:$C$14,2,FALSE)-DAY(R318))/VLOOKUP(MONTH(R318),Meses!$B$3:$C$14,2,FALSE)*U318,
"")</f>
        <v/>
      </c>
      <c r="U318" s="22">
        <f t="shared" si="13"/>
        <v>2040</v>
      </c>
    </row>
    <row r="319" spans="1:21" ht="32.4" hidden="1" thickBot="1" x14ac:dyDescent="0.6">
      <c r="A319" s="10" t="s">
        <v>372</v>
      </c>
      <c r="B319" s="10" t="s">
        <v>446</v>
      </c>
      <c r="C319" s="12">
        <v>45218</v>
      </c>
      <c r="D319" s="10" t="s">
        <v>74</v>
      </c>
      <c r="E319" s="10" t="s">
        <v>74</v>
      </c>
      <c r="F319" s="10">
        <v>996</v>
      </c>
      <c r="G319" s="10" t="s">
        <v>15</v>
      </c>
      <c r="H319" s="10" t="s">
        <v>17</v>
      </c>
      <c r="I319" s="10" t="s">
        <v>43</v>
      </c>
      <c r="J319" s="10" t="s">
        <v>19</v>
      </c>
      <c r="K319" s="10" t="s">
        <v>19</v>
      </c>
      <c r="L319" s="10" t="s">
        <v>19</v>
      </c>
      <c r="M319" s="12"/>
      <c r="N319" s="10" t="s">
        <v>20</v>
      </c>
      <c r="O319" s="10" t="s">
        <v>2054</v>
      </c>
      <c r="P319" s="25" t="str">
        <f>IFERROR(
IF(OR(O319="anulado",O319="stand by"),CONCATENATE(O319,": ",H319),
IF(OR(YEAR(M319)=2022,YEAR(M319)=2023),CONCATENATE("Se activó en ",YEAR(M319)),
IF(AND(OR(O319="En proceso",O319="facturando"),AND(J319="-",M319="")),"Por revisar",
IF(M319="",IF(J319="NUEVAS",CONCATENATE("Estado: ",O319,", ",J319),
IF(L319=Meses!$A$3,"Por revisar",
IF(H319="","Sin registro","En programación Frcst."))),"En programación")))),
"Error")</f>
        <v>Por revisar</v>
      </c>
      <c r="Q319" s="9" t="str">
        <f t="shared" si="12"/>
        <v>programación de act. NO, estado: Facturando, Comercializador: AIR-E, Etapa: Instalado y Activado</v>
      </c>
      <c r="R319" s="25" t="str">
        <f>IF(P319="En programación Frcst.",VLOOKUP(L319,Meses!$A$1:$H$14,3+HLOOKUP(Cronograma!J319,Meses!$D$1:$G$2,2,FALSE),FALSE),
IF(P319="En programación",M319,""))</f>
        <v/>
      </c>
      <c r="S319" s="25" t="str">
        <f t="shared" si="14"/>
        <v/>
      </c>
      <c r="T319" s="21" t="str">
        <f>IFERROR(
(VLOOKUP(MONTH(R319),Meses!$B$3:$C$14,2,FALSE)-DAY(R319))/VLOOKUP(MONTH(R319),Meses!$B$3:$C$14,2,FALSE)*U319,
"")</f>
        <v/>
      </c>
      <c r="U319" s="22">
        <f t="shared" si="13"/>
        <v>996</v>
      </c>
    </row>
    <row r="320" spans="1:21" ht="32.4" hidden="1" thickBot="1" x14ac:dyDescent="0.6">
      <c r="A320" s="10" t="s">
        <v>420</v>
      </c>
      <c r="B320" s="10" t="s">
        <v>447</v>
      </c>
      <c r="C320" s="12">
        <v>45057</v>
      </c>
      <c r="D320" s="10" t="s">
        <v>44</v>
      </c>
      <c r="E320" s="10" t="s">
        <v>44</v>
      </c>
      <c r="F320" s="10">
        <v>6465</v>
      </c>
      <c r="G320" s="10" t="s">
        <v>15</v>
      </c>
      <c r="H320" s="10" t="s">
        <v>17</v>
      </c>
      <c r="I320" s="10" t="s">
        <v>43</v>
      </c>
      <c r="J320" s="10" t="s">
        <v>19</v>
      </c>
      <c r="K320" s="10" t="s">
        <v>19</v>
      </c>
      <c r="L320" s="10" t="s">
        <v>19</v>
      </c>
      <c r="M320" s="12"/>
      <c r="N320" s="10" t="s">
        <v>20</v>
      </c>
      <c r="O320" s="10" t="s">
        <v>2054</v>
      </c>
      <c r="P320" s="25" t="str">
        <f>IFERROR(
IF(OR(O320="anulado",O320="stand by"),CONCATENATE(O320,": ",H320),
IF(OR(YEAR(M320)=2022,YEAR(M320)=2023),CONCATENATE("Se activó en ",YEAR(M320)),
IF(AND(OR(O320="En proceso",O320="facturando"),AND(J320="-",M320="")),"Por revisar",
IF(M320="",IF(J320="NUEVAS",CONCATENATE("Estado: ",O320,", ",J320),
IF(L320=Meses!$A$3,"Por revisar",
IF(H320="","Sin registro","En programación Frcst."))),"En programación")))),
"Error")</f>
        <v>Por revisar</v>
      </c>
      <c r="Q320" s="9" t="str">
        <f t="shared" si="12"/>
        <v>programación de act. NO, estado: Facturando, Comercializador: AFINIA, Etapa: Instalado y Activado</v>
      </c>
      <c r="R320" s="25" t="str">
        <f>IF(P320="En programación Frcst.",VLOOKUP(L320,Meses!$A$1:$H$14,3+HLOOKUP(Cronograma!J320,Meses!$D$1:$G$2,2,FALSE),FALSE),
IF(P320="En programación",M320,""))</f>
        <v/>
      </c>
      <c r="S320" s="25" t="str">
        <f t="shared" si="14"/>
        <v/>
      </c>
      <c r="T320" s="21" t="str">
        <f>IFERROR(
(VLOOKUP(MONTH(R320),Meses!$B$3:$C$14,2,FALSE)-DAY(R320))/VLOOKUP(MONTH(R320),Meses!$B$3:$C$14,2,FALSE)*U320,
"")</f>
        <v/>
      </c>
      <c r="U320" s="22">
        <f t="shared" si="13"/>
        <v>6465</v>
      </c>
    </row>
    <row r="321" spans="1:21" ht="32.4" hidden="1" thickBot="1" x14ac:dyDescent="0.6">
      <c r="A321" s="10" t="s">
        <v>420</v>
      </c>
      <c r="B321" s="10" t="s">
        <v>448</v>
      </c>
      <c r="C321" s="12">
        <v>45064</v>
      </c>
      <c r="D321" s="10" t="s">
        <v>44</v>
      </c>
      <c r="E321" s="10" t="s">
        <v>44</v>
      </c>
      <c r="F321" s="10">
        <v>645</v>
      </c>
      <c r="G321" s="10" t="s">
        <v>15</v>
      </c>
      <c r="H321" s="10" t="s">
        <v>17</v>
      </c>
      <c r="I321" s="10" t="s">
        <v>43</v>
      </c>
      <c r="J321" s="10" t="s">
        <v>19</v>
      </c>
      <c r="K321" s="10" t="s">
        <v>19</v>
      </c>
      <c r="L321" s="10" t="s">
        <v>19</v>
      </c>
      <c r="M321" s="12"/>
      <c r="N321" s="10" t="s">
        <v>20</v>
      </c>
      <c r="O321" s="10" t="s">
        <v>2054</v>
      </c>
      <c r="P321" s="25" t="str">
        <f>IFERROR(
IF(OR(O321="anulado",O321="stand by"),CONCATENATE(O321,": ",H321),
IF(OR(YEAR(M321)=2022,YEAR(M321)=2023),CONCATENATE("Se activó en ",YEAR(M321)),
IF(AND(OR(O321="En proceso",O321="facturando"),AND(J321="-",M321="")),"Por revisar",
IF(M321="",IF(J321="NUEVAS",CONCATENATE("Estado: ",O321,", ",J321),
IF(L321=Meses!$A$3,"Por revisar",
IF(H321="","Sin registro","En programación Frcst."))),"En programación")))),
"Error")</f>
        <v>Por revisar</v>
      </c>
      <c r="Q321" s="9" t="str">
        <f t="shared" si="12"/>
        <v>programación de act. NO, estado: Facturando, Comercializador: AFINIA, Etapa: Instalado y Activado</v>
      </c>
      <c r="R321" s="25" t="str">
        <f>IF(P321="En programación Frcst.",VLOOKUP(L321,Meses!$A$1:$H$14,3+HLOOKUP(Cronograma!J321,Meses!$D$1:$G$2,2,FALSE),FALSE),
IF(P321="En programación",M321,""))</f>
        <v/>
      </c>
      <c r="S321" s="25" t="str">
        <f t="shared" si="14"/>
        <v/>
      </c>
      <c r="T321" s="21" t="str">
        <f>IFERROR(
(VLOOKUP(MONTH(R321),Meses!$B$3:$C$14,2,FALSE)-DAY(R321))/VLOOKUP(MONTH(R321),Meses!$B$3:$C$14,2,FALSE)*U321,
"")</f>
        <v/>
      </c>
      <c r="U321" s="22">
        <f t="shared" si="13"/>
        <v>645</v>
      </c>
    </row>
    <row r="322" spans="1:21" ht="31.8" hidden="1" thickBot="1" x14ac:dyDescent="0.6">
      <c r="A322" s="10" t="s">
        <v>420</v>
      </c>
      <c r="B322" s="10" t="s">
        <v>449</v>
      </c>
      <c r="C322" s="12"/>
      <c r="D322" s="10" t="s">
        <v>44</v>
      </c>
      <c r="E322" s="10" t="s">
        <v>44</v>
      </c>
      <c r="F322" s="10">
        <v>6767</v>
      </c>
      <c r="G322" s="10" t="s">
        <v>15</v>
      </c>
      <c r="H322" s="10" t="s">
        <v>140</v>
      </c>
      <c r="I322" s="10" t="s">
        <v>43</v>
      </c>
      <c r="J322" s="10" t="s">
        <v>19</v>
      </c>
      <c r="K322" s="10" t="s">
        <v>19</v>
      </c>
      <c r="L322" s="10" t="s">
        <v>19</v>
      </c>
      <c r="M322" s="12"/>
      <c r="N322" s="10" t="s">
        <v>20</v>
      </c>
      <c r="O322" s="10" t="s">
        <v>2056</v>
      </c>
      <c r="P322" s="25" t="str">
        <f>IFERROR(
IF(OR(O322="anulado",O322="stand by"),CONCATENATE(O322,": ",H322),
IF(OR(YEAR(M322)=2022,YEAR(M322)=2023),CONCATENATE("Se activó en ",YEAR(M322)),
IF(AND(OR(O322="En proceso",O322="facturando"),AND(J322="-",M322="")),"Por revisar",
IF(M322="",IF(J322="NUEVAS",CONCATENATE("Estado: ",O322,", ",J322),
IF(L322=Meses!$A$3,"Por revisar",
IF(H322="","Sin registro","En programación Frcst."))),"En programación")))),
"Error")</f>
        <v>anulado: Desistido</v>
      </c>
      <c r="Q322" s="9" t="str">
        <f t="shared" ref="Q322:Q385" si="15">IF(P322="Por revisar",CONCATENATE("programación de act. ",N322,", estado: ",O322,", Comercializador: ",D322,", Etapa: ",H322),"")</f>
        <v/>
      </c>
      <c r="R322" s="25" t="str">
        <f>IF(P322="En programación Frcst.",VLOOKUP(L322,Meses!$A$1:$H$14,3+HLOOKUP(Cronograma!J322,Meses!$D$1:$G$2,2,FALSE),FALSE),
IF(P322="En programación",M322,""))</f>
        <v/>
      </c>
      <c r="S322" s="25" t="str">
        <f t="shared" si="14"/>
        <v/>
      </c>
      <c r="T322" s="21" t="str">
        <f>IFERROR(
(VLOOKUP(MONTH(R322),Meses!$B$3:$C$14,2,FALSE)-DAY(R322))/VLOOKUP(MONTH(R322),Meses!$B$3:$C$14,2,FALSE)*U322,
"")</f>
        <v/>
      </c>
      <c r="U322" s="22">
        <f t="shared" ref="U322:U385" si="16">F322</f>
        <v>6767</v>
      </c>
    </row>
    <row r="323" spans="1:21" ht="31.8" hidden="1" thickBot="1" x14ac:dyDescent="0.6">
      <c r="A323" s="10" t="s">
        <v>420</v>
      </c>
      <c r="B323" s="10" t="s">
        <v>450</v>
      </c>
      <c r="C323" s="12">
        <v>45274</v>
      </c>
      <c r="D323" s="10" t="s">
        <v>44</v>
      </c>
      <c r="E323" s="10" t="s">
        <v>44</v>
      </c>
      <c r="F323" s="10">
        <v>3540</v>
      </c>
      <c r="G323" s="10" t="s">
        <v>15</v>
      </c>
      <c r="H323" s="10" t="s">
        <v>17</v>
      </c>
      <c r="I323" s="10" t="s">
        <v>43</v>
      </c>
      <c r="J323" s="10" t="s">
        <v>282</v>
      </c>
      <c r="K323" s="10" t="s">
        <v>283</v>
      </c>
      <c r="L323" s="10" t="s">
        <v>279</v>
      </c>
      <c r="M323" s="12"/>
      <c r="N323" s="10" t="s">
        <v>15</v>
      </c>
      <c r="O323" s="10" t="s">
        <v>2054</v>
      </c>
      <c r="P323" s="25" t="str">
        <f>IFERROR(
IF(OR(O323="anulado",O323="stand by"),CONCATENATE(O323,": ",H323),
IF(OR(YEAR(M323)=2022,YEAR(M323)=2023),CONCATENATE("Se activó en ",YEAR(M323)),
IF(AND(OR(O323="En proceso",O323="facturando"),AND(J323="-",M323="")),"Por revisar",
IF(M323="",IF(J323="NUEVAS",CONCATENATE("Estado: ",O323,", ",J323),
IF(L323=Meses!$A$3,"Por revisar",
IF(H323="","Sin registro","En programación Frcst."))),"En programación")))),
"Error")</f>
        <v>En programación Frcst.</v>
      </c>
      <c r="Q323" s="9" t="str">
        <f t="shared" si="15"/>
        <v/>
      </c>
      <c r="R323" s="25">
        <f>IF(P323="En programación Frcst.",VLOOKUP(L323,Meses!$A$1:$H$14,3+HLOOKUP(Cronograma!J323,Meses!$D$1:$G$2,2,FALSE),FALSE),
IF(P323="En programación",M323,""))</f>
        <v>45295</v>
      </c>
      <c r="S323" s="25" t="str">
        <f t="shared" ref="S323:S386" si="17">IFERROR(CONCATENATE(YEAR(R323),"/",MONTH(R323)),"")</f>
        <v>2024/1</v>
      </c>
      <c r="T323" s="21">
        <f>IFERROR(
(VLOOKUP(MONTH(R323),Meses!$B$3:$C$14,2,FALSE)-DAY(R323))/VLOOKUP(MONTH(R323),Meses!$B$3:$C$14,2,FALSE)*U323,
"")</f>
        <v>3083.2258064516127</v>
      </c>
      <c r="U323" s="22">
        <f t="shared" si="16"/>
        <v>3540</v>
      </c>
    </row>
    <row r="324" spans="1:21" ht="31.8" hidden="1" thickBot="1" x14ac:dyDescent="0.6">
      <c r="A324" s="10" t="s">
        <v>420</v>
      </c>
      <c r="B324" s="10" t="s">
        <v>451</v>
      </c>
      <c r="C324" s="12">
        <v>45274</v>
      </c>
      <c r="D324" s="10" t="s">
        <v>44</v>
      </c>
      <c r="E324" s="10" t="s">
        <v>44</v>
      </c>
      <c r="F324" s="10">
        <v>4435</v>
      </c>
      <c r="G324" s="10" t="s">
        <v>15</v>
      </c>
      <c r="H324" s="10" t="s">
        <v>17</v>
      </c>
      <c r="I324" s="10" t="s">
        <v>43</v>
      </c>
      <c r="J324" s="10" t="s">
        <v>282</v>
      </c>
      <c r="K324" s="10" t="s">
        <v>283</v>
      </c>
      <c r="L324" s="10" t="s">
        <v>279</v>
      </c>
      <c r="M324" s="12"/>
      <c r="N324" s="10" t="s">
        <v>15</v>
      </c>
      <c r="O324" s="10" t="s">
        <v>2054</v>
      </c>
      <c r="P324" s="25" t="str">
        <f>IFERROR(
IF(OR(O324="anulado",O324="stand by"),CONCATENATE(O324,": ",H324),
IF(OR(YEAR(M324)=2022,YEAR(M324)=2023),CONCATENATE("Se activó en ",YEAR(M324)),
IF(AND(OR(O324="En proceso",O324="facturando"),AND(J324="-",M324="")),"Por revisar",
IF(M324="",IF(J324="NUEVAS",CONCATENATE("Estado: ",O324,", ",J324),
IF(L324=Meses!$A$3,"Por revisar",
IF(H324="","Sin registro","En programación Frcst."))),"En programación")))),
"Error")</f>
        <v>En programación Frcst.</v>
      </c>
      <c r="Q324" s="9" t="str">
        <f t="shared" si="15"/>
        <v/>
      </c>
      <c r="R324" s="25">
        <f>IF(P324="En programación Frcst.",VLOOKUP(L324,Meses!$A$1:$H$14,3+HLOOKUP(Cronograma!J324,Meses!$D$1:$G$2,2,FALSE),FALSE),
IF(P324="En programación",M324,""))</f>
        <v>45295</v>
      </c>
      <c r="S324" s="25" t="str">
        <f t="shared" si="17"/>
        <v>2024/1</v>
      </c>
      <c r="T324" s="21">
        <f>IFERROR(
(VLOOKUP(MONTH(R324),Meses!$B$3:$C$14,2,FALSE)-DAY(R324))/VLOOKUP(MONTH(R324),Meses!$B$3:$C$14,2,FALSE)*U324,
"")</f>
        <v>3862.7419354838712</v>
      </c>
      <c r="U324" s="22">
        <f t="shared" si="16"/>
        <v>4435</v>
      </c>
    </row>
    <row r="325" spans="1:21" ht="63" hidden="1" thickBot="1" x14ac:dyDescent="0.6">
      <c r="A325" s="10" t="s">
        <v>452</v>
      </c>
      <c r="B325" s="10" t="s">
        <v>453</v>
      </c>
      <c r="C325" s="12">
        <v>45036</v>
      </c>
      <c r="D325" s="10" t="s">
        <v>14</v>
      </c>
      <c r="E325" s="10" t="s">
        <v>14</v>
      </c>
      <c r="F325" s="10">
        <v>14636</v>
      </c>
      <c r="G325" s="10" t="s">
        <v>15</v>
      </c>
      <c r="H325" s="10" t="s">
        <v>17</v>
      </c>
      <c r="I325" s="10" t="s">
        <v>18</v>
      </c>
      <c r="J325" s="10" t="s">
        <v>19</v>
      </c>
      <c r="K325" s="10" t="s">
        <v>19</v>
      </c>
      <c r="L325" s="10" t="s">
        <v>19</v>
      </c>
      <c r="M325" s="12"/>
      <c r="N325" s="10" t="s">
        <v>20</v>
      </c>
      <c r="O325" s="10" t="s">
        <v>2054</v>
      </c>
      <c r="P325" s="25" t="str">
        <f>IFERROR(
IF(OR(O325="anulado",O325="stand by"),CONCATENATE(O325,": ",H325),
IF(OR(YEAR(M325)=2022,YEAR(M325)=2023),CONCATENATE("Se activó en ",YEAR(M325)),
IF(AND(OR(O325="En proceso",O325="facturando"),AND(J325="-",M325="")),"Por revisar",
IF(M325="",IF(J325="NUEVAS",CONCATENATE("Estado: ",O325,", ",J325),
IF(L325=Meses!$A$3,"Por revisar",
IF(H325="","Sin registro","En programación Frcst."))),"En programación")))),
"Error")</f>
        <v>Por revisar</v>
      </c>
      <c r="Q325" s="9" t="str">
        <f t="shared" si="15"/>
        <v>programación de act. NO, estado: Facturando, Comercializador: ENEL, Etapa: Instalado y Activado</v>
      </c>
      <c r="R325" s="25" t="str">
        <f>IF(P325="En programación Frcst.",VLOOKUP(L325,Meses!$A$1:$H$14,3+HLOOKUP(Cronograma!J325,Meses!$D$1:$G$2,2,FALSE),FALSE),
IF(P325="En programación",M325,""))</f>
        <v/>
      </c>
      <c r="S325" s="25" t="str">
        <f t="shared" si="17"/>
        <v/>
      </c>
      <c r="T325" s="21" t="str">
        <f>IFERROR(
(VLOOKUP(MONTH(R325),Meses!$B$3:$C$14,2,FALSE)-DAY(R325))/VLOOKUP(MONTH(R325),Meses!$B$3:$C$14,2,FALSE)*U325,
"")</f>
        <v/>
      </c>
      <c r="U325" s="22">
        <f t="shared" si="16"/>
        <v>14636</v>
      </c>
    </row>
    <row r="326" spans="1:21" ht="63" hidden="1" thickBot="1" x14ac:dyDescent="0.6">
      <c r="A326" s="10" t="s">
        <v>452</v>
      </c>
      <c r="B326" s="10" t="s">
        <v>454</v>
      </c>
      <c r="C326" s="12">
        <v>45036</v>
      </c>
      <c r="D326" s="10" t="s">
        <v>14</v>
      </c>
      <c r="E326" s="10" t="s">
        <v>14</v>
      </c>
      <c r="F326" s="10">
        <v>1483</v>
      </c>
      <c r="G326" s="10" t="s">
        <v>15</v>
      </c>
      <c r="H326" s="10" t="s">
        <v>17</v>
      </c>
      <c r="I326" s="10" t="s">
        <v>18</v>
      </c>
      <c r="J326" s="10" t="s">
        <v>19</v>
      </c>
      <c r="K326" s="10" t="s">
        <v>19</v>
      </c>
      <c r="L326" s="10" t="s">
        <v>19</v>
      </c>
      <c r="M326" s="12"/>
      <c r="N326" s="10" t="s">
        <v>20</v>
      </c>
      <c r="O326" s="10" t="s">
        <v>2054</v>
      </c>
      <c r="P326" s="25" t="str">
        <f>IFERROR(
IF(OR(O326="anulado",O326="stand by"),CONCATENATE(O326,": ",H326),
IF(OR(YEAR(M326)=2022,YEAR(M326)=2023),CONCATENATE("Se activó en ",YEAR(M326)),
IF(AND(OR(O326="En proceso",O326="facturando"),AND(J326="-",M326="")),"Por revisar",
IF(M326="",IF(J326="NUEVAS",CONCATENATE("Estado: ",O326,", ",J326),
IF(L326=Meses!$A$3,"Por revisar",
IF(H326="","Sin registro","En programación Frcst."))),"En programación")))),
"Error")</f>
        <v>Por revisar</v>
      </c>
      <c r="Q326" s="9" t="str">
        <f t="shared" si="15"/>
        <v>programación de act. NO, estado: Facturando, Comercializador: ENEL, Etapa: Instalado y Activado</v>
      </c>
      <c r="R326" s="25" t="str">
        <f>IF(P326="En programación Frcst.",VLOOKUP(L326,Meses!$A$1:$H$14,3+HLOOKUP(Cronograma!J326,Meses!$D$1:$G$2,2,FALSE),FALSE),
IF(P326="En programación",M326,""))</f>
        <v/>
      </c>
      <c r="S326" s="25" t="str">
        <f t="shared" si="17"/>
        <v/>
      </c>
      <c r="T326" s="21" t="str">
        <f>IFERROR(
(VLOOKUP(MONTH(R326),Meses!$B$3:$C$14,2,FALSE)-DAY(R326))/VLOOKUP(MONTH(R326),Meses!$B$3:$C$14,2,FALSE)*U326,
"")</f>
        <v/>
      </c>
      <c r="U326" s="22">
        <f t="shared" si="16"/>
        <v>1483</v>
      </c>
    </row>
    <row r="327" spans="1:21" ht="32.4" hidden="1" thickBot="1" x14ac:dyDescent="0.6">
      <c r="A327" s="10" t="s">
        <v>455</v>
      </c>
      <c r="B327" s="10" t="s">
        <v>456</v>
      </c>
      <c r="C327" s="12">
        <v>45162</v>
      </c>
      <c r="D327" s="10" t="s">
        <v>74</v>
      </c>
      <c r="E327" s="10" t="s">
        <v>74</v>
      </c>
      <c r="F327" s="10">
        <v>2066</v>
      </c>
      <c r="G327" s="10" t="s">
        <v>15</v>
      </c>
      <c r="H327" s="10" t="s">
        <v>17</v>
      </c>
      <c r="I327" s="10" t="s">
        <v>43</v>
      </c>
      <c r="J327" s="10" t="s">
        <v>19</v>
      </c>
      <c r="K327" s="10" t="s">
        <v>19</v>
      </c>
      <c r="L327" s="10" t="s">
        <v>19</v>
      </c>
      <c r="M327" s="12"/>
      <c r="N327" s="10" t="s">
        <v>20</v>
      </c>
      <c r="O327" s="10" t="s">
        <v>2054</v>
      </c>
      <c r="P327" s="25" t="str">
        <f>IFERROR(
IF(OR(O327="anulado",O327="stand by"),CONCATENATE(O327,": ",H327),
IF(OR(YEAR(M327)=2022,YEAR(M327)=2023),CONCATENATE("Se activó en ",YEAR(M327)),
IF(AND(OR(O327="En proceso",O327="facturando"),AND(J327="-",M327="")),"Por revisar",
IF(M327="",IF(J327="NUEVAS",CONCATENATE("Estado: ",O327,", ",J327),
IF(L327=Meses!$A$3,"Por revisar",
IF(H327="","Sin registro","En programación Frcst."))),"En programación")))),
"Error")</f>
        <v>Por revisar</v>
      </c>
      <c r="Q327" s="9" t="str">
        <f t="shared" si="15"/>
        <v>programación de act. NO, estado: Facturando, Comercializador: AIR-E, Etapa: Instalado y Activado</v>
      </c>
      <c r="R327" s="25" t="str">
        <f>IF(P327="En programación Frcst.",VLOOKUP(L327,Meses!$A$1:$H$14,3+HLOOKUP(Cronograma!J327,Meses!$D$1:$G$2,2,FALSE),FALSE),
IF(P327="En programación",M327,""))</f>
        <v/>
      </c>
      <c r="S327" s="25" t="str">
        <f t="shared" si="17"/>
        <v/>
      </c>
      <c r="T327" s="21" t="str">
        <f>IFERROR(
(VLOOKUP(MONTH(R327),Meses!$B$3:$C$14,2,FALSE)-DAY(R327))/VLOOKUP(MONTH(R327),Meses!$B$3:$C$14,2,FALSE)*U327,
"")</f>
        <v/>
      </c>
      <c r="U327" s="22">
        <f t="shared" si="16"/>
        <v>2066</v>
      </c>
    </row>
    <row r="328" spans="1:21" ht="32.4" hidden="1" thickBot="1" x14ac:dyDescent="0.6">
      <c r="A328" s="10" t="s">
        <v>457</v>
      </c>
      <c r="B328" s="10" t="s">
        <v>458</v>
      </c>
      <c r="C328" s="12">
        <v>45043</v>
      </c>
      <c r="D328" s="10" t="s">
        <v>14</v>
      </c>
      <c r="E328" s="10" t="s">
        <v>14</v>
      </c>
      <c r="F328" s="10">
        <v>306</v>
      </c>
      <c r="G328" s="10" t="s">
        <v>15</v>
      </c>
      <c r="H328" s="10" t="s">
        <v>17</v>
      </c>
      <c r="I328" s="10" t="s">
        <v>18</v>
      </c>
      <c r="J328" s="10" t="s">
        <v>19</v>
      </c>
      <c r="K328" s="10" t="s">
        <v>19</v>
      </c>
      <c r="L328" s="10" t="s">
        <v>19</v>
      </c>
      <c r="M328" s="12"/>
      <c r="N328" s="10" t="s">
        <v>20</v>
      </c>
      <c r="O328" s="10" t="s">
        <v>2054</v>
      </c>
      <c r="P328" s="25" t="str">
        <f>IFERROR(
IF(OR(O328="anulado",O328="stand by"),CONCATENATE(O328,": ",H328),
IF(OR(YEAR(M328)=2022,YEAR(M328)=2023),CONCATENATE("Se activó en ",YEAR(M328)),
IF(AND(OR(O328="En proceso",O328="facturando"),AND(J328="-",M328="")),"Por revisar",
IF(M328="",IF(J328="NUEVAS",CONCATENATE("Estado: ",O328,", ",J328),
IF(L328=Meses!$A$3,"Por revisar",
IF(H328="","Sin registro","En programación Frcst."))),"En programación")))),
"Error")</f>
        <v>Por revisar</v>
      </c>
      <c r="Q328" s="9" t="str">
        <f t="shared" si="15"/>
        <v>programación de act. NO, estado: Facturando, Comercializador: ENEL, Etapa: Instalado y Activado</v>
      </c>
      <c r="R328" s="25" t="str">
        <f>IF(P328="En programación Frcst.",VLOOKUP(L328,Meses!$A$1:$H$14,3+HLOOKUP(Cronograma!J328,Meses!$D$1:$G$2,2,FALSE),FALSE),
IF(P328="En programación",M328,""))</f>
        <v/>
      </c>
      <c r="S328" s="25" t="str">
        <f t="shared" si="17"/>
        <v/>
      </c>
      <c r="T328" s="21" t="str">
        <f>IFERROR(
(VLOOKUP(MONTH(R328),Meses!$B$3:$C$14,2,FALSE)-DAY(R328))/VLOOKUP(MONTH(R328),Meses!$B$3:$C$14,2,FALSE)*U328,
"")</f>
        <v/>
      </c>
      <c r="U328" s="22">
        <f t="shared" si="16"/>
        <v>306</v>
      </c>
    </row>
    <row r="329" spans="1:21" ht="32.4" hidden="1" thickBot="1" x14ac:dyDescent="0.6">
      <c r="A329" s="10" t="s">
        <v>457</v>
      </c>
      <c r="B329" s="10" t="s">
        <v>459</v>
      </c>
      <c r="C329" s="12">
        <v>45050</v>
      </c>
      <c r="D329" s="10" t="s">
        <v>14</v>
      </c>
      <c r="E329" s="10" t="s">
        <v>14</v>
      </c>
      <c r="F329" s="10">
        <v>962</v>
      </c>
      <c r="G329" s="10" t="s">
        <v>15</v>
      </c>
      <c r="H329" s="10" t="s">
        <v>17</v>
      </c>
      <c r="I329" s="10" t="s">
        <v>18</v>
      </c>
      <c r="J329" s="10" t="s">
        <v>19</v>
      </c>
      <c r="K329" s="10" t="s">
        <v>19</v>
      </c>
      <c r="L329" s="10" t="s">
        <v>19</v>
      </c>
      <c r="M329" s="12"/>
      <c r="N329" s="10" t="s">
        <v>20</v>
      </c>
      <c r="O329" s="10" t="s">
        <v>2054</v>
      </c>
      <c r="P329" s="25" t="str">
        <f>IFERROR(
IF(OR(O329="anulado",O329="stand by"),CONCATENATE(O329,": ",H329),
IF(OR(YEAR(M329)=2022,YEAR(M329)=2023),CONCATENATE("Se activó en ",YEAR(M329)),
IF(AND(OR(O329="En proceso",O329="facturando"),AND(J329="-",M329="")),"Por revisar",
IF(M329="",IF(J329="NUEVAS",CONCATENATE("Estado: ",O329,", ",J329),
IF(L329=Meses!$A$3,"Por revisar",
IF(H329="","Sin registro","En programación Frcst."))),"En programación")))),
"Error")</f>
        <v>Por revisar</v>
      </c>
      <c r="Q329" s="9" t="str">
        <f t="shared" si="15"/>
        <v>programación de act. NO, estado: Facturando, Comercializador: ENEL, Etapa: Instalado y Activado</v>
      </c>
      <c r="R329" s="25" t="str">
        <f>IF(P329="En programación Frcst.",VLOOKUP(L329,Meses!$A$1:$H$14,3+HLOOKUP(Cronograma!J329,Meses!$D$1:$G$2,2,FALSE),FALSE),
IF(P329="En programación",M329,""))</f>
        <v/>
      </c>
      <c r="S329" s="25" t="str">
        <f t="shared" si="17"/>
        <v/>
      </c>
      <c r="T329" s="21" t="str">
        <f>IFERROR(
(VLOOKUP(MONTH(R329),Meses!$B$3:$C$14,2,FALSE)-DAY(R329))/VLOOKUP(MONTH(R329),Meses!$B$3:$C$14,2,FALSE)*U329,
"")</f>
        <v/>
      </c>
      <c r="U329" s="22">
        <f t="shared" si="16"/>
        <v>962</v>
      </c>
    </row>
    <row r="330" spans="1:21" ht="32.4" hidden="1" thickBot="1" x14ac:dyDescent="0.6">
      <c r="A330" s="10" t="s">
        <v>457</v>
      </c>
      <c r="B330" s="10" t="s">
        <v>460</v>
      </c>
      <c r="C330" s="12">
        <v>45050</v>
      </c>
      <c r="D330" s="10" t="s">
        <v>14</v>
      </c>
      <c r="E330" s="10" t="s">
        <v>14</v>
      </c>
      <c r="F330" s="10">
        <v>909</v>
      </c>
      <c r="G330" s="10" t="s">
        <v>15</v>
      </c>
      <c r="H330" s="10" t="s">
        <v>17</v>
      </c>
      <c r="I330" s="10" t="s">
        <v>18</v>
      </c>
      <c r="J330" s="10" t="s">
        <v>19</v>
      </c>
      <c r="K330" s="10" t="s">
        <v>19</v>
      </c>
      <c r="L330" s="10" t="s">
        <v>19</v>
      </c>
      <c r="M330" s="12"/>
      <c r="N330" s="10" t="s">
        <v>20</v>
      </c>
      <c r="O330" s="10" t="s">
        <v>2054</v>
      </c>
      <c r="P330" s="25" t="str">
        <f>IFERROR(
IF(OR(O330="anulado",O330="stand by"),CONCATENATE(O330,": ",H330),
IF(OR(YEAR(M330)=2022,YEAR(M330)=2023),CONCATENATE("Se activó en ",YEAR(M330)),
IF(AND(OR(O330="En proceso",O330="facturando"),AND(J330="-",M330="")),"Por revisar",
IF(M330="",IF(J330="NUEVAS",CONCATENATE("Estado: ",O330,", ",J330),
IF(L330=Meses!$A$3,"Por revisar",
IF(H330="","Sin registro","En programación Frcst."))),"En programación")))),
"Error")</f>
        <v>Por revisar</v>
      </c>
      <c r="Q330" s="9" t="str">
        <f t="shared" si="15"/>
        <v>programación de act. NO, estado: Facturando, Comercializador: ENEL, Etapa: Instalado y Activado</v>
      </c>
      <c r="R330" s="25" t="str">
        <f>IF(P330="En programación Frcst.",VLOOKUP(L330,Meses!$A$1:$H$14,3+HLOOKUP(Cronograma!J330,Meses!$D$1:$G$2,2,FALSE),FALSE),
IF(P330="En programación",M330,""))</f>
        <v/>
      </c>
      <c r="S330" s="25" t="str">
        <f t="shared" si="17"/>
        <v/>
      </c>
      <c r="T330" s="21" t="str">
        <f>IFERROR(
(VLOOKUP(MONTH(R330),Meses!$B$3:$C$14,2,FALSE)-DAY(R330))/VLOOKUP(MONTH(R330),Meses!$B$3:$C$14,2,FALSE)*U330,
"")</f>
        <v/>
      </c>
      <c r="U330" s="22">
        <f t="shared" si="16"/>
        <v>909</v>
      </c>
    </row>
    <row r="331" spans="1:21" ht="32.4" hidden="1" thickBot="1" x14ac:dyDescent="0.6">
      <c r="A331" s="10" t="s">
        <v>457</v>
      </c>
      <c r="B331" s="10" t="s">
        <v>461</v>
      </c>
      <c r="C331" s="12">
        <v>45050</v>
      </c>
      <c r="D331" s="10" t="s">
        <v>14</v>
      </c>
      <c r="E331" s="10" t="s">
        <v>14</v>
      </c>
      <c r="F331" s="10">
        <v>1134</v>
      </c>
      <c r="G331" s="10" t="s">
        <v>15</v>
      </c>
      <c r="H331" s="10" t="s">
        <v>17</v>
      </c>
      <c r="I331" s="10" t="s">
        <v>18</v>
      </c>
      <c r="J331" s="10" t="s">
        <v>19</v>
      </c>
      <c r="K331" s="10" t="s">
        <v>19</v>
      </c>
      <c r="L331" s="10" t="s">
        <v>19</v>
      </c>
      <c r="M331" s="12"/>
      <c r="N331" s="10" t="s">
        <v>20</v>
      </c>
      <c r="O331" s="10" t="s">
        <v>2054</v>
      </c>
      <c r="P331" s="25" t="str">
        <f>IFERROR(
IF(OR(O331="anulado",O331="stand by"),CONCATENATE(O331,": ",H331),
IF(OR(YEAR(M331)=2022,YEAR(M331)=2023),CONCATENATE("Se activó en ",YEAR(M331)),
IF(AND(OR(O331="En proceso",O331="facturando"),AND(J331="-",M331="")),"Por revisar",
IF(M331="",IF(J331="NUEVAS",CONCATENATE("Estado: ",O331,", ",J331),
IF(L331=Meses!$A$3,"Por revisar",
IF(H331="","Sin registro","En programación Frcst."))),"En programación")))),
"Error")</f>
        <v>Por revisar</v>
      </c>
      <c r="Q331" s="9" t="str">
        <f t="shared" si="15"/>
        <v>programación de act. NO, estado: Facturando, Comercializador: ENEL, Etapa: Instalado y Activado</v>
      </c>
      <c r="R331" s="25" t="str">
        <f>IF(P331="En programación Frcst.",VLOOKUP(L331,Meses!$A$1:$H$14,3+HLOOKUP(Cronograma!J331,Meses!$D$1:$G$2,2,FALSE),FALSE),
IF(P331="En programación",M331,""))</f>
        <v/>
      </c>
      <c r="S331" s="25" t="str">
        <f t="shared" si="17"/>
        <v/>
      </c>
      <c r="T331" s="21" t="str">
        <f>IFERROR(
(VLOOKUP(MONTH(R331),Meses!$B$3:$C$14,2,FALSE)-DAY(R331))/VLOOKUP(MONTH(R331),Meses!$B$3:$C$14,2,FALSE)*U331,
"")</f>
        <v/>
      </c>
      <c r="U331" s="22">
        <f t="shared" si="16"/>
        <v>1134</v>
      </c>
    </row>
    <row r="332" spans="1:21" ht="32.4" hidden="1" thickBot="1" x14ac:dyDescent="0.6">
      <c r="A332" s="10" t="s">
        <v>457</v>
      </c>
      <c r="B332" s="10" t="s">
        <v>462</v>
      </c>
      <c r="C332" s="12">
        <v>45050</v>
      </c>
      <c r="D332" s="10" t="s">
        <v>14</v>
      </c>
      <c r="E332" s="10" t="s">
        <v>14</v>
      </c>
      <c r="F332" s="10">
        <v>1280</v>
      </c>
      <c r="G332" s="10" t="s">
        <v>15</v>
      </c>
      <c r="H332" s="10" t="s">
        <v>17</v>
      </c>
      <c r="I332" s="10" t="s">
        <v>18</v>
      </c>
      <c r="J332" s="10" t="s">
        <v>19</v>
      </c>
      <c r="K332" s="10" t="s">
        <v>19</v>
      </c>
      <c r="L332" s="10" t="s">
        <v>19</v>
      </c>
      <c r="M332" s="12"/>
      <c r="N332" s="10" t="s">
        <v>20</v>
      </c>
      <c r="O332" s="10" t="s">
        <v>2054</v>
      </c>
      <c r="P332" s="25" t="str">
        <f>IFERROR(
IF(OR(O332="anulado",O332="stand by"),CONCATENATE(O332,": ",H332),
IF(OR(YEAR(M332)=2022,YEAR(M332)=2023),CONCATENATE("Se activó en ",YEAR(M332)),
IF(AND(OR(O332="En proceso",O332="facturando"),AND(J332="-",M332="")),"Por revisar",
IF(M332="",IF(J332="NUEVAS",CONCATENATE("Estado: ",O332,", ",J332),
IF(L332=Meses!$A$3,"Por revisar",
IF(H332="","Sin registro","En programación Frcst."))),"En programación")))),
"Error")</f>
        <v>Por revisar</v>
      </c>
      <c r="Q332" s="9" t="str">
        <f t="shared" si="15"/>
        <v>programación de act. NO, estado: Facturando, Comercializador: ENEL, Etapa: Instalado y Activado</v>
      </c>
      <c r="R332" s="25" t="str">
        <f>IF(P332="En programación Frcst.",VLOOKUP(L332,Meses!$A$1:$H$14,3+HLOOKUP(Cronograma!J332,Meses!$D$1:$G$2,2,FALSE),FALSE),
IF(P332="En programación",M332,""))</f>
        <v/>
      </c>
      <c r="S332" s="25" t="str">
        <f t="shared" si="17"/>
        <v/>
      </c>
      <c r="T332" s="21" t="str">
        <f>IFERROR(
(VLOOKUP(MONTH(R332),Meses!$B$3:$C$14,2,FALSE)-DAY(R332))/VLOOKUP(MONTH(R332),Meses!$B$3:$C$14,2,FALSE)*U332,
"")</f>
        <v/>
      </c>
      <c r="U332" s="22">
        <f t="shared" si="16"/>
        <v>1280</v>
      </c>
    </row>
    <row r="333" spans="1:21" ht="32.4" hidden="1" thickBot="1" x14ac:dyDescent="0.6">
      <c r="A333" s="10" t="s">
        <v>457</v>
      </c>
      <c r="B333" s="10" t="s">
        <v>463</v>
      </c>
      <c r="C333" s="12">
        <v>45050</v>
      </c>
      <c r="D333" s="10" t="s">
        <v>14</v>
      </c>
      <c r="E333" s="10" t="s">
        <v>14</v>
      </c>
      <c r="F333" s="10">
        <v>1759</v>
      </c>
      <c r="G333" s="10" t="s">
        <v>15</v>
      </c>
      <c r="H333" s="10" t="s">
        <v>17</v>
      </c>
      <c r="I333" s="10" t="s">
        <v>18</v>
      </c>
      <c r="J333" s="10" t="s">
        <v>19</v>
      </c>
      <c r="K333" s="10" t="s">
        <v>19</v>
      </c>
      <c r="L333" s="10" t="s">
        <v>19</v>
      </c>
      <c r="M333" s="12"/>
      <c r="N333" s="10" t="s">
        <v>20</v>
      </c>
      <c r="O333" s="10" t="s">
        <v>2054</v>
      </c>
      <c r="P333" s="25" t="str">
        <f>IFERROR(
IF(OR(O333="anulado",O333="stand by"),CONCATENATE(O333,": ",H333),
IF(OR(YEAR(M333)=2022,YEAR(M333)=2023),CONCATENATE("Se activó en ",YEAR(M333)),
IF(AND(OR(O333="En proceso",O333="facturando"),AND(J333="-",M333="")),"Por revisar",
IF(M333="",IF(J333="NUEVAS",CONCATENATE("Estado: ",O333,", ",J333),
IF(L333=Meses!$A$3,"Por revisar",
IF(H333="","Sin registro","En programación Frcst."))),"En programación")))),
"Error")</f>
        <v>Por revisar</v>
      </c>
      <c r="Q333" s="9" t="str">
        <f t="shared" si="15"/>
        <v>programación de act. NO, estado: Facturando, Comercializador: ENEL, Etapa: Instalado y Activado</v>
      </c>
      <c r="R333" s="25" t="str">
        <f>IF(P333="En programación Frcst.",VLOOKUP(L333,Meses!$A$1:$H$14,3+HLOOKUP(Cronograma!J333,Meses!$D$1:$G$2,2,FALSE),FALSE),
IF(P333="En programación",M333,""))</f>
        <v/>
      </c>
      <c r="S333" s="25" t="str">
        <f t="shared" si="17"/>
        <v/>
      </c>
      <c r="T333" s="21" t="str">
        <f>IFERROR(
(VLOOKUP(MONTH(R333),Meses!$B$3:$C$14,2,FALSE)-DAY(R333))/VLOOKUP(MONTH(R333),Meses!$B$3:$C$14,2,FALSE)*U333,
"")</f>
        <v/>
      </c>
      <c r="U333" s="22">
        <f t="shared" si="16"/>
        <v>1759</v>
      </c>
    </row>
    <row r="334" spans="1:21" ht="32.4" hidden="1" thickBot="1" x14ac:dyDescent="0.6">
      <c r="A334" s="10" t="s">
        <v>457</v>
      </c>
      <c r="B334" s="10" t="s">
        <v>464</v>
      </c>
      <c r="C334" s="12">
        <v>45050</v>
      </c>
      <c r="D334" s="10" t="s">
        <v>14</v>
      </c>
      <c r="E334" s="10" t="s">
        <v>14</v>
      </c>
      <c r="F334" s="10">
        <v>950</v>
      </c>
      <c r="G334" s="10" t="s">
        <v>15</v>
      </c>
      <c r="H334" s="10" t="s">
        <v>17</v>
      </c>
      <c r="I334" s="10" t="s">
        <v>18</v>
      </c>
      <c r="J334" s="10" t="s">
        <v>19</v>
      </c>
      <c r="K334" s="10" t="s">
        <v>19</v>
      </c>
      <c r="L334" s="10" t="s">
        <v>19</v>
      </c>
      <c r="M334" s="12"/>
      <c r="N334" s="10" t="s">
        <v>20</v>
      </c>
      <c r="O334" s="10" t="s">
        <v>2054</v>
      </c>
      <c r="P334" s="25" t="str">
        <f>IFERROR(
IF(OR(O334="anulado",O334="stand by"),CONCATENATE(O334,": ",H334),
IF(OR(YEAR(M334)=2022,YEAR(M334)=2023),CONCATENATE("Se activó en ",YEAR(M334)),
IF(AND(OR(O334="En proceso",O334="facturando"),AND(J334="-",M334="")),"Por revisar",
IF(M334="",IF(J334="NUEVAS",CONCATENATE("Estado: ",O334,", ",J334),
IF(L334=Meses!$A$3,"Por revisar",
IF(H334="","Sin registro","En programación Frcst."))),"En programación")))),
"Error")</f>
        <v>Por revisar</v>
      </c>
      <c r="Q334" s="9" t="str">
        <f t="shared" si="15"/>
        <v>programación de act. NO, estado: Facturando, Comercializador: ENEL, Etapa: Instalado y Activado</v>
      </c>
      <c r="R334" s="25" t="str">
        <f>IF(P334="En programación Frcst.",VLOOKUP(L334,Meses!$A$1:$H$14,3+HLOOKUP(Cronograma!J334,Meses!$D$1:$G$2,2,FALSE),FALSE),
IF(P334="En programación",M334,""))</f>
        <v/>
      </c>
      <c r="S334" s="25" t="str">
        <f t="shared" si="17"/>
        <v/>
      </c>
      <c r="T334" s="21" t="str">
        <f>IFERROR(
(VLOOKUP(MONTH(R334),Meses!$B$3:$C$14,2,FALSE)-DAY(R334))/VLOOKUP(MONTH(R334),Meses!$B$3:$C$14,2,FALSE)*U334,
"")</f>
        <v/>
      </c>
      <c r="U334" s="22">
        <f t="shared" si="16"/>
        <v>950</v>
      </c>
    </row>
    <row r="335" spans="1:21" ht="32.4" hidden="1" thickBot="1" x14ac:dyDescent="0.6">
      <c r="A335" s="10" t="s">
        <v>457</v>
      </c>
      <c r="B335" s="10" t="s">
        <v>465</v>
      </c>
      <c r="C335" s="12">
        <v>45050</v>
      </c>
      <c r="D335" s="10" t="s">
        <v>14</v>
      </c>
      <c r="E335" s="10" t="s">
        <v>14</v>
      </c>
      <c r="F335" s="10">
        <v>3785</v>
      </c>
      <c r="G335" s="10" t="s">
        <v>15</v>
      </c>
      <c r="H335" s="10" t="s">
        <v>17</v>
      </c>
      <c r="I335" s="10" t="s">
        <v>18</v>
      </c>
      <c r="J335" s="10" t="s">
        <v>19</v>
      </c>
      <c r="K335" s="10" t="s">
        <v>19</v>
      </c>
      <c r="L335" s="10" t="s">
        <v>19</v>
      </c>
      <c r="M335" s="12"/>
      <c r="N335" s="10" t="s">
        <v>20</v>
      </c>
      <c r="O335" s="10" t="s">
        <v>2054</v>
      </c>
      <c r="P335" s="25" t="str">
        <f>IFERROR(
IF(OR(O335="anulado",O335="stand by"),CONCATENATE(O335,": ",H335),
IF(OR(YEAR(M335)=2022,YEAR(M335)=2023),CONCATENATE("Se activó en ",YEAR(M335)),
IF(AND(OR(O335="En proceso",O335="facturando"),AND(J335="-",M335="")),"Por revisar",
IF(M335="",IF(J335="NUEVAS",CONCATENATE("Estado: ",O335,", ",J335),
IF(L335=Meses!$A$3,"Por revisar",
IF(H335="","Sin registro","En programación Frcst."))),"En programación")))),
"Error")</f>
        <v>Por revisar</v>
      </c>
      <c r="Q335" s="9" t="str">
        <f t="shared" si="15"/>
        <v>programación de act. NO, estado: Facturando, Comercializador: ENEL, Etapa: Instalado y Activado</v>
      </c>
      <c r="R335" s="25" t="str">
        <f>IF(P335="En programación Frcst.",VLOOKUP(L335,Meses!$A$1:$H$14,3+HLOOKUP(Cronograma!J335,Meses!$D$1:$G$2,2,FALSE),FALSE),
IF(P335="En programación",M335,""))</f>
        <v/>
      </c>
      <c r="S335" s="25" t="str">
        <f t="shared" si="17"/>
        <v/>
      </c>
      <c r="T335" s="21" t="str">
        <f>IFERROR(
(VLOOKUP(MONTH(R335),Meses!$B$3:$C$14,2,FALSE)-DAY(R335))/VLOOKUP(MONTH(R335),Meses!$B$3:$C$14,2,FALSE)*U335,
"")</f>
        <v/>
      </c>
      <c r="U335" s="22">
        <f t="shared" si="16"/>
        <v>3785</v>
      </c>
    </row>
    <row r="336" spans="1:21" ht="32.4" hidden="1" thickBot="1" x14ac:dyDescent="0.6">
      <c r="A336" s="10" t="s">
        <v>457</v>
      </c>
      <c r="B336" s="10" t="s">
        <v>466</v>
      </c>
      <c r="C336" s="12">
        <v>45050</v>
      </c>
      <c r="D336" s="10" t="s">
        <v>14</v>
      </c>
      <c r="E336" s="10" t="s">
        <v>14</v>
      </c>
      <c r="F336" s="10">
        <v>2125</v>
      </c>
      <c r="G336" s="10" t="s">
        <v>15</v>
      </c>
      <c r="H336" s="10" t="s">
        <v>17</v>
      </c>
      <c r="I336" s="10" t="s">
        <v>18</v>
      </c>
      <c r="J336" s="10" t="s">
        <v>19</v>
      </c>
      <c r="K336" s="10" t="s">
        <v>19</v>
      </c>
      <c r="L336" s="10" t="s">
        <v>19</v>
      </c>
      <c r="M336" s="12"/>
      <c r="N336" s="10" t="s">
        <v>20</v>
      </c>
      <c r="O336" s="10" t="s">
        <v>2054</v>
      </c>
      <c r="P336" s="25" t="str">
        <f>IFERROR(
IF(OR(O336="anulado",O336="stand by"),CONCATENATE(O336,": ",H336),
IF(OR(YEAR(M336)=2022,YEAR(M336)=2023),CONCATENATE("Se activó en ",YEAR(M336)),
IF(AND(OR(O336="En proceso",O336="facturando"),AND(J336="-",M336="")),"Por revisar",
IF(M336="",IF(J336="NUEVAS",CONCATENATE("Estado: ",O336,", ",J336),
IF(L336=Meses!$A$3,"Por revisar",
IF(H336="","Sin registro","En programación Frcst."))),"En programación")))),
"Error")</f>
        <v>Por revisar</v>
      </c>
      <c r="Q336" s="9" t="str">
        <f t="shared" si="15"/>
        <v>programación de act. NO, estado: Facturando, Comercializador: ENEL, Etapa: Instalado y Activado</v>
      </c>
      <c r="R336" s="25" t="str">
        <f>IF(P336="En programación Frcst.",VLOOKUP(L336,Meses!$A$1:$H$14,3+HLOOKUP(Cronograma!J336,Meses!$D$1:$G$2,2,FALSE),FALSE),
IF(P336="En programación",M336,""))</f>
        <v/>
      </c>
      <c r="S336" s="25" t="str">
        <f t="shared" si="17"/>
        <v/>
      </c>
      <c r="T336" s="21" t="str">
        <f>IFERROR(
(VLOOKUP(MONTH(R336),Meses!$B$3:$C$14,2,FALSE)-DAY(R336))/VLOOKUP(MONTH(R336),Meses!$B$3:$C$14,2,FALSE)*U336,
"")</f>
        <v/>
      </c>
      <c r="U336" s="22">
        <f t="shared" si="16"/>
        <v>2125</v>
      </c>
    </row>
    <row r="337" spans="1:21" ht="32.4" hidden="1" thickBot="1" x14ac:dyDescent="0.6">
      <c r="A337" s="10" t="s">
        <v>457</v>
      </c>
      <c r="B337" s="10" t="s">
        <v>467</v>
      </c>
      <c r="C337" s="12">
        <v>45050</v>
      </c>
      <c r="D337" s="10" t="s">
        <v>14</v>
      </c>
      <c r="E337" s="10" t="s">
        <v>14</v>
      </c>
      <c r="F337" s="10">
        <v>121</v>
      </c>
      <c r="G337" s="10" t="s">
        <v>15</v>
      </c>
      <c r="H337" s="10" t="s">
        <v>17</v>
      </c>
      <c r="I337" s="10" t="s">
        <v>18</v>
      </c>
      <c r="J337" s="10" t="s">
        <v>19</v>
      </c>
      <c r="K337" s="10" t="s">
        <v>19</v>
      </c>
      <c r="L337" s="10" t="s">
        <v>19</v>
      </c>
      <c r="M337" s="12"/>
      <c r="N337" s="10" t="s">
        <v>20</v>
      </c>
      <c r="O337" s="10" t="s">
        <v>2054</v>
      </c>
      <c r="P337" s="25" t="str">
        <f>IFERROR(
IF(OR(O337="anulado",O337="stand by"),CONCATENATE(O337,": ",H337),
IF(OR(YEAR(M337)=2022,YEAR(M337)=2023),CONCATENATE("Se activó en ",YEAR(M337)),
IF(AND(OR(O337="En proceso",O337="facturando"),AND(J337="-",M337="")),"Por revisar",
IF(M337="",IF(J337="NUEVAS",CONCATENATE("Estado: ",O337,", ",J337),
IF(L337=Meses!$A$3,"Por revisar",
IF(H337="","Sin registro","En programación Frcst."))),"En programación")))),
"Error")</f>
        <v>Por revisar</v>
      </c>
      <c r="Q337" s="9" t="str">
        <f t="shared" si="15"/>
        <v>programación de act. NO, estado: Facturando, Comercializador: ENEL, Etapa: Instalado y Activado</v>
      </c>
      <c r="R337" s="25" t="str">
        <f>IF(P337="En programación Frcst.",VLOOKUP(L337,Meses!$A$1:$H$14,3+HLOOKUP(Cronograma!J337,Meses!$D$1:$G$2,2,FALSE),FALSE),
IF(P337="En programación",M337,""))</f>
        <v/>
      </c>
      <c r="S337" s="25" t="str">
        <f t="shared" si="17"/>
        <v/>
      </c>
      <c r="T337" s="21" t="str">
        <f>IFERROR(
(VLOOKUP(MONTH(R337),Meses!$B$3:$C$14,2,FALSE)-DAY(R337))/VLOOKUP(MONTH(R337),Meses!$B$3:$C$14,2,FALSE)*U337,
"")</f>
        <v/>
      </c>
      <c r="U337" s="22">
        <f t="shared" si="16"/>
        <v>121</v>
      </c>
    </row>
    <row r="338" spans="1:21" ht="32.4" hidden="1" thickBot="1" x14ac:dyDescent="0.6">
      <c r="A338" s="10" t="s">
        <v>457</v>
      </c>
      <c r="B338" s="10" t="s">
        <v>468</v>
      </c>
      <c r="C338" s="12">
        <v>45050</v>
      </c>
      <c r="D338" s="10" t="s">
        <v>14</v>
      </c>
      <c r="E338" s="10" t="s">
        <v>14</v>
      </c>
      <c r="F338" s="10">
        <v>3806</v>
      </c>
      <c r="G338" s="10" t="s">
        <v>15</v>
      </c>
      <c r="H338" s="10" t="s">
        <v>17</v>
      </c>
      <c r="I338" s="10" t="s">
        <v>18</v>
      </c>
      <c r="J338" s="10" t="s">
        <v>19</v>
      </c>
      <c r="K338" s="10" t="s">
        <v>19</v>
      </c>
      <c r="L338" s="10" t="s">
        <v>19</v>
      </c>
      <c r="M338" s="12"/>
      <c r="N338" s="10" t="s">
        <v>20</v>
      </c>
      <c r="O338" s="10" t="s">
        <v>2054</v>
      </c>
      <c r="P338" s="25" t="str">
        <f>IFERROR(
IF(OR(O338="anulado",O338="stand by"),CONCATENATE(O338,": ",H338),
IF(OR(YEAR(M338)=2022,YEAR(M338)=2023),CONCATENATE("Se activó en ",YEAR(M338)),
IF(AND(OR(O338="En proceso",O338="facturando"),AND(J338="-",M338="")),"Por revisar",
IF(M338="",IF(J338="NUEVAS",CONCATENATE("Estado: ",O338,", ",J338),
IF(L338=Meses!$A$3,"Por revisar",
IF(H338="","Sin registro","En programación Frcst."))),"En programación")))),
"Error")</f>
        <v>Por revisar</v>
      </c>
      <c r="Q338" s="9" t="str">
        <f t="shared" si="15"/>
        <v>programación de act. NO, estado: Facturando, Comercializador: ENEL, Etapa: Instalado y Activado</v>
      </c>
      <c r="R338" s="25" t="str">
        <f>IF(P338="En programación Frcst.",VLOOKUP(L338,Meses!$A$1:$H$14,3+HLOOKUP(Cronograma!J338,Meses!$D$1:$G$2,2,FALSE),FALSE),
IF(P338="En programación",M338,""))</f>
        <v/>
      </c>
      <c r="S338" s="25" t="str">
        <f t="shared" si="17"/>
        <v/>
      </c>
      <c r="T338" s="21" t="str">
        <f>IFERROR(
(VLOOKUP(MONTH(R338),Meses!$B$3:$C$14,2,FALSE)-DAY(R338))/VLOOKUP(MONTH(R338),Meses!$B$3:$C$14,2,FALSE)*U338,
"")</f>
        <v/>
      </c>
      <c r="U338" s="22">
        <f t="shared" si="16"/>
        <v>3806</v>
      </c>
    </row>
    <row r="339" spans="1:21" ht="32.4" hidden="1" thickBot="1" x14ac:dyDescent="0.6">
      <c r="A339" s="10" t="s">
        <v>457</v>
      </c>
      <c r="B339" s="10" t="s">
        <v>469</v>
      </c>
      <c r="C339" s="12">
        <v>45050</v>
      </c>
      <c r="D339" s="10" t="s">
        <v>14</v>
      </c>
      <c r="E339" s="10" t="s">
        <v>14</v>
      </c>
      <c r="F339" s="10">
        <v>462</v>
      </c>
      <c r="G339" s="10" t="s">
        <v>15</v>
      </c>
      <c r="H339" s="10" t="s">
        <v>17</v>
      </c>
      <c r="I339" s="10" t="s">
        <v>18</v>
      </c>
      <c r="J339" s="10" t="s">
        <v>19</v>
      </c>
      <c r="K339" s="10" t="s">
        <v>19</v>
      </c>
      <c r="L339" s="10" t="s">
        <v>19</v>
      </c>
      <c r="M339" s="12"/>
      <c r="N339" s="10" t="s">
        <v>20</v>
      </c>
      <c r="O339" s="10" t="s">
        <v>2054</v>
      </c>
      <c r="P339" s="25" t="str">
        <f>IFERROR(
IF(OR(O339="anulado",O339="stand by"),CONCATENATE(O339,": ",H339),
IF(OR(YEAR(M339)=2022,YEAR(M339)=2023),CONCATENATE("Se activó en ",YEAR(M339)),
IF(AND(OR(O339="En proceso",O339="facturando"),AND(J339="-",M339="")),"Por revisar",
IF(M339="",IF(J339="NUEVAS",CONCATENATE("Estado: ",O339,", ",J339),
IF(L339=Meses!$A$3,"Por revisar",
IF(H339="","Sin registro","En programación Frcst."))),"En programación")))),
"Error")</f>
        <v>Por revisar</v>
      </c>
      <c r="Q339" s="9" t="str">
        <f t="shared" si="15"/>
        <v>programación de act. NO, estado: Facturando, Comercializador: ENEL, Etapa: Instalado y Activado</v>
      </c>
      <c r="R339" s="25" t="str">
        <f>IF(P339="En programación Frcst.",VLOOKUP(L339,Meses!$A$1:$H$14,3+HLOOKUP(Cronograma!J339,Meses!$D$1:$G$2,2,FALSE),FALSE),
IF(P339="En programación",M339,""))</f>
        <v/>
      </c>
      <c r="S339" s="25" t="str">
        <f t="shared" si="17"/>
        <v/>
      </c>
      <c r="T339" s="21" t="str">
        <f>IFERROR(
(VLOOKUP(MONTH(R339),Meses!$B$3:$C$14,2,FALSE)-DAY(R339))/VLOOKUP(MONTH(R339),Meses!$B$3:$C$14,2,FALSE)*U339,
"")</f>
        <v/>
      </c>
      <c r="U339" s="22">
        <f t="shared" si="16"/>
        <v>462</v>
      </c>
    </row>
    <row r="340" spans="1:21" ht="32.4" hidden="1" thickBot="1" x14ac:dyDescent="0.6">
      <c r="A340" s="10" t="s">
        <v>457</v>
      </c>
      <c r="B340" s="10" t="s">
        <v>470</v>
      </c>
      <c r="C340" s="12">
        <v>45050</v>
      </c>
      <c r="D340" s="10" t="s">
        <v>14</v>
      </c>
      <c r="E340" s="10" t="s">
        <v>14</v>
      </c>
      <c r="F340" s="10">
        <v>894</v>
      </c>
      <c r="G340" s="10" t="s">
        <v>15</v>
      </c>
      <c r="H340" s="10" t="s">
        <v>17</v>
      </c>
      <c r="I340" s="10" t="s">
        <v>18</v>
      </c>
      <c r="J340" s="10" t="s">
        <v>19</v>
      </c>
      <c r="K340" s="10" t="s">
        <v>19</v>
      </c>
      <c r="L340" s="10" t="s">
        <v>19</v>
      </c>
      <c r="M340" s="12"/>
      <c r="N340" s="10" t="s">
        <v>20</v>
      </c>
      <c r="O340" s="10" t="s">
        <v>2054</v>
      </c>
      <c r="P340" s="25" t="str">
        <f>IFERROR(
IF(OR(O340="anulado",O340="stand by"),CONCATENATE(O340,": ",H340),
IF(OR(YEAR(M340)=2022,YEAR(M340)=2023),CONCATENATE("Se activó en ",YEAR(M340)),
IF(AND(OR(O340="En proceso",O340="facturando"),AND(J340="-",M340="")),"Por revisar",
IF(M340="",IF(J340="NUEVAS",CONCATENATE("Estado: ",O340,", ",J340),
IF(L340=Meses!$A$3,"Por revisar",
IF(H340="","Sin registro","En programación Frcst."))),"En programación")))),
"Error")</f>
        <v>Por revisar</v>
      </c>
      <c r="Q340" s="9" t="str">
        <f t="shared" si="15"/>
        <v>programación de act. NO, estado: Facturando, Comercializador: ENEL, Etapa: Instalado y Activado</v>
      </c>
      <c r="R340" s="25" t="str">
        <f>IF(P340="En programación Frcst.",VLOOKUP(L340,Meses!$A$1:$H$14,3+HLOOKUP(Cronograma!J340,Meses!$D$1:$G$2,2,FALSE),FALSE),
IF(P340="En programación",M340,""))</f>
        <v/>
      </c>
      <c r="S340" s="25" t="str">
        <f t="shared" si="17"/>
        <v/>
      </c>
      <c r="T340" s="21" t="str">
        <f>IFERROR(
(VLOOKUP(MONTH(R340),Meses!$B$3:$C$14,2,FALSE)-DAY(R340))/VLOOKUP(MONTH(R340),Meses!$B$3:$C$14,2,FALSE)*U340,
"")</f>
        <v/>
      </c>
      <c r="U340" s="22">
        <f t="shared" si="16"/>
        <v>894</v>
      </c>
    </row>
    <row r="341" spans="1:21" ht="32.4" hidden="1" thickBot="1" x14ac:dyDescent="0.6">
      <c r="A341" s="10" t="s">
        <v>457</v>
      </c>
      <c r="B341" s="10" t="s">
        <v>471</v>
      </c>
      <c r="C341" s="12">
        <v>45050</v>
      </c>
      <c r="D341" s="10" t="s">
        <v>14</v>
      </c>
      <c r="E341" s="10" t="s">
        <v>14</v>
      </c>
      <c r="F341" s="10">
        <v>1471</v>
      </c>
      <c r="G341" s="10" t="s">
        <v>15</v>
      </c>
      <c r="H341" s="10" t="s">
        <v>17</v>
      </c>
      <c r="I341" s="10" t="s">
        <v>18</v>
      </c>
      <c r="J341" s="10" t="s">
        <v>19</v>
      </c>
      <c r="K341" s="10" t="s">
        <v>19</v>
      </c>
      <c r="L341" s="10" t="s">
        <v>19</v>
      </c>
      <c r="M341" s="12"/>
      <c r="N341" s="10" t="s">
        <v>20</v>
      </c>
      <c r="O341" s="10" t="s">
        <v>2054</v>
      </c>
      <c r="P341" s="25" t="str">
        <f>IFERROR(
IF(OR(O341="anulado",O341="stand by"),CONCATENATE(O341,": ",H341),
IF(OR(YEAR(M341)=2022,YEAR(M341)=2023),CONCATENATE("Se activó en ",YEAR(M341)),
IF(AND(OR(O341="En proceso",O341="facturando"),AND(J341="-",M341="")),"Por revisar",
IF(M341="",IF(J341="NUEVAS",CONCATENATE("Estado: ",O341,", ",J341),
IF(L341=Meses!$A$3,"Por revisar",
IF(H341="","Sin registro","En programación Frcst."))),"En programación")))),
"Error")</f>
        <v>Por revisar</v>
      </c>
      <c r="Q341" s="9" t="str">
        <f t="shared" si="15"/>
        <v>programación de act. NO, estado: Facturando, Comercializador: ENEL, Etapa: Instalado y Activado</v>
      </c>
      <c r="R341" s="25" t="str">
        <f>IF(P341="En programación Frcst.",VLOOKUP(L341,Meses!$A$1:$H$14,3+HLOOKUP(Cronograma!J341,Meses!$D$1:$G$2,2,FALSE),FALSE),
IF(P341="En programación",M341,""))</f>
        <v/>
      </c>
      <c r="S341" s="25" t="str">
        <f t="shared" si="17"/>
        <v/>
      </c>
      <c r="T341" s="21" t="str">
        <f>IFERROR(
(VLOOKUP(MONTH(R341),Meses!$B$3:$C$14,2,FALSE)-DAY(R341))/VLOOKUP(MONTH(R341),Meses!$B$3:$C$14,2,FALSE)*U341,
"")</f>
        <v/>
      </c>
      <c r="U341" s="22">
        <f t="shared" si="16"/>
        <v>1471</v>
      </c>
    </row>
    <row r="342" spans="1:21" ht="32.4" hidden="1" thickBot="1" x14ac:dyDescent="0.6">
      <c r="A342" s="10" t="s">
        <v>457</v>
      </c>
      <c r="B342" s="10" t="s">
        <v>472</v>
      </c>
      <c r="C342" s="12">
        <v>45050</v>
      </c>
      <c r="D342" s="10" t="s">
        <v>14</v>
      </c>
      <c r="E342" s="10" t="s">
        <v>14</v>
      </c>
      <c r="F342" s="10">
        <v>588</v>
      </c>
      <c r="G342" s="10" t="s">
        <v>15</v>
      </c>
      <c r="H342" s="10" t="s">
        <v>17</v>
      </c>
      <c r="I342" s="10" t="s">
        <v>18</v>
      </c>
      <c r="J342" s="10" t="s">
        <v>19</v>
      </c>
      <c r="K342" s="10" t="s">
        <v>19</v>
      </c>
      <c r="L342" s="10" t="s">
        <v>19</v>
      </c>
      <c r="M342" s="12"/>
      <c r="N342" s="10" t="s">
        <v>20</v>
      </c>
      <c r="O342" s="10" t="s">
        <v>2054</v>
      </c>
      <c r="P342" s="25" t="str">
        <f>IFERROR(
IF(OR(O342="anulado",O342="stand by"),CONCATENATE(O342,": ",H342),
IF(OR(YEAR(M342)=2022,YEAR(M342)=2023),CONCATENATE("Se activó en ",YEAR(M342)),
IF(AND(OR(O342="En proceso",O342="facturando"),AND(J342="-",M342="")),"Por revisar",
IF(M342="",IF(J342="NUEVAS",CONCATENATE("Estado: ",O342,", ",J342),
IF(L342=Meses!$A$3,"Por revisar",
IF(H342="","Sin registro","En programación Frcst."))),"En programación")))),
"Error")</f>
        <v>Por revisar</v>
      </c>
      <c r="Q342" s="9" t="str">
        <f t="shared" si="15"/>
        <v>programación de act. NO, estado: Facturando, Comercializador: ENEL, Etapa: Instalado y Activado</v>
      </c>
      <c r="R342" s="25" t="str">
        <f>IF(P342="En programación Frcst.",VLOOKUP(L342,Meses!$A$1:$H$14,3+HLOOKUP(Cronograma!J342,Meses!$D$1:$G$2,2,FALSE),FALSE),
IF(P342="En programación",M342,""))</f>
        <v/>
      </c>
      <c r="S342" s="25" t="str">
        <f t="shared" si="17"/>
        <v/>
      </c>
      <c r="T342" s="21" t="str">
        <f>IFERROR(
(VLOOKUP(MONTH(R342),Meses!$B$3:$C$14,2,FALSE)-DAY(R342))/VLOOKUP(MONTH(R342),Meses!$B$3:$C$14,2,FALSE)*U342,
"")</f>
        <v/>
      </c>
      <c r="U342" s="22">
        <f t="shared" si="16"/>
        <v>588</v>
      </c>
    </row>
    <row r="343" spans="1:21" ht="32.4" hidden="1" thickBot="1" x14ac:dyDescent="0.6">
      <c r="A343" s="10" t="s">
        <v>457</v>
      </c>
      <c r="B343" s="10" t="s">
        <v>473</v>
      </c>
      <c r="C343" s="12">
        <v>45050</v>
      </c>
      <c r="D343" s="10" t="s">
        <v>14</v>
      </c>
      <c r="E343" s="10" t="s">
        <v>14</v>
      </c>
      <c r="F343" s="10">
        <v>350</v>
      </c>
      <c r="G343" s="10" t="s">
        <v>15</v>
      </c>
      <c r="H343" s="10" t="s">
        <v>17</v>
      </c>
      <c r="I343" s="10" t="s">
        <v>18</v>
      </c>
      <c r="J343" s="10" t="s">
        <v>19</v>
      </c>
      <c r="K343" s="10" t="s">
        <v>19</v>
      </c>
      <c r="L343" s="10" t="s">
        <v>19</v>
      </c>
      <c r="M343" s="12"/>
      <c r="N343" s="10" t="s">
        <v>20</v>
      </c>
      <c r="O343" s="10" t="s">
        <v>2054</v>
      </c>
      <c r="P343" s="25" t="str">
        <f>IFERROR(
IF(OR(O343="anulado",O343="stand by"),CONCATENATE(O343,": ",H343),
IF(OR(YEAR(M343)=2022,YEAR(M343)=2023),CONCATENATE("Se activó en ",YEAR(M343)),
IF(AND(OR(O343="En proceso",O343="facturando"),AND(J343="-",M343="")),"Por revisar",
IF(M343="",IF(J343="NUEVAS",CONCATENATE("Estado: ",O343,", ",J343),
IF(L343=Meses!$A$3,"Por revisar",
IF(H343="","Sin registro","En programación Frcst."))),"En programación")))),
"Error")</f>
        <v>Por revisar</v>
      </c>
      <c r="Q343" s="9" t="str">
        <f t="shared" si="15"/>
        <v>programación de act. NO, estado: Facturando, Comercializador: ENEL, Etapa: Instalado y Activado</v>
      </c>
      <c r="R343" s="25" t="str">
        <f>IF(P343="En programación Frcst.",VLOOKUP(L343,Meses!$A$1:$H$14,3+HLOOKUP(Cronograma!J343,Meses!$D$1:$G$2,2,FALSE),FALSE),
IF(P343="En programación",M343,""))</f>
        <v/>
      </c>
      <c r="S343" s="25" t="str">
        <f t="shared" si="17"/>
        <v/>
      </c>
      <c r="T343" s="21" t="str">
        <f>IFERROR(
(VLOOKUP(MONTH(R343),Meses!$B$3:$C$14,2,FALSE)-DAY(R343))/VLOOKUP(MONTH(R343),Meses!$B$3:$C$14,2,FALSE)*U343,
"")</f>
        <v/>
      </c>
      <c r="U343" s="22">
        <f t="shared" si="16"/>
        <v>350</v>
      </c>
    </row>
    <row r="344" spans="1:21" ht="32.4" hidden="1" thickBot="1" x14ac:dyDescent="0.6">
      <c r="A344" s="10" t="s">
        <v>457</v>
      </c>
      <c r="B344" s="10" t="s">
        <v>474</v>
      </c>
      <c r="C344" s="12">
        <v>45050</v>
      </c>
      <c r="D344" s="10" t="s">
        <v>14</v>
      </c>
      <c r="E344" s="10" t="s">
        <v>14</v>
      </c>
      <c r="F344" s="10">
        <v>1835</v>
      </c>
      <c r="G344" s="10" t="s">
        <v>15</v>
      </c>
      <c r="H344" s="10" t="s">
        <v>17</v>
      </c>
      <c r="I344" s="10" t="s">
        <v>18</v>
      </c>
      <c r="J344" s="10" t="s">
        <v>19</v>
      </c>
      <c r="K344" s="10" t="s">
        <v>19</v>
      </c>
      <c r="L344" s="10" t="s">
        <v>19</v>
      </c>
      <c r="M344" s="12"/>
      <c r="N344" s="10" t="s">
        <v>20</v>
      </c>
      <c r="O344" s="10" t="s">
        <v>2054</v>
      </c>
      <c r="P344" s="25" t="str">
        <f>IFERROR(
IF(OR(O344="anulado",O344="stand by"),CONCATENATE(O344,": ",H344),
IF(OR(YEAR(M344)=2022,YEAR(M344)=2023),CONCATENATE("Se activó en ",YEAR(M344)),
IF(AND(OR(O344="En proceso",O344="facturando"),AND(J344="-",M344="")),"Por revisar",
IF(M344="",IF(J344="NUEVAS",CONCATENATE("Estado: ",O344,", ",J344),
IF(L344=Meses!$A$3,"Por revisar",
IF(H344="","Sin registro","En programación Frcst."))),"En programación")))),
"Error")</f>
        <v>Por revisar</v>
      </c>
      <c r="Q344" s="9" t="str">
        <f t="shared" si="15"/>
        <v>programación de act. NO, estado: Facturando, Comercializador: ENEL, Etapa: Instalado y Activado</v>
      </c>
      <c r="R344" s="25" t="str">
        <f>IF(P344="En programación Frcst.",VLOOKUP(L344,Meses!$A$1:$H$14,3+HLOOKUP(Cronograma!J344,Meses!$D$1:$G$2,2,FALSE),FALSE),
IF(P344="En programación",M344,""))</f>
        <v/>
      </c>
      <c r="S344" s="25" t="str">
        <f t="shared" si="17"/>
        <v/>
      </c>
      <c r="T344" s="21" t="str">
        <f>IFERROR(
(VLOOKUP(MONTH(R344),Meses!$B$3:$C$14,2,FALSE)-DAY(R344))/VLOOKUP(MONTH(R344),Meses!$B$3:$C$14,2,FALSE)*U344,
"")</f>
        <v/>
      </c>
      <c r="U344" s="22">
        <f t="shared" si="16"/>
        <v>1835</v>
      </c>
    </row>
    <row r="345" spans="1:21" ht="32.4" hidden="1" thickBot="1" x14ac:dyDescent="0.6">
      <c r="A345" s="10" t="s">
        <v>457</v>
      </c>
      <c r="B345" s="10" t="s">
        <v>475</v>
      </c>
      <c r="C345" s="12">
        <v>45050</v>
      </c>
      <c r="D345" s="10" t="s">
        <v>14</v>
      </c>
      <c r="E345" s="10" t="s">
        <v>14</v>
      </c>
      <c r="F345" s="10">
        <v>1207</v>
      </c>
      <c r="G345" s="10" t="s">
        <v>15</v>
      </c>
      <c r="H345" s="10" t="s">
        <v>17</v>
      </c>
      <c r="I345" s="10" t="s">
        <v>18</v>
      </c>
      <c r="J345" s="10" t="s">
        <v>19</v>
      </c>
      <c r="K345" s="10" t="s">
        <v>19</v>
      </c>
      <c r="L345" s="10" t="s">
        <v>19</v>
      </c>
      <c r="M345" s="12"/>
      <c r="N345" s="10" t="s">
        <v>20</v>
      </c>
      <c r="O345" s="10" t="s">
        <v>2054</v>
      </c>
      <c r="P345" s="25" t="str">
        <f>IFERROR(
IF(OR(O345="anulado",O345="stand by"),CONCATENATE(O345,": ",H345),
IF(OR(YEAR(M345)=2022,YEAR(M345)=2023),CONCATENATE("Se activó en ",YEAR(M345)),
IF(AND(OR(O345="En proceso",O345="facturando"),AND(J345="-",M345="")),"Por revisar",
IF(M345="",IF(J345="NUEVAS",CONCATENATE("Estado: ",O345,", ",J345),
IF(L345=Meses!$A$3,"Por revisar",
IF(H345="","Sin registro","En programación Frcst."))),"En programación")))),
"Error")</f>
        <v>Por revisar</v>
      </c>
      <c r="Q345" s="9" t="str">
        <f t="shared" si="15"/>
        <v>programación de act. NO, estado: Facturando, Comercializador: ENEL, Etapa: Instalado y Activado</v>
      </c>
      <c r="R345" s="25" t="str">
        <f>IF(P345="En programación Frcst.",VLOOKUP(L345,Meses!$A$1:$H$14,3+HLOOKUP(Cronograma!J345,Meses!$D$1:$G$2,2,FALSE),FALSE),
IF(P345="En programación",M345,""))</f>
        <v/>
      </c>
      <c r="S345" s="25" t="str">
        <f t="shared" si="17"/>
        <v/>
      </c>
      <c r="T345" s="21" t="str">
        <f>IFERROR(
(VLOOKUP(MONTH(R345),Meses!$B$3:$C$14,2,FALSE)-DAY(R345))/VLOOKUP(MONTH(R345),Meses!$B$3:$C$14,2,FALSE)*U345,
"")</f>
        <v/>
      </c>
      <c r="U345" s="22">
        <f t="shared" si="16"/>
        <v>1207</v>
      </c>
    </row>
    <row r="346" spans="1:21" ht="32.4" hidden="1" thickBot="1" x14ac:dyDescent="0.6">
      <c r="A346" s="10" t="s">
        <v>457</v>
      </c>
      <c r="B346" s="10" t="s">
        <v>476</v>
      </c>
      <c r="C346" s="12">
        <v>45050</v>
      </c>
      <c r="D346" s="10" t="s">
        <v>14</v>
      </c>
      <c r="E346" s="10" t="s">
        <v>14</v>
      </c>
      <c r="F346" s="10">
        <v>913</v>
      </c>
      <c r="G346" s="10" t="s">
        <v>15</v>
      </c>
      <c r="H346" s="10" t="s">
        <v>17</v>
      </c>
      <c r="I346" s="10" t="s">
        <v>18</v>
      </c>
      <c r="J346" s="10" t="s">
        <v>19</v>
      </c>
      <c r="K346" s="10" t="s">
        <v>19</v>
      </c>
      <c r="L346" s="10" t="s">
        <v>19</v>
      </c>
      <c r="M346" s="12"/>
      <c r="N346" s="10" t="s">
        <v>20</v>
      </c>
      <c r="O346" s="10" t="s">
        <v>2054</v>
      </c>
      <c r="P346" s="25" t="str">
        <f>IFERROR(
IF(OR(O346="anulado",O346="stand by"),CONCATENATE(O346,": ",H346),
IF(OR(YEAR(M346)=2022,YEAR(M346)=2023),CONCATENATE("Se activó en ",YEAR(M346)),
IF(AND(OR(O346="En proceso",O346="facturando"),AND(J346="-",M346="")),"Por revisar",
IF(M346="",IF(J346="NUEVAS",CONCATENATE("Estado: ",O346,", ",J346),
IF(L346=Meses!$A$3,"Por revisar",
IF(H346="","Sin registro","En programación Frcst."))),"En programación")))),
"Error")</f>
        <v>Por revisar</v>
      </c>
      <c r="Q346" s="9" t="str">
        <f t="shared" si="15"/>
        <v>programación de act. NO, estado: Facturando, Comercializador: ENEL, Etapa: Instalado y Activado</v>
      </c>
      <c r="R346" s="25" t="str">
        <f>IF(P346="En programación Frcst.",VLOOKUP(L346,Meses!$A$1:$H$14,3+HLOOKUP(Cronograma!J346,Meses!$D$1:$G$2,2,FALSE),FALSE),
IF(P346="En programación",M346,""))</f>
        <v/>
      </c>
      <c r="S346" s="25" t="str">
        <f t="shared" si="17"/>
        <v/>
      </c>
      <c r="T346" s="21" t="str">
        <f>IFERROR(
(VLOOKUP(MONTH(R346),Meses!$B$3:$C$14,2,FALSE)-DAY(R346))/VLOOKUP(MONTH(R346),Meses!$B$3:$C$14,2,FALSE)*U346,
"")</f>
        <v/>
      </c>
      <c r="U346" s="22">
        <f t="shared" si="16"/>
        <v>913</v>
      </c>
    </row>
    <row r="347" spans="1:21" ht="32.4" hidden="1" thickBot="1" x14ac:dyDescent="0.6">
      <c r="A347" s="10" t="s">
        <v>457</v>
      </c>
      <c r="B347" s="10" t="s">
        <v>477</v>
      </c>
      <c r="C347" s="12">
        <v>45050</v>
      </c>
      <c r="D347" s="10" t="s">
        <v>14</v>
      </c>
      <c r="E347" s="10" t="s">
        <v>14</v>
      </c>
      <c r="F347" s="10">
        <v>5431</v>
      </c>
      <c r="G347" s="10" t="s">
        <v>15</v>
      </c>
      <c r="H347" s="10" t="s">
        <v>17</v>
      </c>
      <c r="I347" s="10" t="s">
        <v>18</v>
      </c>
      <c r="J347" s="10" t="s">
        <v>19</v>
      </c>
      <c r="K347" s="10" t="s">
        <v>19</v>
      </c>
      <c r="L347" s="10" t="s">
        <v>19</v>
      </c>
      <c r="M347" s="12"/>
      <c r="N347" s="10" t="s">
        <v>20</v>
      </c>
      <c r="O347" s="10" t="s">
        <v>2054</v>
      </c>
      <c r="P347" s="25" t="str">
        <f>IFERROR(
IF(OR(O347="anulado",O347="stand by"),CONCATENATE(O347,": ",H347),
IF(OR(YEAR(M347)=2022,YEAR(M347)=2023),CONCATENATE("Se activó en ",YEAR(M347)),
IF(AND(OR(O347="En proceso",O347="facturando"),AND(J347="-",M347="")),"Por revisar",
IF(M347="",IF(J347="NUEVAS",CONCATENATE("Estado: ",O347,", ",J347),
IF(L347=Meses!$A$3,"Por revisar",
IF(H347="","Sin registro","En programación Frcst."))),"En programación")))),
"Error")</f>
        <v>Por revisar</v>
      </c>
      <c r="Q347" s="9" t="str">
        <f t="shared" si="15"/>
        <v>programación de act. NO, estado: Facturando, Comercializador: ENEL, Etapa: Instalado y Activado</v>
      </c>
      <c r="R347" s="25" t="str">
        <f>IF(P347="En programación Frcst.",VLOOKUP(L347,Meses!$A$1:$H$14,3+HLOOKUP(Cronograma!J347,Meses!$D$1:$G$2,2,FALSE),FALSE),
IF(P347="En programación",M347,""))</f>
        <v/>
      </c>
      <c r="S347" s="25" t="str">
        <f t="shared" si="17"/>
        <v/>
      </c>
      <c r="T347" s="21" t="str">
        <f>IFERROR(
(VLOOKUP(MONTH(R347),Meses!$B$3:$C$14,2,FALSE)-DAY(R347))/VLOOKUP(MONTH(R347),Meses!$B$3:$C$14,2,FALSE)*U347,
"")</f>
        <v/>
      </c>
      <c r="U347" s="22">
        <f t="shared" si="16"/>
        <v>5431</v>
      </c>
    </row>
    <row r="348" spans="1:21" ht="32.4" hidden="1" thickBot="1" x14ac:dyDescent="0.6">
      <c r="A348" s="10" t="s">
        <v>457</v>
      </c>
      <c r="B348" s="10" t="s">
        <v>478</v>
      </c>
      <c r="C348" s="12">
        <v>45050</v>
      </c>
      <c r="D348" s="10" t="s">
        <v>14</v>
      </c>
      <c r="E348" s="10" t="s">
        <v>14</v>
      </c>
      <c r="F348" s="10">
        <v>403</v>
      </c>
      <c r="G348" s="10" t="s">
        <v>15</v>
      </c>
      <c r="H348" s="10" t="s">
        <v>17</v>
      </c>
      <c r="I348" s="10" t="s">
        <v>18</v>
      </c>
      <c r="J348" s="10" t="s">
        <v>19</v>
      </c>
      <c r="K348" s="10" t="s">
        <v>19</v>
      </c>
      <c r="L348" s="10" t="s">
        <v>19</v>
      </c>
      <c r="M348" s="12"/>
      <c r="N348" s="10" t="s">
        <v>20</v>
      </c>
      <c r="O348" s="10" t="s">
        <v>2054</v>
      </c>
      <c r="P348" s="25" t="str">
        <f>IFERROR(
IF(OR(O348="anulado",O348="stand by"),CONCATENATE(O348,": ",H348),
IF(OR(YEAR(M348)=2022,YEAR(M348)=2023),CONCATENATE("Se activó en ",YEAR(M348)),
IF(AND(OR(O348="En proceso",O348="facturando"),AND(J348="-",M348="")),"Por revisar",
IF(M348="",IF(J348="NUEVAS",CONCATENATE("Estado: ",O348,", ",J348),
IF(L348=Meses!$A$3,"Por revisar",
IF(H348="","Sin registro","En programación Frcst."))),"En programación")))),
"Error")</f>
        <v>Por revisar</v>
      </c>
      <c r="Q348" s="9" t="str">
        <f t="shared" si="15"/>
        <v>programación de act. NO, estado: Facturando, Comercializador: ENEL, Etapa: Instalado y Activado</v>
      </c>
      <c r="R348" s="25" t="str">
        <f>IF(P348="En programación Frcst.",VLOOKUP(L348,Meses!$A$1:$H$14,3+HLOOKUP(Cronograma!J348,Meses!$D$1:$G$2,2,FALSE),FALSE),
IF(P348="En programación",M348,""))</f>
        <v/>
      </c>
      <c r="S348" s="25" t="str">
        <f t="shared" si="17"/>
        <v/>
      </c>
      <c r="T348" s="21" t="str">
        <f>IFERROR(
(VLOOKUP(MONTH(R348),Meses!$B$3:$C$14,2,FALSE)-DAY(R348))/VLOOKUP(MONTH(R348),Meses!$B$3:$C$14,2,FALSE)*U348,
"")</f>
        <v/>
      </c>
      <c r="U348" s="22">
        <f t="shared" si="16"/>
        <v>403</v>
      </c>
    </row>
    <row r="349" spans="1:21" ht="32.4" hidden="1" thickBot="1" x14ac:dyDescent="0.6">
      <c r="A349" s="10" t="s">
        <v>457</v>
      </c>
      <c r="B349" s="10" t="s">
        <v>479</v>
      </c>
      <c r="C349" s="12">
        <v>45050</v>
      </c>
      <c r="D349" s="10" t="s">
        <v>14</v>
      </c>
      <c r="E349" s="10" t="s">
        <v>14</v>
      </c>
      <c r="F349" s="10">
        <v>1440</v>
      </c>
      <c r="G349" s="10" t="s">
        <v>15</v>
      </c>
      <c r="H349" s="10" t="s">
        <v>17</v>
      </c>
      <c r="I349" s="10" t="s">
        <v>18</v>
      </c>
      <c r="J349" s="10" t="s">
        <v>19</v>
      </c>
      <c r="K349" s="10" t="s">
        <v>19</v>
      </c>
      <c r="L349" s="10" t="s">
        <v>19</v>
      </c>
      <c r="M349" s="12"/>
      <c r="N349" s="10" t="s">
        <v>20</v>
      </c>
      <c r="O349" s="10" t="s">
        <v>2054</v>
      </c>
      <c r="P349" s="25" t="str">
        <f>IFERROR(
IF(OR(O349="anulado",O349="stand by"),CONCATENATE(O349,": ",H349),
IF(OR(YEAR(M349)=2022,YEAR(M349)=2023),CONCATENATE("Se activó en ",YEAR(M349)),
IF(AND(OR(O349="En proceso",O349="facturando"),AND(J349="-",M349="")),"Por revisar",
IF(M349="",IF(J349="NUEVAS",CONCATENATE("Estado: ",O349,", ",J349),
IF(L349=Meses!$A$3,"Por revisar",
IF(H349="","Sin registro","En programación Frcst."))),"En programación")))),
"Error")</f>
        <v>Por revisar</v>
      </c>
      <c r="Q349" s="9" t="str">
        <f t="shared" si="15"/>
        <v>programación de act. NO, estado: Facturando, Comercializador: ENEL, Etapa: Instalado y Activado</v>
      </c>
      <c r="R349" s="25" t="str">
        <f>IF(P349="En programación Frcst.",VLOOKUP(L349,Meses!$A$1:$H$14,3+HLOOKUP(Cronograma!J349,Meses!$D$1:$G$2,2,FALSE),FALSE),
IF(P349="En programación",M349,""))</f>
        <v/>
      </c>
      <c r="S349" s="25" t="str">
        <f t="shared" si="17"/>
        <v/>
      </c>
      <c r="T349" s="21" t="str">
        <f>IFERROR(
(VLOOKUP(MONTH(R349),Meses!$B$3:$C$14,2,FALSE)-DAY(R349))/VLOOKUP(MONTH(R349),Meses!$B$3:$C$14,2,FALSE)*U349,
"")</f>
        <v/>
      </c>
      <c r="U349" s="22">
        <f t="shared" si="16"/>
        <v>1440</v>
      </c>
    </row>
    <row r="350" spans="1:21" ht="32.4" hidden="1" thickBot="1" x14ac:dyDescent="0.6">
      <c r="A350" s="10" t="s">
        <v>457</v>
      </c>
      <c r="B350" s="10" t="s">
        <v>480</v>
      </c>
      <c r="C350" s="12">
        <v>45050</v>
      </c>
      <c r="D350" s="10" t="s">
        <v>14</v>
      </c>
      <c r="E350" s="10" t="s">
        <v>14</v>
      </c>
      <c r="F350" s="10">
        <v>1567</v>
      </c>
      <c r="G350" s="10" t="s">
        <v>15</v>
      </c>
      <c r="H350" s="10" t="s">
        <v>17</v>
      </c>
      <c r="I350" s="10" t="s">
        <v>18</v>
      </c>
      <c r="J350" s="10" t="s">
        <v>19</v>
      </c>
      <c r="K350" s="10" t="s">
        <v>19</v>
      </c>
      <c r="L350" s="10" t="s">
        <v>19</v>
      </c>
      <c r="M350" s="12"/>
      <c r="N350" s="10" t="s">
        <v>20</v>
      </c>
      <c r="O350" s="10" t="s">
        <v>2054</v>
      </c>
      <c r="P350" s="25" t="str">
        <f>IFERROR(
IF(OR(O350="anulado",O350="stand by"),CONCATENATE(O350,": ",H350),
IF(OR(YEAR(M350)=2022,YEAR(M350)=2023),CONCATENATE("Se activó en ",YEAR(M350)),
IF(AND(OR(O350="En proceso",O350="facturando"),AND(J350="-",M350="")),"Por revisar",
IF(M350="",IF(J350="NUEVAS",CONCATENATE("Estado: ",O350,", ",J350),
IF(L350=Meses!$A$3,"Por revisar",
IF(H350="","Sin registro","En programación Frcst."))),"En programación")))),
"Error")</f>
        <v>Por revisar</v>
      </c>
      <c r="Q350" s="9" t="str">
        <f t="shared" si="15"/>
        <v>programación de act. NO, estado: Facturando, Comercializador: ENEL, Etapa: Instalado y Activado</v>
      </c>
      <c r="R350" s="25" t="str">
        <f>IF(P350="En programación Frcst.",VLOOKUP(L350,Meses!$A$1:$H$14,3+HLOOKUP(Cronograma!J350,Meses!$D$1:$G$2,2,FALSE),FALSE),
IF(P350="En programación",M350,""))</f>
        <v/>
      </c>
      <c r="S350" s="25" t="str">
        <f t="shared" si="17"/>
        <v/>
      </c>
      <c r="T350" s="21" t="str">
        <f>IFERROR(
(VLOOKUP(MONTH(R350),Meses!$B$3:$C$14,2,FALSE)-DAY(R350))/VLOOKUP(MONTH(R350),Meses!$B$3:$C$14,2,FALSE)*U350,
"")</f>
        <v/>
      </c>
      <c r="U350" s="22">
        <f t="shared" si="16"/>
        <v>1567</v>
      </c>
    </row>
    <row r="351" spans="1:21" ht="32.4" hidden="1" thickBot="1" x14ac:dyDescent="0.6">
      <c r="A351" s="10" t="s">
        <v>457</v>
      </c>
      <c r="B351" s="10" t="s">
        <v>481</v>
      </c>
      <c r="C351" s="12">
        <v>45050</v>
      </c>
      <c r="D351" s="10" t="s">
        <v>14</v>
      </c>
      <c r="E351" s="10" t="s">
        <v>14</v>
      </c>
      <c r="F351" s="10">
        <v>340</v>
      </c>
      <c r="G351" s="10" t="s">
        <v>15</v>
      </c>
      <c r="H351" s="10" t="s">
        <v>17</v>
      </c>
      <c r="I351" s="10" t="s">
        <v>18</v>
      </c>
      <c r="J351" s="10" t="s">
        <v>19</v>
      </c>
      <c r="K351" s="10" t="s">
        <v>19</v>
      </c>
      <c r="L351" s="10" t="s">
        <v>19</v>
      </c>
      <c r="M351" s="12"/>
      <c r="N351" s="10" t="s">
        <v>20</v>
      </c>
      <c r="O351" s="10" t="s">
        <v>2054</v>
      </c>
      <c r="P351" s="25" t="str">
        <f>IFERROR(
IF(OR(O351="anulado",O351="stand by"),CONCATENATE(O351,": ",H351),
IF(OR(YEAR(M351)=2022,YEAR(M351)=2023),CONCATENATE("Se activó en ",YEAR(M351)),
IF(AND(OR(O351="En proceso",O351="facturando"),AND(J351="-",M351="")),"Por revisar",
IF(M351="",IF(J351="NUEVAS",CONCATENATE("Estado: ",O351,", ",J351),
IF(L351=Meses!$A$3,"Por revisar",
IF(H351="","Sin registro","En programación Frcst."))),"En programación")))),
"Error")</f>
        <v>Por revisar</v>
      </c>
      <c r="Q351" s="9" t="str">
        <f t="shared" si="15"/>
        <v>programación de act. NO, estado: Facturando, Comercializador: ENEL, Etapa: Instalado y Activado</v>
      </c>
      <c r="R351" s="25" t="str">
        <f>IF(P351="En programación Frcst.",VLOOKUP(L351,Meses!$A$1:$H$14,3+HLOOKUP(Cronograma!J351,Meses!$D$1:$G$2,2,FALSE),FALSE),
IF(P351="En programación",M351,""))</f>
        <v/>
      </c>
      <c r="S351" s="25" t="str">
        <f t="shared" si="17"/>
        <v/>
      </c>
      <c r="T351" s="21" t="str">
        <f>IFERROR(
(VLOOKUP(MONTH(R351),Meses!$B$3:$C$14,2,FALSE)-DAY(R351))/VLOOKUP(MONTH(R351),Meses!$B$3:$C$14,2,FALSE)*U351,
"")</f>
        <v/>
      </c>
      <c r="U351" s="22">
        <f t="shared" si="16"/>
        <v>340</v>
      </c>
    </row>
    <row r="352" spans="1:21" ht="32.4" hidden="1" thickBot="1" x14ac:dyDescent="0.6">
      <c r="A352" s="10" t="s">
        <v>457</v>
      </c>
      <c r="B352" s="10" t="s">
        <v>482</v>
      </c>
      <c r="C352" s="12">
        <v>45050</v>
      </c>
      <c r="D352" s="10" t="s">
        <v>14</v>
      </c>
      <c r="E352" s="10" t="s">
        <v>14</v>
      </c>
      <c r="F352" s="10">
        <v>301</v>
      </c>
      <c r="G352" s="10" t="s">
        <v>15</v>
      </c>
      <c r="H352" s="10" t="s">
        <v>17</v>
      </c>
      <c r="I352" s="10" t="s">
        <v>18</v>
      </c>
      <c r="J352" s="10" t="s">
        <v>19</v>
      </c>
      <c r="K352" s="10" t="s">
        <v>19</v>
      </c>
      <c r="L352" s="10" t="s">
        <v>19</v>
      </c>
      <c r="M352" s="12"/>
      <c r="N352" s="10" t="s">
        <v>20</v>
      </c>
      <c r="O352" s="10" t="s">
        <v>2054</v>
      </c>
      <c r="P352" s="25" t="str">
        <f>IFERROR(
IF(OR(O352="anulado",O352="stand by"),CONCATENATE(O352,": ",H352),
IF(OR(YEAR(M352)=2022,YEAR(M352)=2023),CONCATENATE("Se activó en ",YEAR(M352)),
IF(AND(OR(O352="En proceso",O352="facturando"),AND(J352="-",M352="")),"Por revisar",
IF(M352="",IF(J352="NUEVAS",CONCATENATE("Estado: ",O352,", ",J352),
IF(L352=Meses!$A$3,"Por revisar",
IF(H352="","Sin registro","En programación Frcst."))),"En programación")))),
"Error")</f>
        <v>Por revisar</v>
      </c>
      <c r="Q352" s="9" t="str">
        <f t="shared" si="15"/>
        <v>programación de act. NO, estado: Facturando, Comercializador: ENEL, Etapa: Instalado y Activado</v>
      </c>
      <c r="R352" s="25" t="str">
        <f>IF(P352="En programación Frcst.",VLOOKUP(L352,Meses!$A$1:$H$14,3+HLOOKUP(Cronograma!J352,Meses!$D$1:$G$2,2,FALSE),FALSE),
IF(P352="En programación",M352,""))</f>
        <v/>
      </c>
      <c r="S352" s="25" t="str">
        <f t="shared" si="17"/>
        <v/>
      </c>
      <c r="T352" s="21" t="str">
        <f>IFERROR(
(VLOOKUP(MONTH(R352),Meses!$B$3:$C$14,2,FALSE)-DAY(R352))/VLOOKUP(MONTH(R352),Meses!$B$3:$C$14,2,FALSE)*U352,
"")</f>
        <v/>
      </c>
      <c r="U352" s="22">
        <f t="shared" si="16"/>
        <v>301</v>
      </c>
    </row>
    <row r="353" spans="1:21" ht="32.4" hidden="1" thickBot="1" x14ac:dyDescent="0.6">
      <c r="A353" s="10" t="s">
        <v>457</v>
      </c>
      <c r="B353" s="10" t="s">
        <v>483</v>
      </c>
      <c r="C353" s="12">
        <v>45050</v>
      </c>
      <c r="D353" s="10" t="s">
        <v>14</v>
      </c>
      <c r="E353" s="10" t="s">
        <v>14</v>
      </c>
      <c r="F353" s="10">
        <v>1185</v>
      </c>
      <c r="G353" s="10" t="s">
        <v>15</v>
      </c>
      <c r="H353" s="10" t="s">
        <v>17</v>
      </c>
      <c r="I353" s="10" t="s">
        <v>18</v>
      </c>
      <c r="J353" s="10" t="s">
        <v>19</v>
      </c>
      <c r="K353" s="10" t="s">
        <v>19</v>
      </c>
      <c r="L353" s="10" t="s">
        <v>19</v>
      </c>
      <c r="M353" s="12"/>
      <c r="N353" s="10" t="s">
        <v>20</v>
      </c>
      <c r="O353" s="10" t="s">
        <v>2054</v>
      </c>
      <c r="P353" s="25" t="str">
        <f>IFERROR(
IF(OR(O353="anulado",O353="stand by"),CONCATENATE(O353,": ",H353),
IF(OR(YEAR(M353)=2022,YEAR(M353)=2023),CONCATENATE("Se activó en ",YEAR(M353)),
IF(AND(OR(O353="En proceso",O353="facturando"),AND(J353="-",M353="")),"Por revisar",
IF(M353="",IF(J353="NUEVAS",CONCATENATE("Estado: ",O353,", ",J353),
IF(L353=Meses!$A$3,"Por revisar",
IF(H353="","Sin registro","En programación Frcst."))),"En programación")))),
"Error")</f>
        <v>Por revisar</v>
      </c>
      <c r="Q353" s="9" t="str">
        <f t="shared" si="15"/>
        <v>programación de act. NO, estado: Facturando, Comercializador: ENEL, Etapa: Instalado y Activado</v>
      </c>
      <c r="R353" s="25" t="str">
        <f>IF(P353="En programación Frcst.",VLOOKUP(L353,Meses!$A$1:$H$14,3+HLOOKUP(Cronograma!J353,Meses!$D$1:$G$2,2,FALSE),FALSE),
IF(P353="En programación",M353,""))</f>
        <v/>
      </c>
      <c r="S353" s="25" t="str">
        <f t="shared" si="17"/>
        <v/>
      </c>
      <c r="T353" s="21" t="str">
        <f>IFERROR(
(VLOOKUP(MONTH(R353),Meses!$B$3:$C$14,2,FALSE)-DAY(R353))/VLOOKUP(MONTH(R353),Meses!$B$3:$C$14,2,FALSE)*U353,
"")</f>
        <v/>
      </c>
      <c r="U353" s="22">
        <f t="shared" si="16"/>
        <v>1185</v>
      </c>
    </row>
    <row r="354" spans="1:21" ht="32.4" hidden="1" thickBot="1" x14ac:dyDescent="0.6">
      <c r="A354" s="10" t="s">
        <v>457</v>
      </c>
      <c r="B354" s="10" t="s">
        <v>484</v>
      </c>
      <c r="C354" s="12">
        <v>45050</v>
      </c>
      <c r="D354" s="10" t="s">
        <v>14</v>
      </c>
      <c r="E354" s="10" t="s">
        <v>14</v>
      </c>
      <c r="F354" s="10">
        <v>1128</v>
      </c>
      <c r="G354" s="10" t="s">
        <v>15</v>
      </c>
      <c r="H354" s="10" t="s">
        <v>17</v>
      </c>
      <c r="I354" s="10" t="s">
        <v>18</v>
      </c>
      <c r="J354" s="10" t="s">
        <v>19</v>
      </c>
      <c r="K354" s="10" t="s">
        <v>19</v>
      </c>
      <c r="L354" s="10" t="s">
        <v>19</v>
      </c>
      <c r="M354" s="12"/>
      <c r="N354" s="10" t="s">
        <v>20</v>
      </c>
      <c r="O354" s="10" t="s">
        <v>2054</v>
      </c>
      <c r="P354" s="25" t="str">
        <f>IFERROR(
IF(OR(O354="anulado",O354="stand by"),CONCATENATE(O354,": ",H354),
IF(OR(YEAR(M354)=2022,YEAR(M354)=2023),CONCATENATE("Se activó en ",YEAR(M354)),
IF(AND(OR(O354="En proceso",O354="facturando"),AND(J354="-",M354="")),"Por revisar",
IF(M354="",IF(J354="NUEVAS",CONCATENATE("Estado: ",O354,", ",J354),
IF(L354=Meses!$A$3,"Por revisar",
IF(H354="","Sin registro","En programación Frcst."))),"En programación")))),
"Error")</f>
        <v>Por revisar</v>
      </c>
      <c r="Q354" s="9" t="str">
        <f t="shared" si="15"/>
        <v>programación de act. NO, estado: Facturando, Comercializador: ENEL, Etapa: Instalado y Activado</v>
      </c>
      <c r="R354" s="25" t="str">
        <f>IF(P354="En programación Frcst.",VLOOKUP(L354,Meses!$A$1:$H$14,3+HLOOKUP(Cronograma!J354,Meses!$D$1:$G$2,2,FALSE),FALSE),
IF(P354="En programación",M354,""))</f>
        <v/>
      </c>
      <c r="S354" s="25" t="str">
        <f t="shared" si="17"/>
        <v/>
      </c>
      <c r="T354" s="21" t="str">
        <f>IFERROR(
(VLOOKUP(MONTH(R354),Meses!$B$3:$C$14,2,FALSE)-DAY(R354))/VLOOKUP(MONTH(R354),Meses!$B$3:$C$14,2,FALSE)*U354,
"")</f>
        <v/>
      </c>
      <c r="U354" s="22">
        <f t="shared" si="16"/>
        <v>1128</v>
      </c>
    </row>
    <row r="355" spans="1:21" ht="32.4" hidden="1" thickBot="1" x14ac:dyDescent="0.6">
      <c r="A355" s="10" t="s">
        <v>457</v>
      </c>
      <c r="B355" s="10" t="s">
        <v>485</v>
      </c>
      <c r="C355" s="12">
        <v>45050</v>
      </c>
      <c r="D355" s="10" t="s">
        <v>14</v>
      </c>
      <c r="E355" s="10" t="s">
        <v>14</v>
      </c>
      <c r="F355" s="10">
        <v>896</v>
      </c>
      <c r="G355" s="10" t="s">
        <v>15</v>
      </c>
      <c r="H355" s="10" t="s">
        <v>17</v>
      </c>
      <c r="I355" s="10" t="s">
        <v>18</v>
      </c>
      <c r="J355" s="10" t="s">
        <v>19</v>
      </c>
      <c r="K355" s="10" t="s">
        <v>19</v>
      </c>
      <c r="L355" s="10" t="s">
        <v>19</v>
      </c>
      <c r="M355" s="12"/>
      <c r="N355" s="10" t="s">
        <v>20</v>
      </c>
      <c r="O355" s="10" t="s">
        <v>2054</v>
      </c>
      <c r="P355" s="25" t="str">
        <f>IFERROR(
IF(OR(O355="anulado",O355="stand by"),CONCATENATE(O355,": ",H355),
IF(OR(YEAR(M355)=2022,YEAR(M355)=2023),CONCATENATE("Se activó en ",YEAR(M355)),
IF(AND(OR(O355="En proceso",O355="facturando"),AND(J355="-",M355="")),"Por revisar",
IF(M355="",IF(J355="NUEVAS",CONCATENATE("Estado: ",O355,", ",J355),
IF(L355=Meses!$A$3,"Por revisar",
IF(H355="","Sin registro","En programación Frcst."))),"En programación")))),
"Error")</f>
        <v>Por revisar</v>
      </c>
      <c r="Q355" s="9" t="str">
        <f t="shared" si="15"/>
        <v>programación de act. NO, estado: Facturando, Comercializador: ENEL, Etapa: Instalado y Activado</v>
      </c>
      <c r="R355" s="25" t="str">
        <f>IF(P355="En programación Frcst.",VLOOKUP(L355,Meses!$A$1:$H$14,3+HLOOKUP(Cronograma!J355,Meses!$D$1:$G$2,2,FALSE),FALSE),
IF(P355="En programación",M355,""))</f>
        <v/>
      </c>
      <c r="S355" s="25" t="str">
        <f t="shared" si="17"/>
        <v/>
      </c>
      <c r="T355" s="21" t="str">
        <f>IFERROR(
(VLOOKUP(MONTH(R355),Meses!$B$3:$C$14,2,FALSE)-DAY(R355))/VLOOKUP(MONTH(R355),Meses!$B$3:$C$14,2,FALSE)*U355,
"")</f>
        <v/>
      </c>
      <c r="U355" s="22">
        <f t="shared" si="16"/>
        <v>896</v>
      </c>
    </row>
    <row r="356" spans="1:21" ht="32.4" hidden="1" thickBot="1" x14ac:dyDescent="0.6">
      <c r="A356" s="10" t="s">
        <v>457</v>
      </c>
      <c r="B356" s="10" t="s">
        <v>486</v>
      </c>
      <c r="C356" s="12">
        <v>45050</v>
      </c>
      <c r="D356" s="10" t="s">
        <v>14</v>
      </c>
      <c r="E356" s="10" t="s">
        <v>14</v>
      </c>
      <c r="F356" s="10">
        <v>368</v>
      </c>
      <c r="G356" s="10" t="s">
        <v>15</v>
      </c>
      <c r="H356" s="10" t="s">
        <v>17</v>
      </c>
      <c r="I356" s="10" t="s">
        <v>18</v>
      </c>
      <c r="J356" s="10" t="s">
        <v>19</v>
      </c>
      <c r="K356" s="10" t="s">
        <v>19</v>
      </c>
      <c r="L356" s="10" t="s">
        <v>19</v>
      </c>
      <c r="M356" s="12"/>
      <c r="N356" s="10" t="s">
        <v>20</v>
      </c>
      <c r="O356" s="10" t="s">
        <v>2054</v>
      </c>
      <c r="P356" s="25" t="str">
        <f>IFERROR(
IF(OR(O356="anulado",O356="stand by"),CONCATENATE(O356,": ",H356),
IF(OR(YEAR(M356)=2022,YEAR(M356)=2023),CONCATENATE("Se activó en ",YEAR(M356)),
IF(AND(OR(O356="En proceso",O356="facturando"),AND(J356="-",M356="")),"Por revisar",
IF(M356="",IF(J356="NUEVAS",CONCATENATE("Estado: ",O356,", ",J356),
IF(L356=Meses!$A$3,"Por revisar",
IF(H356="","Sin registro","En programación Frcst."))),"En programación")))),
"Error")</f>
        <v>Por revisar</v>
      </c>
      <c r="Q356" s="9" t="str">
        <f t="shared" si="15"/>
        <v>programación de act. NO, estado: Facturando, Comercializador: ENEL, Etapa: Instalado y Activado</v>
      </c>
      <c r="R356" s="25" t="str">
        <f>IF(P356="En programación Frcst.",VLOOKUP(L356,Meses!$A$1:$H$14,3+HLOOKUP(Cronograma!J356,Meses!$D$1:$G$2,2,FALSE),FALSE),
IF(P356="En programación",M356,""))</f>
        <v/>
      </c>
      <c r="S356" s="25" t="str">
        <f t="shared" si="17"/>
        <v/>
      </c>
      <c r="T356" s="21" t="str">
        <f>IFERROR(
(VLOOKUP(MONTH(R356),Meses!$B$3:$C$14,2,FALSE)-DAY(R356))/VLOOKUP(MONTH(R356),Meses!$B$3:$C$14,2,FALSE)*U356,
"")</f>
        <v/>
      </c>
      <c r="U356" s="22">
        <f t="shared" si="16"/>
        <v>368</v>
      </c>
    </row>
    <row r="357" spans="1:21" ht="32.4" hidden="1" thickBot="1" x14ac:dyDescent="0.6">
      <c r="A357" s="10" t="s">
        <v>457</v>
      </c>
      <c r="B357" s="10" t="s">
        <v>487</v>
      </c>
      <c r="C357" s="12">
        <v>45050</v>
      </c>
      <c r="D357" s="10" t="s">
        <v>14</v>
      </c>
      <c r="E357" s="10" t="s">
        <v>14</v>
      </c>
      <c r="F357" s="10">
        <v>241</v>
      </c>
      <c r="G357" s="10" t="s">
        <v>15</v>
      </c>
      <c r="H357" s="10" t="s">
        <v>17</v>
      </c>
      <c r="I357" s="10" t="s">
        <v>18</v>
      </c>
      <c r="J357" s="10" t="s">
        <v>19</v>
      </c>
      <c r="K357" s="10" t="s">
        <v>19</v>
      </c>
      <c r="L357" s="10" t="s">
        <v>19</v>
      </c>
      <c r="M357" s="12"/>
      <c r="N357" s="10" t="s">
        <v>20</v>
      </c>
      <c r="O357" s="10" t="s">
        <v>2054</v>
      </c>
      <c r="P357" s="25" t="str">
        <f>IFERROR(
IF(OR(O357="anulado",O357="stand by"),CONCATENATE(O357,": ",H357),
IF(OR(YEAR(M357)=2022,YEAR(M357)=2023),CONCATENATE("Se activó en ",YEAR(M357)),
IF(AND(OR(O357="En proceso",O357="facturando"),AND(J357="-",M357="")),"Por revisar",
IF(M357="",IF(J357="NUEVAS",CONCATENATE("Estado: ",O357,", ",J357),
IF(L357=Meses!$A$3,"Por revisar",
IF(H357="","Sin registro","En programación Frcst."))),"En programación")))),
"Error")</f>
        <v>Por revisar</v>
      </c>
      <c r="Q357" s="9" t="str">
        <f t="shared" si="15"/>
        <v>programación de act. NO, estado: Facturando, Comercializador: ENEL, Etapa: Instalado y Activado</v>
      </c>
      <c r="R357" s="25" t="str">
        <f>IF(P357="En programación Frcst.",VLOOKUP(L357,Meses!$A$1:$H$14,3+HLOOKUP(Cronograma!J357,Meses!$D$1:$G$2,2,FALSE),FALSE),
IF(P357="En programación",M357,""))</f>
        <v/>
      </c>
      <c r="S357" s="25" t="str">
        <f t="shared" si="17"/>
        <v/>
      </c>
      <c r="T357" s="21" t="str">
        <f>IFERROR(
(VLOOKUP(MONTH(R357),Meses!$B$3:$C$14,2,FALSE)-DAY(R357))/VLOOKUP(MONTH(R357),Meses!$B$3:$C$14,2,FALSE)*U357,
"")</f>
        <v/>
      </c>
      <c r="U357" s="22">
        <f t="shared" si="16"/>
        <v>241</v>
      </c>
    </row>
    <row r="358" spans="1:21" ht="32.4" hidden="1" thickBot="1" x14ac:dyDescent="0.6">
      <c r="A358" s="10" t="s">
        <v>457</v>
      </c>
      <c r="B358" s="10" t="s">
        <v>488</v>
      </c>
      <c r="C358" s="12">
        <v>45050</v>
      </c>
      <c r="D358" s="10" t="s">
        <v>14</v>
      </c>
      <c r="E358" s="10" t="s">
        <v>14</v>
      </c>
      <c r="F358" s="10">
        <v>1335</v>
      </c>
      <c r="G358" s="10" t="s">
        <v>15</v>
      </c>
      <c r="H358" s="10" t="s">
        <v>17</v>
      </c>
      <c r="I358" s="10" t="s">
        <v>18</v>
      </c>
      <c r="J358" s="10" t="s">
        <v>19</v>
      </c>
      <c r="K358" s="10" t="s">
        <v>19</v>
      </c>
      <c r="L358" s="10" t="s">
        <v>19</v>
      </c>
      <c r="M358" s="12"/>
      <c r="N358" s="10" t="s">
        <v>20</v>
      </c>
      <c r="O358" s="10" t="s">
        <v>2054</v>
      </c>
      <c r="P358" s="25" t="str">
        <f>IFERROR(
IF(OR(O358="anulado",O358="stand by"),CONCATENATE(O358,": ",H358),
IF(OR(YEAR(M358)=2022,YEAR(M358)=2023),CONCATENATE("Se activó en ",YEAR(M358)),
IF(AND(OR(O358="En proceso",O358="facturando"),AND(J358="-",M358="")),"Por revisar",
IF(M358="",IF(J358="NUEVAS",CONCATENATE("Estado: ",O358,", ",J358),
IF(L358=Meses!$A$3,"Por revisar",
IF(H358="","Sin registro","En programación Frcst."))),"En programación")))),
"Error")</f>
        <v>Por revisar</v>
      </c>
      <c r="Q358" s="9" t="str">
        <f t="shared" si="15"/>
        <v>programación de act. NO, estado: Facturando, Comercializador: ENEL, Etapa: Instalado y Activado</v>
      </c>
      <c r="R358" s="25" t="str">
        <f>IF(P358="En programación Frcst.",VLOOKUP(L358,Meses!$A$1:$H$14,3+HLOOKUP(Cronograma!J358,Meses!$D$1:$G$2,2,FALSE),FALSE),
IF(P358="En programación",M358,""))</f>
        <v/>
      </c>
      <c r="S358" s="25" t="str">
        <f t="shared" si="17"/>
        <v/>
      </c>
      <c r="T358" s="21" t="str">
        <f>IFERROR(
(VLOOKUP(MONTH(R358),Meses!$B$3:$C$14,2,FALSE)-DAY(R358))/VLOOKUP(MONTH(R358),Meses!$B$3:$C$14,2,FALSE)*U358,
"")</f>
        <v/>
      </c>
      <c r="U358" s="22">
        <f t="shared" si="16"/>
        <v>1335</v>
      </c>
    </row>
    <row r="359" spans="1:21" ht="32.4" hidden="1" thickBot="1" x14ac:dyDescent="0.6">
      <c r="A359" s="10" t="s">
        <v>457</v>
      </c>
      <c r="B359" s="10" t="s">
        <v>489</v>
      </c>
      <c r="C359" s="12">
        <v>45050</v>
      </c>
      <c r="D359" s="10" t="s">
        <v>14</v>
      </c>
      <c r="E359" s="10" t="s">
        <v>14</v>
      </c>
      <c r="F359" s="10">
        <v>314</v>
      </c>
      <c r="G359" s="10" t="s">
        <v>15</v>
      </c>
      <c r="H359" s="10" t="s">
        <v>17</v>
      </c>
      <c r="I359" s="10" t="s">
        <v>18</v>
      </c>
      <c r="J359" s="10" t="s">
        <v>19</v>
      </c>
      <c r="K359" s="10" t="s">
        <v>19</v>
      </c>
      <c r="L359" s="10" t="s">
        <v>19</v>
      </c>
      <c r="M359" s="12"/>
      <c r="N359" s="10" t="s">
        <v>20</v>
      </c>
      <c r="O359" s="10" t="s">
        <v>2054</v>
      </c>
      <c r="P359" s="25" t="str">
        <f>IFERROR(
IF(OR(O359="anulado",O359="stand by"),CONCATENATE(O359,": ",H359),
IF(OR(YEAR(M359)=2022,YEAR(M359)=2023),CONCATENATE("Se activó en ",YEAR(M359)),
IF(AND(OR(O359="En proceso",O359="facturando"),AND(J359="-",M359="")),"Por revisar",
IF(M359="",IF(J359="NUEVAS",CONCATENATE("Estado: ",O359,", ",J359),
IF(L359=Meses!$A$3,"Por revisar",
IF(H359="","Sin registro","En programación Frcst."))),"En programación")))),
"Error")</f>
        <v>Por revisar</v>
      </c>
      <c r="Q359" s="9" t="str">
        <f t="shared" si="15"/>
        <v>programación de act. NO, estado: Facturando, Comercializador: ENEL, Etapa: Instalado y Activado</v>
      </c>
      <c r="R359" s="25" t="str">
        <f>IF(P359="En programación Frcst.",VLOOKUP(L359,Meses!$A$1:$H$14,3+HLOOKUP(Cronograma!J359,Meses!$D$1:$G$2,2,FALSE),FALSE),
IF(P359="En programación",M359,""))</f>
        <v/>
      </c>
      <c r="S359" s="25" t="str">
        <f t="shared" si="17"/>
        <v/>
      </c>
      <c r="T359" s="21" t="str">
        <f>IFERROR(
(VLOOKUP(MONTH(R359),Meses!$B$3:$C$14,2,FALSE)-DAY(R359))/VLOOKUP(MONTH(R359),Meses!$B$3:$C$14,2,FALSE)*U359,
"")</f>
        <v/>
      </c>
      <c r="U359" s="22">
        <f t="shared" si="16"/>
        <v>314</v>
      </c>
    </row>
    <row r="360" spans="1:21" ht="32.4" hidden="1" thickBot="1" x14ac:dyDescent="0.6">
      <c r="A360" s="10" t="s">
        <v>457</v>
      </c>
      <c r="B360" s="10" t="s">
        <v>490</v>
      </c>
      <c r="C360" s="12">
        <v>45050</v>
      </c>
      <c r="D360" s="10" t="s">
        <v>14</v>
      </c>
      <c r="E360" s="10" t="s">
        <v>14</v>
      </c>
      <c r="F360" s="10">
        <v>909</v>
      </c>
      <c r="G360" s="10" t="s">
        <v>15</v>
      </c>
      <c r="H360" s="10" t="s">
        <v>17</v>
      </c>
      <c r="I360" s="10" t="s">
        <v>18</v>
      </c>
      <c r="J360" s="10" t="s">
        <v>19</v>
      </c>
      <c r="K360" s="10" t="s">
        <v>19</v>
      </c>
      <c r="L360" s="10" t="s">
        <v>19</v>
      </c>
      <c r="M360" s="12"/>
      <c r="N360" s="10" t="s">
        <v>20</v>
      </c>
      <c r="O360" s="10" t="s">
        <v>2054</v>
      </c>
      <c r="P360" s="25" t="str">
        <f>IFERROR(
IF(OR(O360="anulado",O360="stand by"),CONCATENATE(O360,": ",H360),
IF(OR(YEAR(M360)=2022,YEAR(M360)=2023),CONCATENATE("Se activó en ",YEAR(M360)),
IF(AND(OR(O360="En proceso",O360="facturando"),AND(J360="-",M360="")),"Por revisar",
IF(M360="",IF(J360="NUEVAS",CONCATENATE("Estado: ",O360,", ",J360),
IF(L360=Meses!$A$3,"Por revisar",
IF(H360="","Sin registro","En programación Frcst."))),"En programación")))),
"Error")</f>
        <v>Por revisar</v>
      </c>
      <c r="Q360" s="9" t="str">
        <f t="shared" si="15"/>
        <v>programación de act. NO, estado: Facturando, Comercializador: ENEL, Etapa: Instalado y Activado</v>
      </c>
      <c r="R360" s="25" t="str">
        <f>IF(P360="En programación Frcst.",VLOOKUP(L360,Meses!$A$1:$H$14,3+HLOOKUP(Cronograma!J360,Meses!$D$1:$G$2,2,FALSE),FALSE),
IF(P360="En programación",M360,""))</f>
        <v/>
      </c>
      <c r="S360" s="25" t="str">
        <f t="shared" si="17"/>
        <v/>
      </c>
      <c r="T360" s="21" t="str">
        <f>IFERROR(
(VLOOKUP(MONTH(R360),Meses!$B$3:$C$14,2,FALSE)-DAY(R360))/VLOOKUP(MONTH(R360),Meses!$B$3:$C$14,2,FALSE)*U360,
"")</f>
        <v/>
      </c>
      <c r="U360" s="22">
        <f t="shared" si="16"/>
        <v>909</v>
      </c>
    </row>
    <row r="361" spans="1:21" ht="32.4" hidden="1" thickBot="1" x14ac:dyDescent="0.6">
      <c r="A361" s="10" t="s">
        <v>457</v>
      </c>
      <c r="B361" s="10" t="s">
        <v>491</v>
      </c>
      <c r="C361" s="12">
        <v>45050</v>
      </c>
      <c r="D361" s="10" t="s">
        <v>14</v>
      </c>
      <c r="E361" s="10" t="s">
        <v>14</v>
      </c>
      <c r="F361" s="10">
        <v>842</v>
      </c>
      <c r="G361" s="10" t="s">
        <v>15</v>
      </c>
      <c r="H361" s="10" t="s">
        <v>17</v>
      </c>
      <c r="I361" s="10" t="s">
        <v>18</v>
      </c>
      <c r="J361" s="10" t="s">
        <v>19</v>
      </c>
      <c r="K361" s="10" t="s">
        <v>19</v>
      </c>
      <c r="L361" s="10" t="s">
        <v>19</v>
      </c>
      <c r="M361" s="12"/>
      <c r="N361" s="10" t="s">
        <v>20</v>
      </c>
      <c r="O361" s="10" t="s">
        <v>2054</v>
      </c>
      <c r="P361" s="25" t="str">
        <f>IFERROR(
IF(OR(O361="anulado",O361="stand by"),CONCATENATE(O361,": ",H361),
IF(OR(YEAR(M361)=2022,YEAR(M361)=2023),CONCATENATE("Se activó en ",YEAR(M361)),
IF(AND(OR(O361="En proceso",O361="facturando"),AND(J361="-",M361="")),"Por revisar",
IF(M361="",IF(J361="NUEVAS",CONCATENATE("Estado: ",O361,", ",J361),
IF(L361=Meses!$A$3,"Por revisar",
IF(H361="","Sin registro","En programación Frcst."))),"En programación")))),
"Error")</f>
        <v>Por revisar</v>
      </c>
      <c r="Q361" s="9" t="str">
        <f t="shared" si="15"/>
        <v>programación de act. NO, estado: Facturando, Comercializador: ENEL, Etapa: Instalado y Activado</v>
      </c>
      <c r="R361" s="25" t="str">
        <f>IF(P361="En programación Frcst.",VLOOKUP(L361,Meses!$A$1:$H$14,3+HLOOKUP(Cronograma!J361,Meses!$D$1:$G$2,2,FALSE),FALSE),
IF(P361="En programación",M361,""))</f>
        <v/>
      </c>
      <c r="S361" s="25" t="str">
        <f t="shared" si="17"/>
        <v/>
      </c>
      <c r="T361" s="21" t="str">
        <f>IFERROR(
(VLOOKUP(MONTH(R361),Meses!$B$3:$C$14,2,FALSE)-DAY(R361))/VLOOKUP(MONTH(R361),Meses!$B$3:$C$14,2,FALSE)*U361,
"")</f>
        <v/>
      </c>
      <c r="U361" s="22">
        <f t="shared" si="16"/>
        <v>842</v>
      </c>
    </row>
    <row r="362" spans="1:21" ht="32.4" hidden="1" thickBot="1" x14ac:dyDescent="0.6">
      <c r="A362" s="10" t="s">
        <v>457</v>
      </c>
      <c r="B362" s="10" t="s">
        <v>492</v>
      </c>
      <c r="C362" s="12">
        <v>45050</v>
      </c>
      <c r="D362" s="10" t="s">
        <v>14</v>
      </c>
      <c r="E362" s="10" t="s">
        <v>14</v>
      </c>
      <c r="F362" s="10">
        <v>1076</v>
      </c>
      <c r="G362" s="10" t="s">
        <v>15</v>
      </c>
      <c r="H362" s="10" t="s">
        <v>17</v>
      </c>
      <c r="I362" s="10" t="s">
        <v>18</v>
      </c>
      <c r="J362" s="10" t="s">
        <v>19</v>
      </c>
      <c r="K362" s="10" t="s">
        <v>19</v>
      </c>
      <c r="L362" s="10" t="s">
        <v>19</v>
      </c>
      <c r="M362" s="12"/>
      <c r="N362" s="10" t="s">
        <v>20</v>
      </c>
      <c r="O362" s="10" t="s">
        <v>2054</v>
      </c>
      <c r="P362" s="25" t="str">
        <f>IFERROR(
IF(OR(O362="anulado",O362="stand by"),CONCATENATE(O362,": ",H362),
IF(OR(YEAR(M362)=2022,YEAR(M362)=2023),CONCATENATE("Se activó en ",YEAR(M362)),
IF(AND(OR(O362="En proceso",O362="facturando"),AND(J362="-",M362="")),"Por revisar",
IF(M362="",IF(J362="NUEVAS",CONCATENATE("Estado: ",O362,", ",J362),
IF(L362=Meses!$A$3,"Por revisar",
IF(H362="","Sin registro","En programación Frcst."))),"En programación")))),
"Error")</f>
        <v>Por revisar</v>
      </c>
      <c r="Q362" s="9" t="str">
        <f t="shared" si="15"/>
        <v>programación de act. NO, estado: Facturando, Comercializador: ENEL, Etapa: Instalado y Activado</v>
      </c>
      <c r="R362" s="25" t="str">
        <f>IF(P362="En programación Frcst.",VLOOKUP(L362,Meses!$A$1:$H$14,3+HLOOKUP(Cronograma!J362,Meses!$D$1:$G$2,2,FALSE),FALSE),
IF(P362="En programación",M362,""))</f>
        <v/>
      </c>
      <c r="S362" s="25" t="str">
        <f t="shared" si="17"/>
        <v/>
      </c>
      <c r="T362" s="21" t="str">
        <f>IFERROR(
(VLOOKUP(MONTH(R362),Meses!$B$3:$C$14,2,FALSE)-DAY(R362))/VLOOKUP(MONTH(R362),Meses!$B$3:$C$14,2,FALSE)*U362,
"")</f>
        <v/>
      </c>
      <c r="U362" s="22">
        <f t="shared" si="16"/>
        <v>1076</v>
      </c>
    </row>
    <row r="363" spans="1:21" ht="32.4" hidden="1" thickBot="1" x14ac:dyDescent="0.6">
      <c r="A363" s="10" t="s">
        <v>457</v>
      </c>
      <c r="B363" s="10" t="s">
        <v>493</v>
      </c>
      <c r="C363" s="12">
        <v>45050</v>
      </c>
      <c r="D363" s="10" t="s">
        <v>14</v>
      </c>
      <c r="E363" s="10" t="s">
        <v>14</v>
      </c>
      <c r="F363" s="10">
        <v>164</v>
      </c>
      <c r="G363" s="10" t="s">
        <v>15</v>
      </c>
      <c r="H363" s="10" t="s">
        <v>17</v>
      </c>
      <c r="I363" s="10" t="s">
        <v>18</v>
      </c>
      <c r="J363" s="10" t="s">
        <v>19</v>
      </c>
      <c r="K363" s="10" t="s">
        <v>19</v>
      </c>
      <c r="L363" s="10" t="s">
        <v>19</v>
      </c>
      <c r="M363" s="12"/>
      <c r="N363" s="10" t="s">
        <v>20</v>
      </c>
      <c r="O363" s="10" t="s">
        <v>2054</v>
      </c>
      <c r="P363" s="25" t="str">
        <f>IFERROR(
IF(OR(O363="anulado",O363="stand by"),CONCATENATE(O363,": ",H363),
IF(OR(YEAR(M363)=2022,YEAR(M363)=2023),CONCATENATE("Se activó en ",YEAR(M363)),
IF(AND(OR(O363="En proceso",O363="facturando"),AND(J363="-",M363="")),"Por revisar",
IF(M363="",IF(J363="NUEVAS",CONCATENATE("Estado: ",O363,", ",J363),
IF(L363=Meses!$A$3,"Por revisar",
IF(H363="","Sin registro","En programación Frcst."))),"En programación")))),
"Error")</f>
        <v>Por revisar</v>
      </c>
      <c r="Q363" s="9" t="str">
        <f t="shared" si="15"/>
        <v>programación de act. NO, estado: Facturando, Comercializador: ENEL, Etapa: Instalado y Activado</v>
      </c>
      <c r="R363" s="25" t="str">
        <f>IF(P363="En programación Frcst.",VLOOKUP(L363,Meses!$A$1:$H$14,3+HLOOKUP(Cronograma!J363,Meses!$D$1:$G$2,2,FALSE),FALSE),
IF(P363="En programación",M363,""))</f>
        <v/>
      </c>
      <c r="S363" s="25" t="str">
        <f t="shared" si="17"/>
        <v/>
      </c>
      <c r="T363" s="21" t="str">
        <f>IFERROR(
(VLOOKUP(MONTH(R363),Meses!$B$3:$C$14,2,FALSE)-DAY(R363))/VLOOKUP(MONTH(R363),Meses!$B$3:$C$14,2,FALSE)*U363,
"")</f>
        <v/>
      </c>
      <c r="U363" s="22">
        <f t="shared" si="16"/>
        <v>164</v>
      </c>
    </row>
    <row r="364" spans="1:21" ht="32.4" hidden="1" thickBot="1" x14ac:dyDescent="0.6">
      <c r="A364" s="10" t="s">
        <v>457</v>
      </c>
      <c r="B364" s="10" t="s">
        <v>494</v>
      </c>
      <c r="C364" s="12">
        <v>45050</v>
      </c>
      <c r="D364" s="10" t="s">
        <v>14</v>
      </c>
      <c r="E364" s="10" t="s">
        <v>14</v>
      </c>
      <c r="F364" s="10">
        <v>903</v>
      </c>
      <c r="G364" s="10" t="s">
        <v>15</v>
      </c>
      <c r="H364" s="10" t="s">
        <v>17</v>
      </c>
      <c r="I364" s="10" t="s">
        <v>18</v>
      </c>
      <c r="J364" s="10" t="s">
        <v>19</v>
      </c>
      <c r="K364" s="10" t="s">
        <v>19</v>
      </c>
      <c r="L364" s="10" t="s">
        <v>19</v>
      </c>
      <c r="M364" s="12"/>
      <c r="N364" s="10" t="s">
        <v>20</v>
      </c>
      <c r="O364" s="10" t="s">
        <v>2054</v>
      </c>
      <c r="P364" s="25" t="str">
        <f>IFERROR(
IF(OR(O364="anulado",O364="stand by"),CONCATENATE(O364,": ",H364),
IF(OR(YEAR(M364)=2022,YEAR(M364)=2023),CONCATENATE("Se activó en ",YEAR(M364)),
IF(AND(OR(O364="En proceso",O364="facturando"),AND(J364="-",M364="")),"Por revisar",
IF(M364="",IF(J364="NUEVAS",CONCATENATE("Estado: ",O364,", ",J364),
IF(L364=Meses!$A$3,"Por revisar",
IF(H364="","Sin registro","En programación Frcst."))),"En programación")))),
"Error")</f>
        <v>Por revisar</v>
      </c>
      <c r="Q364" s="9" t="str">
        <f t="shared" si="15"/>
        <v>programación de act. NO, estado: Facturando, Comercializador: ENEL, Etapa: Instalado y Activado</v>
      </c>
      <c r="R364" s="25" t="str">
        <f>IF(P364="En programación Frcst.",VLOOKUP(L364,Meses!$A$1:$H$14,3+HLOOKUP(Cronograma!J364,Meses!$D$1:$G$2,2,FALSE),FALSE),
IF(P364="En programación",M364,""))</f>
        <v/>
      </c>
      <c r="S364" s="25" t="str">
        <f t="shared" si="17"/>
        <v/>
      </c>
      <c r="T364" s="21" t="str">
        <f>IFERROR(
(VLOOKUP(MONTH(R364),Meses!$B$3:$C$14,2,FALSE)-DAY(R364))/VLOOKUP(MONTH(R364),Meses!$B$3:$C$14,2,FALSE)*U364,
"")</f>
        <v/>
      </c>
      <c r="U364" s="22">
        <f t="shared" si="16"/>
        <v>903</v>
      </c>
    </row>
    <row r="365" spans="1:21" ht="32.4" hidden="1" thickBot="1" x14ac:dyDescent="0.6">
      <c r="A365" s="10" t="s">
        <v>457</v>
      </c>
      <c r="B365" s="10" t="s">
        <v>495</v>
      </c>
      <c r="C365" s="12">
        <v>45050</v>
      </c>
      <c r="D365" s="10" t="s">
        <v>14</v>
      </c>
      <c r="E365" s="10" t="s">
        <v>14</v>
      </c>
      <c r="F365" s="10">
        <v>1041</v>
      </c>
      <c r="G365" s="10" t="s">
        <v>15</v>
      </c>
      <c r="H365" s="10" t="s">
        <v>17</v>
      </c>
      <c r="I365" s="10" t="s">
        <v>18</v>
      </c>
      <c r="J365" s="10" t="s">
        <v>19</v>
      </c>
      <c r="K365" s="10" t="s">
        <v>19</v>
      </c>
      <c r="L365" s="10" t="s">
        <v>19</v>
      </c>
      <c r="M365" s="12"/>
      <c r="N365" s="10" t="s">
        <v>20</v>
      </c>
      <c r="O365" s="10" t="s">
        <v>2054</v>
      </c>
      <c r="P365" s="25" t="str">
        <f>IFERROR(
IF(OR(O365="anulado",O365="stand by"),CONCATENATE(O365,": ",H365),
IF(OR(YEAR(M365)=2022,YEAR(M365)=2023),CONCATENATE("Se activó en ",YEAR(M365)),
IF(AND(OR(O365="En proceso",O365="facturando"),AND(J365="-",M365="")),"Por revisar",
IF(M365="",IF(J365="NUEVAS",CONCATENATE("Estado: ",O365,", ",J365),
IF(L365=Meses!$A$3,"Por revisar",
IF(H365="","Sin registro","En programación Frcst."))),"En programación")))),
"Error")</f>
        <v>Por revisar</v>
      </c>
      <c r="Q365" s="9" t="str">
        <f t="shared" si="15"/>
        <v>programación de act. NO, estado: Facturando, Comercializador: ENEL, Etapa: Instalado y Activado</v>
      </c>
      <c r="R365" s="25" t="str">
        <f>IF(P365="En programación Frcst.",VLOOKUP(L365,Meses!$A$1:$H$14,3+HLOOKUP(Cronograma!J365,Meses!$D$1:$G$2,2,FALSE),FALSE),
IF(P365="En programación",M365,""))</f>
        <v/>
      </c>
      <c r="S365" s="25" t="str">
        <f t="shared" si="17"/>
        <v/>
      </c>
      <c r="T365" s="21" t="str">
        <f>IFERROR(
(VLOOKUP(MONTH(R365),Meses!$B$3:$C$14,2,FALSE)-DAY(R365))/VLOOKUP(MONTH(R365),Meses!$B$3:$C$14,2,FALSE)*U365,
"")</f>
        <v/>
      </c>
      <c r="U365" s="22">
        <f t="shared" si="16"/>
        <v>1041</v>
      </c>
    </row>
    <row r="366" spans="1:21" ht="32.4" hidden="1" thickBot="1" x14ac:dyDescent="0.6">
      <c r="A366" s="10" t="s">
        <v>457</v>
      </c>
      <c r="B366" s="10" t="s">
        <v>496</v>
      </c>
      <c r="C366" s="12">
        <v>45050</v>
      </c>
      <c r="D366" s="10" t="s">
        <v>14</v>
      </c>
      <c r="E366" s="10" t="s">
        <v>14</v>
      </c>
      <c r="F366" s="10">
        <v>247</v>
      </c>
      <c r="G366" s="10" t="s">
        <v>15</v>
      </c>
      <c r="H366" s="10" t="s">
        <v>17</v>
      </c>
      <c r="I366" s="10" t="s">
        <v>18</v>
      </c>
      <c r="J366" s="10" t="s">
        <v>19</v>
      </c>
      <c r="K366" s="10" t="s">
        <v>19</v>
      </c>
      <c r="L366" s="10" t="s">
        <v>19</v>
      </c>
      <c r="M366" s="12"/>
      <c r="N366" s="10" t="s">
        <v>20</v>
      </c>
      <c r="O366" s="10" t="s">
        <v>2054</v>
      </c>
      <c r="P366" s="25" t="str">
        <f>IFERROR(
IF(OR(O366="anulado",O366="stand by"),CONCATENATE(O366,": ",H366),
IF(OR(YEAR(M366)=2022,YEAR(M366)=2023),CONCATENATE("Se activó en ",YEAR(M366)),
IF(AND(OR(O366="En proceso",O366="facturando"),AND(J366="-",M366="")),"Por revisar",
IF(M366="",IF(J366="NUEVAS",CONCATENATE("Estado: ",O366,", ",J366),
IF(L366=Meses!$A$3,"Por revisar",
IF(H366="","Sin registro","En programación Frcst."))),"En programación")))),
"Error")</f>
        <v>Por revisar</v>
      </c>
      <c r="Q366" s="9" t="str">
        <f t="shared" si="15"/>
        <v>programación de act. NO, estado: Facturando, Comercializador: ENEL, Etapa: Instalado y Activado</v>
      </c>
      <c r="R366" s="25" t="str">
        <f>IF(P366="En programación Frcst.",VLOOKUP(L366,Meses!$A$1:$H$14,3+HLOOKUP(Cronograma!J366,Meses!$D$1:$G$2,2,FALSE),FALSE),
IF(P366="En programación",M366,""))</f>
        <v/>
      </c>
      <c r="S366" s="25" t="str">
        <f t="shared" si="17"/>
        <v/>
      </c>
      <c r="T366" s="21" t="str">
        <f>IFERROR(
(VLOOKUP(MONTH(R366),Meses!$B$3:$C$14,2,FALSE)-DAY(R366))/VLOOKUP(MONTH(R366),Meses!$B$3:$C$14,2,FALSE)*U366,
"")</f>
        <v/>
      </c>
      <c r="U366" s="22">
        <f t="shared" si="16"/>
        <v>247</v>
      </c>
    </row>
    <row r="367" spans="1:21" ht="32.4" hidden="1" thickBot="1" x14ac:dyDescent="0.6">
      <c r="A367" s="10" t="s">
        <v>457</v>
      </c>
      <c r="B367" s="10" t="s">
        <v>497</v>
      </c>
      <c r="C367" s="12">
        <v>45043</v>
      </c>
      <c r="D367" s="10" t="s">
        <v>14</v>
      </c>
      <c r="E367" s="10" t="s">
        <v>14</v>
      </c>
      <c r="F367" s="10">
        <v>1894</v>
      </c>
      <c r="G367" s="10" t="s">
        <v>15</v>
      </c>
      <c r="H367" s="10" t="s">
        <v>17</v>
      </c>
      <c r="I367" s="10" t="s">
        <v>18</v>
      </c>
      <c r="J367" s="10" t="s">
        <v>19</v>
      </c>
      <c r="K367" s="10" t="s">
        <v>19</v>
      </c>
      <c r="L367" s="10" t="s">
        <v>19</v>
      </c>
      <c r="M367" s="12"/>
      <c r="N367" s="10" t="s">
        <v>20</v>
      </c>
      <c r="O367" s="10" t="s">
        <v>2054</v>
      </c>
      <c r="P367" s="25" t="str">
        <f>IFERROR(
IF(OR(O367="anulado",O367="stand by"),CONCATENATE(O367,": ",H367),
IF(OR(YEAR(M367)=2022,YEAR(M367)=2023),CONCATENATE("Se activó en ",YEAR(M367)),
IF(AND(OR(O367="En proceso",O367="facturando"),AND(J367="-",M367="")),"Por revisar",
IF(M367="",IF(J367="NUEVAS",CONCATENATE("Estado: ",O367,", ",J367),
IF(L367=Meses!$A$3,"Por revisar",
IF(H367="","Sin registro","En programación Frcst."))),"En programación")))),
"Error")</f>
        <v>Por revisar</v>
      </c>
      <c r="Q367" s="9" t="str">
        <f t="shared" si="15"/>
        <v>programación de act. NO, estado: Facturando, Comercializador: ENEL, Etapa: Instalado y Activado</v>
      </c>
      <c r="R367" s="25" t="str">
        <f>IF(P367="En programación Frcst.",VLOOKUP(L367,Meses!$A$1:$H$14,3+HLOOKUP(Cronograma!J367,Meses!$D$1:$G$2,2,FALSE),FALSE),
IF(P367="En programación",M367,""))</f>
        <v/>
      </c>
      <c r="S367" s="25" t="str">
        <f t="shared" si="17"/>
        <v/>
      </c>
      <c r="T367" s="21" t="str">
        <f>IFERROR(
(VLOOKUP(MONTH(R367),Meses!$B$3:$C$14,2,FALSE)-DAY(R367))/VLOOKUP(MONTH(R367),Meses!$B$3:$C$14,2,FALSE)*U367,
"")</f>
        <v/>
      </c>
      <c r="U367" s="22">
        <f t="shared" si="16"/>
        <v>1894</v>
      </c>
    </row>
    <row r="368" spans="1:21" ht="32.4" hidden="1" thickBot="1" x14ac:dyDescent="0.6">
      <c r="A368" s="10" t="s">
        <v>457</v>
      </c>
      <c r="B368" s="10" t="s">
        <v>498</v>
      </c>
      <c r="C368" s="12">
        <v>45043</v>
      </c>
      <c r="D368" s="10" t="s">
        <v>14</v>
      </c>
      <c r="E368" s="10" t="s">
        <v>14</v>
      </c>
      <c r="F368" s="10">
        <v>2991</v>
      </c>
      <c r="G368" s="10" t="s">
        <v>15</v>
      </c>
      <c r="H368" s="10" t="s">
        <v>17</v>
      </c>
      <c r="I368" s="10" t="s">
        <v>18</v>
      </c>
      <c r="J368" s="10" t="s">
        <v>19</v>
      </c>
      <c r="K368" s="10" t="s">
        <v>19</v>
      </c>
      <c r="L368" s="10" t="s">
        <v>19</v>
      </c>
      <c r="M368" s="12"/>
      <c r="N368" s="10" t="s">
        <v>20</v>
      </c>
      <c r="O368" s="10" t="s">
        <v>2054</v>
      </c>
      <c r="P368" s="25" t="str">
        <f>IFERROR(
IF(OR(O368="anulado",O368="stand by"),CONCATENATE(O368,": ",H368),
IF(OR(YEAR(M368)=2022,YEAR(M368)=2023),CONCATENATE("Se activó en ",YEAR(M368)),
IF(AND(OR(O368="En proceso",O368="facturando"),AND(J368="-",M368="")),"Por revisar",
IF(M368="",IF(J368="NUEVAS",CONCATENATE("Estado: ",O368,", ",J368),
IF(L368=Meses!$A$3,"Por revisar",
IF(H368="","Sin registro","En programación Frcst."))),"En programación")))),
"Error")</f>
        <v>Por revisar</v>
      </c>
      <c r="Q368" s="9" t="str">
        <f t="shared" si="15"/>
        <v>programación de act. NO, estado: Facturando, Comercializador: ENEL, Etapa: Instalado y Activado</v>
      </c>
      <c r="R368" s="25" t="str">
        <f>IF(P368="En programación Frcst.",VLOOKUP(L368,Meses!$A$1:$H$14,3+HLOOKUP(Cronograma!J368,Meses!$D$1:$G$2,2,FALSE),FALSE),
IF(P368="En programación",M368,""))</f>
        <v/>
      </c>
      <c r="S368" s="25" t="str">
        <f t="shared" si="17"/>
        <v/>
      </c>
      <c r="T368" s="21" t="str">
        <f>IFERROR(
(VLOOKUP(MONTH(R368),Meses!$B$3:$C$14,2,FALSE)-DAY(R368))/VLOOKUP(MONTH(R368),Meses!$B$3:$C$14,2,FALSE)*U368,
"")</f>
        <v/>
      </c>
      <c r="U368" s="22">
        <f t="shared" si="16"/>
        <v>2991</v>
      </c>
    </row>
    <row r="369" spans="1:21" ht="32.4" hidden="1" thickBot="1" x14ac:dyDescent="0.6">
      <c r="A369" s="10" t="s">
        <v>457</v>
      </c>
      <c r="B369" s="10" t="s">
        <v>499</v>
      </c>
      <c r="C369" s="12">
        <v>45043</v>
      </c>
      <c r="D369" s="10" t="s">
        <v>14</v>
      </c>
      <c r="E369" s="10" t="s">
        <v>14</v>
      </c>
      <c r="F369" s="10">
        <v>3696</v>
      </c>
      <c r="G369" s="10" t="s">
        <v>15</v>
      </c>
      <c r="H369" s="10" t="s">
        <v>17</v>
      </c>
      <c r="I369" s="10" t="s">
        <v>18</v>
      </c>
      <c r="J369" s="10" t="s">
        <v>19</v>
      </c>
      <c r="K369" s="10" t="s">
        <v>19</v>
      </c>
      <c r="L369" s="10" t="s">
        <v>19</v>
      </c>
      <c r="M369" s="12"/>
      <c r="N369" s="10" t="s">
        <v>20</v>
      </c>
      <c r="O369" s="10" t="s">
        <v>2054</v>
      </c>
      <c r="P369" s="25" t="str">
        <f>IFERROR(
IF(OR(O369="anulado",O369="stand by"),CONCATENATE(O369,": ",H369),
IF(OR(YEAR(M369)=2022,YEAR(M369)=2023),CONCATENATE("Se activó en ",YEAR(M369)),
IF(AND(OR(O369="En proceso",O369="facturando"),AND(J369="-",M369="")),"Por revisar",
IF(M369="",IF(J369="NUEVAS",CONCATENATE("Estado: ",O369,", ",J369),
IF(L369=Meses!$A$3,"Por revisar",
IF(H369="","Sin registro","En programación Frcst."))),"En programación")))),
"Error")</f>
        <v>Por revisar</v>
      </c>
      <c r="Q369" s="9" t="str">
        <f t="shared" si="15"/>
        <v>programación de act. NO, estado: Facturando, Comercializador: ENEL, Etapa: Instalado y Activado</v>
      </c>
      <c r="R369" s="25" t="str">
        <f>IF(P369="En programación Frcst.",VLOOKUP(L369,Meses!$A$1:$H$14,3+HLOOKUP(Cronograma!J369,Meses!$D$1:$G$2,2,FALSE),FALSE),
IF(P369="En programación",M369,""))</f>
        <v/>
      </c>
      <c r="S369" s="25" t="str">
        <f t="shared" si="17"/>
        <v/>
      </c>
      <c r="T369" s="21" t="str">
        <f>IFERROR(
(VLOOKUP(MONTH(R369),Meses!$B$3:$C$14,2,FALSE)-DAY(R369))/VLOOKUP(MONTH(R369),Meses!$B$3:$C$14,2,FALSE)*U369,
"")</f>
        <v/>
      </c>
      <c r="U369" s="22">
        <f t="shared" si="16"/>
        <v>3696</v>
      </c>
    </row>
    <row r="370" spans="1:21" ht="32.4" hidden="1" thickBot="1" x14ac:dyDescent="0.6">
      <c r="A370" s="10" t="s">
        <v>457</v>
      </c>
      <c r="B370" s="10" t="s">
        <v>500</v>
      </c>
      <c r="C370" s="12">
        <v>45043</v>
      </c>
      <c r="D370" s="10" t="s">
        <v>14</v>
      </c>
      <c r="E370" s="10" t="s">
        <v>14</v>
      </c>
      <c r="F370" s="10">
        <v>2400</v>
      </c>
      <c r="G370" s="10" t="s">
        <v>15</v>
      </c>
      <c r="H370" s="10" t="s">
        <v>17</v>
      </c>
      <c r="I370" s="10" t="s">
        <v>18</v>
      </c>
      <c r="J370" s="10" t="s">
        <v>19</v>
      </c>
      <c r="K370" s="10" t="s">
        <v>19</v>
      </c>
      <c r="L370" s="10" t="s">
        <v>19</v>
      </c>
      <c r="M370" s="12"/>
      <c r="N370" s="10" t="s">
        <v>20</v>
      </c>
      <c r="O370" s="10" t="s">
        <v>2054</v>
      </c>
      <c r="P370" s="25" t="str">
        <f>IFERROR(
IF(OR(O370="anulado",O370="stand by"),CONCATENATE(O370,": ",H370),
IF(OR(YEAR(M370)=2022,YEAR(M370)=2023),CONCATENATE("Se activó en ",YEAR(M370)),
IF(AND(OR(O370="En proceso",O370="facturando"),AND(J370="-",M370="")),"Por revisar",
IF(M370="",IF(J370="NUEVAS",CONCATENATE("Estado: ",O370,", ",J370),
IF(L370=Meses!$A$3,"Por revisar",
IF(H370="","Sin registro","En programación Frcst."))),"En programación")))),
"Error")</f>
        <v>Por revisar</v>
      </c>
      <c r="Q370" s="9" t="str">
        <f t="shared" si="15"/>
        <v>programación de act. NO, estado: Facturando, Comercializador: ENEL, Etapa: Instalado y Activado</v>
      </c>
      <c r="R370" s="25" t="str">
        <f>IF(P370="En programación Frcst.",VLOOKUP(L370,Meses!$A$1:$H$14,3+HLOOKUP(Cronograma!J370,Meses!$D$1:$G$2,2,FALSE),FALSE),
IF(P370="En programación",M370,""))</f>
        <v/>
      </c>
      <c r="S370" s="25" t="str">
        <f t="shared" si="17"/>
        <v/>
      </c>
      <c r="T370" s="21" t="str">
        <f>IFERROR(
(VLOOKUP(MONTH(R370),Meses!$B$3:$C$14,2,FALSE)-DAY(R370))/VLOOKUP(MONTH(R370),Meses!$B$3:$C$14,2,FALSE)*U370,
"")</f>
        <v/>
      </c>
      <c r="U370" s="22">
        <f t="shared" si="16"/>
        <v>2400</v>
      </c>
    </row>
    <row r="371" spans="1:21" ht="32.4" hidden="1" thickBot="1" x14ac:dyDescent="0.6">
      <c r="A371" s="10" t="s">
        <v>457</v>
      </c>
      <c r="B371" s="10" t="s">
        <v>501</v>
      </c>
      <c r="C371" s="12">
        <v>45043</v>
      </c>
      <c r="D371" s="10" t="s">
        <v>14</v>
      </c>
      <c r="E371" s="10" t="s">
        <v>14</v>
      </c>
      <c r="F371" s="10">
        <v>1632</v>
      </c>
      <c r="G371" s="10" t="s">
        <v>15</v>
      </c>
      <c r="H371" s="10" t="s">
        <v>17</v>
      </c>
      <c r="I371" s="10" t="s">
        <v>18</v>
      </c>
      <c r="J371" s="10" t="s">
        <v>19</v>
      </c>
      <c r="K371" s="10" t="s">
        <v>19</v>
      </c>
      <c r="L371" s="10" t="s">
        <v>19</v>
      </c>
      <c r="M371" s="12"/>
      <c r="N371" s="10" t="s">
        <v>20</v>
      </c>
      <c r="O371" s="10" t="s">
        <v>2054</v>
      </c>
      <c r="P371" s="25" t="str">
        <f>IFERROR(
IF(OR(O371="anulado",O371="stand by"),CONCATENATE(O371,": ",H371),
IF(OR(YEAR(M371)=2022,YEAR(M371)=2023),CONCATENATE("Se activó en ",YEAR(M371)),
IF(AND(OR(O371="En proceso",O371="facturando"),AND(J371="-",M371="")),"Por revisar",
IF(M371="",IF(J371="NUEVAS",CONCATENATE("Estado: ",O371,", ",J371),
IF(L371=Meses!$A$3,"Por revisar",
IF(H371="","Sin registro","En programación Frcst."))),"En programación")))),
"Error")</f>
        <v>Por revisar</v>
      </c>
      <c r="Q371" s="9" t="str">
        <f t="shared" si="15"/>
        <v>programación de act. NO, estado: Facturando, Comercializador: ENEL, Etapa: Instalado y Activado</v>
      </c>
      <c r="R371" s="25" t="str">
        <f>IF(P371="En programación Frcst.",VLOOKUP(L371,Meses!$A$1:$H$14,3+HLOOKUP(Cronograma!J371,Meses!$D$1:$G$2,2,FALSE),FALSE),
IF(P371="En programación",M371,""))</f>
        <v/>
      </c>
      <c r="S371" s="25" t="str">
        <f t="shared" si="17"/>
        <v/>
      </c>
      <c r="T371" s="21" t="str">
        <f>IFERROR(
(VLOOKUP(MONTH(R371),Meses!$B$3:$C$14,2,FALSE)-DAY(R371))/VLOOKUP(MONTH(R371),Meses!$B$3:$C$14,2,FALSE)*U371,
"")</f>
        <v/>
      </c>
      <c r="U371" s="22">
        <f t="shared" si="16"/>
        <v>1632</v>
      </c>
    </row>
    <row r="372" spans="1:21" ht="32.4" hidden="1" thickBot="1" x14ac:dyDescent="0.6">
      <c r="A372" s="10" t="s">
        <v>457</v>
      </c>
      <c r="B372" s="10" t="s">
        <v>502</v>
      </c>
      <c r="C372" s="12">
        <v>45043</v>
      </c>
      <c r="D372" s="10" t="s">
        <v>14</v>
      </c>
      <c r="E372" s="10" t="s">
        <v>14</v>
      </c>
      <c r="F372" s="10">
        <v>1344</v>
      </c>
      <c r="G372" s="10" t="s">
        <v>15</v>
      </c>
      <c r="H372" s="10" t="s">
        <v>17</v>
      </c>
      <c r="I372" s="10" t="s">
        <v>18</v>
      </c>
      <c r="J372" s="10" t="s">
        <v>19</v>
      </c>
      <c r="K372" s="10" t="s">
        <v>19</v>
      </c>
      <c r="L372" s="10" t="s">
        <v>19</v>
      </c>
      <c r="M372" s="12"/>
      <c r="N372" s="10" t="s">
        <v>20</v>
      </c>
      <c r="O372" s="10" t="s">
        <v>2054</v>
      </c>
      <c r="P372" s="25" t="str">
        <f>IFERROR(
IF(OR(O372="anulado",O372="stand by"),CONCATENATE(O372,": ",H372),
IF(OR(YEAR(M372)=2022,YEAR(M372)=2023),CONCATENATE("Se activó en ",YEAR(M372)),
IF(AND(OR(O372="En proceso",O372="facturando"),AND(J372="-",M372="")),"Por revisar",
IF(M372="",IF(J372="NUEVAS",CONCATENATE("Estado: ",O372,", ",J372),
IF(L372=Meses!$A$3,"Por revisar",
IF(H372="","Sin registro","En programación Frcst."))),"En programación")))),
"Error")</f>
        <v>Por revisar</v>
      </c>
      <c r="Q372" s="9" t="str">
        <f t="shared" si="15"/>
        <v>programación de act. NO, estado: Facturando, Comercializador: ENEL, Etapa: Instalado y Activado</v>
      </c>
      <c r="R372" s="25" t="str">
        <f>IF(P372="En programación Frcst.",VLOOKUP(L372,Meses!$A$1:$H$14,3+HLOOKUP(Cronograma!J372,Meses!$D$1:$G$2,2,FALSE),FALSE),
IF(P372="En programación",M372,""))</f>
        <v/>
      </c>
      <c r="S372" s="25" t="str">
        <f t="shared" si="17"/>
        <v/>
      </c>
      <c r="T372" s="21" t="str">
        <f>IFERROR(
(VLOOKUP(MONTH(R372),Meses!$B$3:$C$14,2,FALSE)-DAY(R372))/VLOOKUP(MONTH(R372),Meses!$B$3:$C$14,2,FALSE)*U372,
"")</f>
        <v/>
      </c>
      <c r="U372" s="22">
        <f t="shared" si="16"/>
        <v>1344</v>
      </c>
    </row>
    <row r="373" spans="1:21" ht="32.4" hidden="1" thickBot="1" x14ac:dyDescent="0.6">
      <c r="A373" s="10" t="s">
        <v>457</v>
      </c>
      <c r="B373" s="10" t="s">
        <v>503</v>
      </c>
      <c r="C373" s="12">
        <v>45043</v>
      </c>
      <c r="D373" s="10" t="s">
        <v>14</v>
      </c>
      <c r="E373" s="10" t="s">
        <v>14</v>
      </c>
      <c r="F373" s="10">
        <v>864</v>
      </c>
      <c r="G373" s="10" t="s">
        <v>15</v>
      </c>
      <c r="H373" s="10" t="s">
        <v>17</v>
      </c>
      <c r="I373" s="10" t="s">
        <v>18</v>
      </c>
      <c r="J373" s="10" t="s">
        <v>19</v>
      </c>
      <c r="K373" s="10" t="s">
        <v>19</v>
      </c>
      <c r="L373" s="10" t="s">
        <v>19</v>
      </c>
      <c r="M373" s="12"/>
      <c r="N373" s="10" t="s">
        <v>20</v>
      </c>
      <c r="O373" s="10" t="s">
        <v>2054</v>
      </c>
      <c r="P373" s="25" t="str">
        <f>IFERROR(
IF(OR(O373="anulado",O373="stand by"),CONCATENATE(O373,": ",H373),
IF(OR(YEAR(M373)=2022,YEAR(M373)=2023),CONCATENATE("Se activó en ",YEAR(M373)),
IF(AND(OR(O373="En proceso",O373="facturando"),AND(J373="-",M373="")),"Por revisar",
IF(M373="",IF(J373="NUEVAS",CONCATENATE("Estado: ",O373,", ",J373),
IF(L373=Meses!$A$3,"Por revisar",
IF(H373="","Sin registro","En programación Frcst."))),"En programación")))),
"Error")</f>
        <v>Por revisar</v>
      </c>
      <c r="Q373" s="9" t="str">
        <f t="shared" si="15"/>
        <v>programación de act. NO, estado: Facturando, Comercializador: ENEL, Etapa: Instalado y Activado</v>
      </c>
      <c r="R373" s="25" t="str">
        <f>IF(P373="En programación Frcst.",VLOOKUP(L373,Meses!$A$1:$H$14,3+HLOOKUP(Cronograma!J373,Meses!$D$1:$G$2,2,FALSE),FALSE),
IF(P373="En programación",M373,""))</f>
        <v/>
      </c>
      <c r="S373" s="25" t="str">
        <f t="shared" si="17"/>
        <v/>
      </c>
      <c r="T373" s="21" t="str">
        <f>IFERROR(
(VLOOKUP(MONTH(R373),Meses!$B$3:$C$14,2,FALSE)-DAY(R373))/VLOOKUP(MONTH(R373),Meses!$B$3:$C$14,2,FALSE)*U373,
"")</f>
        <v/>
      </c>
      <c r="U373" s="22">
        <f t="shared" si="16"/>
        <v>864</v>
      </c>
    </row>
    <row r="374" spans="1:21" ht="32.4" hidden="1" thickBot="1" x14ac:dyDescent="0.6">
      <c r="A374" s="10" t="s">
        <v>457</v>
      </c>
      <c r="B374" s="10" t="s">
        <v>504</v>
      </c>
      <c r="C374" s="12">
        <v>45043</v>
      </c>
      <c r="D374" s="10" t="s">
        <v>14</v>
      </c>
      <c r="E374" s="10" t="s">
        <v>14</v>
      </c>
      <c r="F374" s="10">
        <v>288</v>
      </c>
      <c r="G374" s="10" t="s">
        <v>15</v>
      </c>
      <c r="H374" s="10" t="s">
        <v>17</v>
      </c>
      <c r="I374" s="10" t="s">
        <v>18</v>
      </c>
      <c r="J374" s="10" t="s">
        <v>19</v>
      </c>
      <c r="K374" s="10" t="s">
        <v>19</v>
      </c>
      <c r="L374" s="10" t="s">
        <v>19</v>
      </c>
      <c r="M374" s="12"/>
      <c r="N374" s="10" t="s">
        <v>20</v>
      </c>
      <c r="O374" s="10" t="s">
        <v>2054</v>
      </c>
      <c r="P374" s="25" t="str">
        <f>IFERROR(
IF(OR(O374="anulado",O374="stand by"),CONCATENATE(O374,": ",H374),
IF(OR(YEAR(M374)=2022,YEAR(M374)=2023),CONCATENATE("Se activó en ",YEAR(M374)),
IF(AND(OR(O374="En proceso",O374="facturando"),AND(J374="-",M374="")),"Por revisar",
IF(M374="",IF(J374="NUEVAS",CONCATENATE("Estado: ",O374,", ",J374),
IF(L374=Meses!$A$3,"Por revisar",
IF(H374="","Sin registro","En programación Frcst."))),"En programación")))),
"Error")</f>
        <v>Por revisar</v>
      </c>
      <c r="Q374" s="9" t="str">
        <f t="shared" si="15"/>
        <v>programación de act. NO, estado: Facturando, Comercializador: ENEL, Etapa: Instalado y Activado</v>
      </c>
      <c r="R374" s="25" t="str">
        <f>IF(P374="En programación Frcst.",VLOOKUP(L374,Meses!$A$1:$H$14,3+HLOOKUP(Cronograma!J374,Meses!$D$1:$G$2,2,FALSE),FALSE),
IF(P374="En programación",M374,""))</f>
        <v/>
      </c>
      <c r="S374" s="25" t="str">
        <f t="shared" si="17"/>
        <v/>
      </c>
      <c r="T374" s="21" t="str">
        <f>IFERROR(
(VLOOKUP(MONTH(R374),Meses!$B$3:$C$14,2,FALSE)-DAY(R374))/VLOOKUP(MONTH(R374),Meses!$B$3:$C$14,2,FALSE)*U374,
"")</f>
        <v/>
      </c>
      <c r="U374" s="22">
        <f t="shared" si="16"/>
        <v>288</v>
      </c>
    </row>
    <row r="375" spans="1:21" ht="32.4" hidden="1" thickBot="1" x14ac:dyDescent="0.6">
      <c r="A375" s="10" t="s">
        <v>457</v>
      </c>
      <c r="B375" s="10" t="s">
        <v>505</v>
      </c>
      <c r="C375" s="12">
        <v>45043</v>
      </c>
      <c r="D375" s="10" t="s">
        <v>14</v>
      </c>
      <c r="E375" s="10" t="s">
        <v>14</v>
      </c>
      <c r="F375" s="10">
        <v>2592</v>
      </c>
      <c r="G375" s="10" t="s">
        <v>15</v>
      </c>
      <c r="H375" s="10" t="s">
        <v>17</v>
      </c>
      <c r="I375" s="10" t="s">
        <v>18</v>
      </c>
      <c r="J375" s="10" t="s">
        <v>19</v>
      </c>
      <c r="K375" s="10" t="s">
        <v>19</v>
      </c>
      <c r="L375" s="10" t="s">
        <v>19</v>
      </c>
      <c r="M375" s="12"/>
      <c r="N375" s="10" t="s">
        <v>20</v>
      </c>
      <c r="O375" s="10" t="s">
        <v>2054</v>
      </c>
      <c r="P375" s="25" t="str">
        <f>IFERROR(
IF(OR(O375="anulado",O375="stand by"),CONCATENATE(O375,": ",H375),
IF(OR(YEAR(M375)=2022,YEAR(M375)=2023),CONCATENATE("Se activó en ",YEAR(M375)),
IF(AND(OR(O375="En proceso",O375="facturando"),AND(J375="-",M375="")),"Por revisar",
IF(M375="",IF(J375="NUEVAS",CONCATENATE("Estado: ",O375,", ",J375),
IF(L375=Meses!$A$3,"Por revisar",
IF(H375="","Sin registro","En programación Frcst."))),"En programación")))),
"Error")</f>
        <v>Por revisar</v>
      </c>
      <c r="Q375" s="9" t="str">
        <f t="shared" si="15"/>
        <v>programación de act. NO, estado: Facturando, Comercializador: ENEL, Etapa: Instalado y Activado</v>
      </c>
      <c r="R375" s="25" t="str">
        <f>IF(P375="En programación Frcst.",VLOOKUP(L375,Meses!$A$1:$H$14,3+HLOOKUP(Cronograma!J375,Meses!$D$1:$G$2,2,FALSE),FALSE),
IF(P375="En programación",M375,""))</f>
        <v/>
      </c>
      <c r="S375" s="25" t="str">
        <f t="shared" si="17"/>
        <v/>
      </c>
      <c r="T375" s="21" t="str">
        <f>IFERROR(
(VLOOKUP(MONTH(R375),Meses!$B$3:$C$14,2,FALSE)-DAY(R375))/VLOOKUP(MONTH(R375),Meses!$B$3:$C$14,2,FALSE)*U375,
"")</f>
        <v/>
      </c>
      <c r="U375" s="22">
        <f t="shared" si="16"/>
        <v>2592</v>
      </c>
    </row>
    <row r="376" spans="1:21" ht="32.4" hidden="1" thickBot="1" x14ac:dyDescent="0.6">
      <c r="A376" s="10" t="s">
        <v>457</v>
      </c>
      <c r="B376" s="10" t="s">
        <v>506</v>
      </c>
      <c r="C376" s="12">
        <v>45043</v>
      </c>
      <c r="D376" s="10" t="s">
        <v>14</v>
      </c>
      <c r="E376" s="10" t="s">
        <v>14</v>
      </c>
      <c r="F376" s="10">
        <v>3213</v>
      </c>
      <c r="G376" s="10" t="s">
        <v>15</v>
      </c>
      <c r="H376" s="10" t="s">
        <v>17</v>
      </c>
      <c r="I376" s="10" t="s">
        <v>18</v>
      </c>
      <c r="J376" s="10" t="s">
        <v>19</v>
      </c>
      <c r="K376" s="10" t="s">
        <v>19</v>
      </c>
      <c r="L376" s="10" t="s">
        <v>19</v>
      </c>
      <c r="M376" s="12"/>
      <c r="N376" s="10" t="s">
        <v>20</v>
      </c>
      <c r="O376" s="10" t="s">
        <v>2054</v>
      </c>
      <c r="P376" s="25" t="str">
        <f>IFERROR(
IF(OR(O376="anulado",O376="stand by"),CONCATENATE(O376,": ",H376),
IF(OR(YEAR(M376)=2022,YEAR(M376)=2023),CONCATENATE("Se activó en ",YEAR(M376)),
IF(AND(OR(O376="En proceso",O376="facturando"),AND(J376="-",M376="")),"Por revisar",
IF(M376="",IF(J376="NUEVAS",CONCATENATE("Estado: ",O376,", ",J376),
IF(L376=Meses!$A$3,"Por revisar",
IF(H376="","Sin registro","En programación Frcst."))),"En programación")))),
"Error")</f>
        <v>Por revisar</v>
      </c>
      <c r="Q376" s="9" t="str">
        <f t="shared" si="15"/>
        <v>programación de act. NO, estado: Facturando, Comercializador: ENEL, Etapa: Instalado y Activado</v>
      </c>
      <c r="R376" s="25" t="str">
        <f>IF(P376="En programación Frcst.",VLOOKUP(L376,Meses!$A$1:$H$14,3+HLOOKUP(Cronograma!J376,Meses!$D$1:$G$2,2,FALSE),FALSE),
IF(P376="En programación",M376,""))</f>
        <v/>
      </c>
      <c r="S376" s="25" t="str">
        <f t="shared" si="17"/>
        <v/>
      </c>
      <c r="T376" s="21" t="str">
        <f>IFERROR(
(VLOOKUP(MONTH(R376),Meses!$B$3:$C$14,2,FALSE)-DAY(R376))/VLOOKUP(MONTH(R376),Meses!$B$3:$C$14,2,FALSE)*U376,
"")</f>
        <v/>
      </c>
      <c r="U376" s="22">
        <f t="shared" si="16"/>
        <v>3213</v>
      </c>
    </row>
    <row r="377" spans="1:21" ht="32.4" hidden="1" thickBot="1" x14ac:dyDescent="0.6">
      <c r="A377" s="10" t="s">
        <v>457</v>
      </c>
      <c r="B377" s="10" t="s">
        <v>507</v>
      </c>
      <c r="C377" s="12">
        <v>45043</v>
      </c>
      <c r="D377" s="10" t="s">
        <v>14</v>
      </c>
      <c r="E377" s="10" t="s">
        <v>14</v>
      </c>
      <c r="F377" s="10">
        <v>432</v>
      </c>
      <c r="G377" s="10" t="s">
        <v>15</v>
      </c>
      <c r="H377" s="10" t="s">
        <v>17</v>
      </c>
      <c r="I377" s="10" t="s">
        <v>18</v>
      </c>
      <c r="J377" s="10" t="s">
        <v>19</v>
      </c>
      <c r="K377" s="10" t="s">
        <v>19</v>
      </c>
      <c r="L377" s="10" t="s">
        <v>19</v>
      </c>
      <c r="M377" s="12"/>
      <c r="N377" s="10" t="s">
        <v>20</v>
      </c>
      <c r="O377" s="10" t="s">
        <v>2054</v>
      </c>
      <c r="P377" s="25" t="str">
        <f>IFERROR(
IF(OR(O377="anulado",O377="stand by"),CONCATENATE(O377,": ",H377),
IF(OR(YEAR(M377)=2022,YEAR(M377)=2023),CONCATENATE("Se activó en ",YEAR(M377)),
IF(AND(OR(O377="En proceso",O377="facturando"),AND(J377="-",M377="")),"Por revisar",
IF(M377="",IF(J377="NUEVAS",CONCATENATE("Estado: ",O377,", ",J377),
IF(L377=Meses!$A$3,"Por revisar",
IF(H377="","Sin registro","En programación Frcst."))),"En programación")))),
"Error")</f>
        <v>Por revisar</v>
      </c>
      <c r="Q377" s="9" t="str">
        <f t="shared" si="15"/>
        <v>programación de act. NO, estado: Facturando, Comercializador: ENEL, Etapa: Instalado y Activado</v>
      </c>
      <c r="R377" s="25" t="str">
        <f>IF(P377="En programación Frcst.",VLOOKUP(L377,Meses!$A$1:$H$14,3+HLOOKUP(Cronograma!J377,Meses!$D$1:$G$2,2,FALSE),FALSE),
IF(P377="En programación",M377,""))</f>
        <v/>
      </c>
      <c r="S377" s="25" t="str">
        <f t="shared" si="17"/>
        <v/>
      </c>
      <c r="T377" s="21" t="str">
        <f>IFERROR(
(VLOOKUP(MONTH(R377),Meses!$B$3:$C$14,2,FALSE)-DAY(R377))/VLOOKUP(MONTH(R377),Meses!$B$3:$C$14,2,FALSE)*U377,
"")</f>
        <v/>
      </c>
      <c r="U377" s="22">
        <f t="shared" si="16"/>
        <v>432</v>
      </c>
    </row>
    <row r="378" spans="1:21" ht="32.4" hidden="1" thickBot="1" x14ac:dyDescent="0.6">
      <c r="A378" s="10" t="s">
        <v>457</v>
      </c>
      <c r="B378" s="10" t="s">
        <v>508</v>
      </c>
      <c r="C378" s="12">
        <v>45043</v>
      </c>
      <c r="D378" s="10" t="s">
        <v>14</v>
      </c>
      <c r="E378" s="10" t="s">
        <v>14</v>
      </c>
      <c r="F378" s="10">
        <v>166</v>
      </c>
      <c r="G378" s="10" t="s">
        <v>15</v>
      </c>
      <c r="H378" s="10" t="s">
        <v>17</v>
      </c>
      <c r="I378" s="10" t="s">
        <v>18</v>
      </c>
      <c r="J378" s="10" t="s">
        <v>19</v>
      </c>
      <c r="K378" s="10" t="s">
        <v>19</v>
      </c>
      <c r="L378" s="10" t="s">
        <v>19</v>
      </c>
      <c r="M378" s="12"/>
      <c r="N378" s="10" t="s">
        <v>20</v>
      </c>
      <c r="O378" s="10" t="s">
        <v>2054</v>
      </c>
      <c r="P378" s="25" t="str">
        <f>IFERROR(
IF(OR(O378="anulado",O378="stand by"),CONCATENATE(O378,": ",H378),
IF(OR(YEAR(M378)=2022,YEAR(M378)=2023),CONCATENATE("Se activó en ",YEAR(M378)),
IF(AND(OR(O378="En proceso",O378="facturando"),AND(J378="-",M378="")),"Por revisar",
IF(M378="",IF(J378="NUEVAS",CONCATENATE("Estado: ",O378,", ",J378),
IF(L378=Meses!$A$3,"Por revisar",
IF(H378="","Sin registro","En programación Frcst."))),"En programación")))),
"Error")</f>
        <v>Por revisar</v>
      </c>
      <c r="Q378" s="9" t="str">
        <f t="shared" si="15"/>
        <v>programación de act. NO, estado: Facturando, Comercializador: ENEL, Etapa: Instalado y Activado</v>
      </c>
      <c r="R378" s="25" t="str">
        <f>IF(P378="En programación Frcst.",VLOOKUP(L378,Meses!$A$1:$H$14,3+HLOOKUP(Cronograma!J378,Meses!$D$1:$G$2,2,FALSE),FALSE),
IF(P378="En programación",M378,""))</f>
        <v/>
      </c>
      <c r="S378" s="25" t="str">
        <f t="shared" si="17"/>
        <v/>
      </c>
      <c r="T378" s="21" t="str">
        <f>IFERROR(
(VLOOKUP(MONTH(R378),Meses!$B$3:$C$14,2,FALSE)-DAY(R378))/VLOOKUP(MONTH(R378),Meses!$B$3:$C$14,2,FALSE)*U378,
"")</f>
        <v/>
      </c>
      <c r="U378" s="22">
        <f t="shared" si="16"/>
        <v>166</v>
      </c>
    </row>
    <row r="379" spans="1:21" ht="32.4" hidden="1" thickBot="1" x14ac:dyDescent="0.6">
      <c r="A379" s="10" t="s">
        <v>457</v>
      </c>
      <c r="B379" s="10" t="s">
        <v>509</v>
      </c>
      <c r="C379" s="12">
        <v>45043</v>
      </c>
      <c r="D379" s="10" t="s">
        <v>14</v>
      </c>
      <c r="E379" s="10" t="s">
        <v>14</v>
      </c>
      <c r="F379" s="10">
        <v>115</v>
      </c>
      <c r="G379" s="10" t="s">
        <v>15</v>
      </c>
      <c r="H379" s="10" t="s">
        <v>17</v>
      </c>
      <c r="I379" s="10" t="s">
        <v>18</v>
      </c>
      <c r="J379" s="10" t="s">
        <v>19</v>
      </c>
      <c r="K379" s="10" t="s">
        <v>19</v>
      </c>
      <c r="L379" s="10" t="s">
        <v>19</v>
      </c>
      <c r="M379" s="12"/>
      <c r="N379" s="10" t="s">
        <v>20</v>
      </c>
      <c r="O379" s="10" t="s">
        <v>2054</v>
      </c>
      <c r="P379" s="25" t="str">
        <f>IFERROR(
IF(OR(O379="anulado",O379="stand by"),CONCATENATE(O379,": ",H379),
IF(OR(YEAR(M379)=2022,YEAR(M379)=2023),CONCATENATE("Se activó en ",YEAR(M379)),
IF(AND(OR(O379="En proceso",O379="facturando"),AND(J379="-",M379="")),"Por revisar",
IF(M379="",IF(J379="NUEVAS",CONCATENATE("Estado: ",O379,", ",J379),
IF(L379=Meses!$A$3,"Por revisar",
IF(H379="","Sin registro","En programación Frcst."))),"En programación")))),
"Error")</f>
        <v>Por revisar</v>
      </c>
      <c r="Q379" s="9" t="str">
        <f t="shared" si="15"/>
        <v>programación de act. NO, estado: Facturando, Comercializador: ENEL, Etapa: Instalado y Activado</v>
      </c>
      <c r="R379" s="25" t="str">
        <f>IF(P379="En programación Frcst.",VLOOKUP(L379,Meses!$A$1:$H$14,3+HLOOKUP(Cronograma!J379,Meses!$D$1:$G$2,2,FALSE),FALSE),
IF(P379="En programación",M379,""))</f>
        <v/>
      </c>
      <c r="S379" s="25" t="str">
        <f t="shared" si="17"/>
        <v/>
      </c>
      <c r="T379" s="21" t="str">
        <f>IFERROR(
(VLOOKUP(MONTH(R379),Meses!$B$3:$C$14,2,FALSE)-DAY(R379))/VLOOKUP(MONTH(R379),Meses!$B$3:$C$14,2,FALSE)*U379,
"")</f>
        <v/>
      </c>
      <c r="U379" s="22">
        <f t="shared" si="16"/>
        <v>115</v>
      </c>
    </row>
    <row r="380" spans="1:21" ht="32.4" hidden="1" thickBot="1" x14ac:dyDescent="0.6">
      <c r="A380" s="10" t="s">
        <v>457</v>
      </c>
      <c r="B380" s="10" t="s">
        <v>510</v>
      </c>
      <c r="C380" s="12">
        <v>45043</v>
      </c>
      <c r="D380" s="10" t="s">
        <v>14</v>
      </c>
      <c r="E380" s="10" t="s">
        <v>14</v>
      </c>
      <c r="F380" s="10">
        <v>198</v>
      </c>
      <c r="G380" s="10" t="s">
        <v>15</v>
      </c>
      <c r="H380" s="10" t="s">
        <v>17</v>
      </c>
      <c r="I380" s="10" t="s">
        <v>18</v>
      </c>
      <c r="J380" s="10" t="s">
        <v>19</v>
      </c>
      <c r="K380" s="10" t="s">
        <v>19</v>
      </c>
      <c r="L380" s="10" t="s">
        <v>19</v>
      </c>
      <c r="M380" s="12"/>
      <c r="N380" s="10" t="s">
        <v>20</v>
      </c>
      <c r="O380" s="10" t="s">
        <v>2054</v>
      </c>
      <c r="P380" s="25" t="str">
        <f>IFERROR(
IF(OR(O380="anulado",O380="stand by"),CONCATENATE(O380,": ",H380),
IF(OR(YEAR(M380)=2022,YEAR(M380)=2023),CONCATENATE("Se activó en ",YEAR(M380)),
IF(AND(OR(O380="En proceso",O380="facturando"),AND(J380="-",M380="")),"Por revisar",
IF(M380="",IF(J380="NUEVAS",CONCATENATE("Estado: ",O380,", ",J380),
IF(L380=Meses!$A$3,"Por revisar",
IF(H380="","Sin registro","En programación Frcst."))),"En programación")))),
"Error")</f>
        <v>Por revisar</v>
      </c>
      <c r="Q380" s="9" t="str">
        <f t="shared" si="15"/>
        <v>programación de act. NO, estado: Facturando, Comercializador: ENEL, Etapa: Instalado y Activado</v>
      </c>
      <c r="R380" s="25" t="str">
        <f>IF(P380="En programación Frcst.",VLOOKUP(L380,Meses!$A$1:$H$14,3+HLOOKUP(Cronograma!J380,Meses!$D$1:$G$2,2,FALSE),FALSE),
IF(P380="En programación",M380,""))</f>
        <v/>
      </c>
      <c r="S380" s="25" t="str">
        <f t="shared" si="17"/>
        <v/>
      </c>
      <c r="T380" s="21" t="str">
        <f>IFERROR(
(VLOOKUP(MONTH(R380),Meses!$B$3:$C$14,2,FALSE)-DAY(R380))/VLOOKUP(MONTH(R380),Meses!$B$3:$C$14,2,FALSE)*U380,
"")</f>
        <v/>
      </c>
      <c r="U380" s="22">
        <f t="shared" si="16"/>
        <v>198</v>
      </c>
    </row>
    <row r="381" spans="1:21" ht="32.4" hidden="1" thickBot="1" x14ac:dyDescent="0.6">
      <c r="A381" s="10" t="s">
        <v>457</v>
      </c>
      <c r="B381" s="10" t="s">
        <v>511</v>
      </c>
      <c r="C381" s="12">
        <v>45043</v>
      </c>
      <c r="D381" s="10" t="s">
        <v>14</v>
      </c>
      <c r="E381" s="10" t="s">
        <v>14</v>
      </c>
      <c r="F381" s="10">
        <v>2950</v>
      </c>
      <c r="G381" s="10" t="s">
        <v>15</v>
      </c>
      <c r="H381" s="10" t="s">
        <v>17</v>
      </c>
      <c r="I381" s="10" t="s">
        <v>18</v>
      </c>
      <c r="J381" s="10" t="s">
        <v>19</v>
      </c>
      <c r="K381" s="10" t="s">
        <v>19</v>
      </c>
      <c r="L381" s="10" t="s">
        <v>19</v>
      </c>
      <c r="M381" s="12"/>
      <c r="N381" s="10" t="s">
        <v>20</v>
      </c>
      <c r="O381" s="10" t="s">
        <v>2054</v>
      </c>
      <c r="P381" s="25" t="str">
        <f>IFERROR(
IF(OR(O381="anulado",O381="stand by"),CONCATENATE(O381,": ",H381),
IF(OR(YEAR(M381)=2022,YEAR(M381)=2023),CONCATENATE("Se activó en ",YEAR(M381)),
IF(AND(OR(O381="En proceso",O381="facturando"),AND(J381="-",M381="")),"Por revisar",
IF(M381="",IF(J381="NUEVAS",CONCATENATE("Estado: ",O381,", ",J381),
IF(L381=Meses!$A$3,"Por revisar",
IF(H381="","Sin registro","En programación Frcst."))),"En programación")))),
"Error")</f>
        <v>Por revisar</v>
      </c>
      <c r="Q381" s="9" t="str">
        <f t="shared" si="15"/>
        <v>programación de act. NO, estado: Facturando, Comercializador: ENEL, Etapa: Instalado y Activado</v>
      </c>
      <c r="R381" s="25" t="str">
        <f>IF(P381="En programación Frcst.",VLOOKUP(L381,Meses!$A$1:$H$14,3+HLOOKUP(Cronograma!J381,Meses!$D$1:$G$2,2,FALSE),FALSE),
IF(P381="En programación",M381,""))</f>
        <v/>
      </c>
      <c r="S381" s="25" t="str">
        <f t="shared" si="17"/>
        <v/>
      </c>
      <c r="T381" s="21" t="str">
        <f>IFERROR(
(VLOOKUP(MONTH(R381),Meses!$B$3:$C$14,2,FALSE)-DAY(R381))/VLOOKUP(MONTH(R381),Meses!$B$3:$C$14,2,FALSE)*U381,
"")</f>
        <v/>
      </c>
      <c r="U381" s="22">
        <f t="shared" si="16"/>
        <v>2950</v>
      </c>
    </row>
    <row r="382" spans="1:21" ht="32.4" hidden="1" thickBot="1" x14ac:dyDescent="0.6">
      <c r="A382" s="10" t="s">
        <v>457</v>
      </c>
      <c r="B382" s="10" t="s">
        <v>512</v>
      </c>
      <c r="C382" s="12">
        <v>45043</v>
      </c>
      <c r="D382" s="10" t="s">
        <v>14</v>
      </c>
      <c r="E382" s="10" t="s">
        <v>14</v>
      </c>
      <c r="F382" s="10">
        <v>5734</v>
      </c>
      <c r="G382" s="10" t="s">
        <v>15</v>
      </c>
      <c r="H382" s="10" t="s">
        <v>17</v>
      </c>
      <c r="I382" s="10" t="s">
        <v>18</v>
      </c>
      <c r="J382" s="10" t="s">
        <v>19</v>
      </c>
      <c r="K382" s="10" t="s">
        <v>19</v>
      </c>
      <c r="L382" s="10" t="s">
        <v>19</v>
      </c>
      <c r="M382" s="12"/>
      <c r="N382" s="10" t="s">
        <v>20</v>
      </c>
      <c r="O382" s="10" t="s">
        <v>2054</v>
      </c>
      <c r="P382" s="25" t="str">
        <f>IFERROR(
IF(OR(O382="anulado",O382="stand by"),CONCATENATE(O382,": ",H382),
IF(OR(YEAR(M382)=2022,YEAR(M382)=2023),CONCATENATE("Se activó en ",YEAR(M382)),
IF(AND(OR(O382="En proceso",O382="facturando"),AND(J382="-",M382="")),"Por revisar",
IF(M382="",IF(J382="NUEVAS",CONCATENATE("Estado: ",O382,", ",J382),
IF(L382=Meses!$A$3,"Por revisar",
IF(H382="","Sin registro","En programación Frcst."))),"En programación")))),
"Error")</f>
        <v>Por revisar</v>
      </c>
      <c r="Q382" s="9" t="str">
        <f t="shared" si="15"/>
        <v>programación de act. NO, estado: Facturando, Comercializador: ENEL, Etapa: Instalado y Activado</v>
      </c>
      <c r="R382" s="25" t="str">
        <f>IF(P382="En programación Frcst.",VLOOKUP(L382,Meses!$A$1:$H$14,3+HLOOKUP(Cronograma!J382,Meses!$D$1:$G$2,2,FALSE),FALSE),
IF(P382="En programación",M382,""))</f>
        <v/>
      </c>
      <c r="S382" s="25" t="str">
        <f t="shared" si="17"/>
        <v/>
      </c>
      <c r="T382" s="21" t="str">
        <f>IFERROR(
(VLOOKUP(MONTH(R382),Meses!$B$3:$C$14,2,FALSE)-DAY(R382))/VLOOKUP(MONTH(R382),Meses!$B$3:$C$14,2,FALSE)*U382,
"")</f>
        <v/>
      </c>
      <c r="U382" s="22">
        <f t="shared" si="16"/>
        <v>5734</v>
      </c>
    </row>
    <row r="383" spans="1:21" ht="32.4" hidden="1" thickBot="1" x14ac:dyDescent="0.6">
      <c r="A383" s="10" t="s">
        <v>457</v>
      </c>
      <c r="B383" s="10" t="s">
        <v>513</v>
      </c>
      <c r="C383" s="12">
        <v>45043</v>
      </c>
      <c r="D383" s="10" t="s">
        <v>14</v>
      </c>
      <c r="E383" s="10" t="s">
        <v>14</v>
      </c>
      <c r="F383" s="10">
        <v>2326</v>
      </c>
      <c r="G383" s="10" t="s">
        <v>15</v>
      </c>
      <c r="H383" s="10" t="s">
        <v>17</v>
      </c>
      <c r="I383" s="10" t="s">
        <v>18</v>
      </c>
      <c r="J383" s="10" t="s">
        <v>19</v>
      </c>
      <c r="K383" s="10" t="s">
        <v>19</v>
      </c>
      <c r="L383" s="10" t="s">
        <v>19</v>
      </c>
      <c r="M383" s="12"/>
      <c r="N383" s="10" t="s">
        <v>20</v>
      </c>
      <c r="O383" s="10" t="s">
        <v>2054</v>
      </c>
      <c r="P383" s="25" t="str">
        <f>IFERROR(
IF(OR(O383="anulado",O383="stand by"),CONCATENATE(O383,": ",H383),
IF(OR(YEAR(M383)=2022,YEAR(M383)=2023),CONCATENATE("Se activó en ",YEAR(M383)),
IF(AND(OR(O383="En proceso",O383="facturando"),AND(J383="-",M383="")),"Por revisar",
IF(M383="",IF(J383="NUEVAS",CONCATENATE("Estado: ",O383,", ",J383),
IF(L383=Meses!$A$3,"Por revisar",
IF(H383="","Sin registro","En programación Frcst."))),"En programación")))),
"Error")</f>
        <v>Por revisar</v>
      </c>
      <c r="Q383" s="9" t="str">
        <f t="shared" si="15"/>
        <v>programación de act. NO, estado: Facturando, Comercializador: ENEL, Etapa: Instalado y Activado</v>
      </c>
      <c r="R383" s="25" t="str">
        <f>IF(P383="En programación Frcst.",VLOOKUP(L383,Meses!$A$1:$H$14,3+HLOOKUP(Cronograma!J383,Meses!$D$1:$G$2,2,FALSE),FALSE),
IF(P383="En programación",M383,""))</f>
        <v/>
      </c>
      <c r="S383" s="25" t="str">
        <f t="shared" si="17"/>
        <v/>
      </c>
      <c r="T383" s="21" t="str">
        <f>IFERROR(
(VLOOKUP(MONTH(R383),Meses!$B$3:$C$14,2,FALSE)-DAY(R383))/VLOOKUP(MONTH(R383),Meses!$B$3:$C$14,2,FALSE)*U383,
"")</f>
        <v/>
      </c>
      <c r="U383" s="22">
        <f t="shared" si="16"/>
        <v>2326</v>
      </c>
    </row>
    <row r="384" spans="1:21" ht="32.4" hidden="1" thickBot="1" x14ac:dyDescent="0.6">
      <c r="A384" s="10" t="s">
        <v>457</v>
      </c>
      <c r="B384" s="10" t="s">
        <v>514</v>
      </c>
      <c r="C384" s="12">
        <v>45043</v>
      </c>
      <c r="D384" s="10" t="s">
        <v>14</v>
      </c>
      <c r="E384" s="10" t="s">
        <v>14</v>
      </c>
      <c r="F384" s="10">
        <v>3238</v>
      </c>
      <c r="G384" s="10" t="s">
        <v>15</v>
      </c>
      <c r="H384" s="10" t="s">
        <v>17</v>
      </c>
      <c r="I384" s="10" t="s">
        <v>18</v>
      </c>
      <c r="J384" s="10" t="s">
        <v>19</v>
      </c>
      <c r="K384" s="10" t="s">
        <v>19</v>
      </c>
      <c r="L384" s="10" t="s">
        <v>19</v>
      </c>
      <c r="M384" s="12"/>
      <c r="N384" s="10" t="s">
        <v>20</v>
      </c>
      <c r="O384" s="10" t="s">
        <v>2054</v>
      </c>
      <c r="P384" s="25" t="str">
        <f>IFERROR(
IF(OR(O384="anulado",O384="stand by"),CONCATENATE(O384,": ",H384),
IF(OR(YEAR(M384)=2022,YEAR(M384)=2023),CONCATENATE("Se activó en ",YEAR(M384)),
IF(AND(OR(O384="En proceso",O384="facturando"),AND(J384="-",M384="")),"Por revisar",
IF(M384="",IF(J384="NUEVAS",CONCATENATE("Estado: ",O384,", ",J384),
IF(L384=Meses!$A$3,"Por revisar",
IF(H384="","Sin registro","En programación Frcst."))),"En programación")))),
"Error")</f>
        <v>Por revisar</v>
      </c>
      <c r="Q384" s="9" t="str">
        <f t="shared" si="15"/>
        <v>programación de act. NO, estado: Facturando, Comercializador: ENEL, Etapa: Instalado y Activado</v>
      </c>
      <c r="R384" s="25" t="str">
        <f>IF(P384="En programación Frcst.",VLOOKUP(L384,Meses!$A$1:$H$14,3+HLOOKUP(Cronograma!J384,Meses!$D$1:$G$2,2,FALSE),FALSE),
IF(P384="En programación",M384,""))</f>
        <v/>
      </c>
      <c r="S384" s="25" t="str">
        <f t="shared" si="17"/>
        <v/>
      </c>
      <c r="T384" s="21" t="str">
        <f>IFERROR(
(VLOOKUP(MONTH(R384),Meses!$B$3:$C$14,2,FALSE)-DAY(R384))/VLOOKUP(MONTH(R384),Meses!$B$3:$C$14,2,FALSE)*U384,
"")</f>
        <v/>
      </c>
      <c r="U384" s="22">
        <f t="shared" si="16"/>
        <v>3238</v>
      </c>
    </row>
    <row r="385" spans="1:21" ht="32.4" hidden="1" thickBot="1" x14ac:dyDescent="0.6">
      <c r="A385" s="10" t="s">
        <v>457</v>
      </c>
      <c r="B385" s="10" t="s">
        <v>515</v>
      </c>
      <c r="C385" s="12">
        <v>45043</v>
      </c>
      <c r="D385" s="10" t="s">
        <v>14</v>
      </c>
      <c r="E385" s="10" t="s">
        <v>14</v>
      </c>
      <c r="F385" s="10">
        <v>1606</v>
      </c>
      <c r="G385" s="10" t="s">
        <v>15</v>
      </c>
      <c r="H385" s="10" t="s">
        <v>17</v>
      </c>
      <c r="I385" s="10" t="s">
        <v>18</v>
      </c>
      <c r="J385" s="10" t="s">
        <v>19</v>
      </c>
      <c r="K385" s="10" t="s">
        <v>19</v>
      </c>
      <c r="L385" s="10" t="s">
        <v>19</v>
      </c>
      <c r="M385" s="12"/>
      <c r="N385" s="10" t="s">
        <v>20</v>
      </c>
      <c r="O385" s="10" t="s">
        <v>2054</v>
      </c>
      <c r="P385" s="25" t="str">
        <f>IFERROR(
IF(OR(O385="anulado",O385="stand by"),CONCATENATE(O385,": ",H385),
IF(OR(YEAR(M385)=2022,YEAR(M385)=2023),CONCATENATE("Se activó en ",YEAR(M385)),
IF(AND(OR(O385="En proceso",O385="facturando"),AND(J385="-",M385="")),"Por revisar",
IF(M385="",IF(J385="NUEVAS",CONCATENATE("Estado: ",O385,", ",J385),
IF(L385=Meses!$A$3,"Por revisar",
IF(H385="","Sin registro","En programación Frcst."))),"En programación")))),
"Error")</f>
        <v>Por revisar</v>
      </c>
      <c r="Q385" s="9" t="str">
        <f t="shared" si="15"/>
        <v>programación de act. NO, estado: Facturando, Comercializador: ENEL, Etapa: Instalado y Activado</v>
      </c>
      <c r="R385" s="25" t="str">
        <f>IF(P385="En programación Frcst.",VLOOKUP(L385,Meses!$A$1:$H$14,3+HLOOKUP(Cronograma!J385,Meses!$D$1:$G$2,2,FALSE),FALSE),
IF(P385="En programación",M385,""))</f>
        <v/>
      </c>
      <c r="S385" s="25" t="str">
        <f t="shared" si="17"/>
        <v/>
      </c>
      <c r="T385" s="21" t="str">
        <f>IFERROR(
(VLOOKUP(MONTH(R385),Meses!$B$3:$C$14,2,FALSE)-DAY(R385))/VLOOKUP(MONTH(R385),Meses!$B$3:$C$14,2,FALSE)*U385,
"")</f>
        <v/>
      </c>
      <c r="U385" s="22">
        <f t="shared" si="16"/>
        <v>1606</v>
      </c>
    </row>
    <row r="386" spans="1:21" ht="32.4" hidden="1" thickBot="1" x14ac:dyDescent="0.6">
      <c r="A386" s="10" t="s">
        <v>457</v>
      </c>
      <c r="B386" s="10" t="s">
        <v>516</v>
      </c>
      <c r="C386" s="12">
        <v>45043</v>
      </c>
      <c r="D386" s="10" t="s">
        <v>14</v>
      </c>
      <c r="E386" s="10" t="s">
        <v>14</v>
      </c>
      <c r="F386" s="10">
        <v>6334</v>
      </c>
      <c r="G386" s="10" t="s">
        <v>15</v>
      </c>
      <c r="H386" s="10" t="s">
        <v>17</v>
      </c>
      <c r="I386" s="10" t="s">
        <v>18</v>
      </c>
      <c r="J386" s="10" t="s">
        <v>19</v>
      </c>
      <c r="K386" s="10" t="s">
        <v>19</v>
      </c>
      <c r="L386" s="10" t="s">
        <v>19</v>
      </c>
      <c r="M386" s="12"/>
      <c r="N386" s="10" t="s">
        <v>20</v>
      </c>
      <c r="O386" s="10" t="s">
        <v>2054</v>
      </c>
      <c r="P386" s="25" t="str">
        <f>IFERROR(
IF(OR(O386="anulado",O386="stand by"),CONCATENATE(O386,": ",H386),
IF(OR(YEAR(M386)=2022,YEAR(M386)=2023),CONCATENATE("Se activó en ",YEAR(M386)),
IF(AND(OR(O386="En proceso",O386="facturando"),AND(J386="-",M386="")),"Por revisar",
IF(M386="",IF(J386="NUEVAS",CONCATENATE("Estado: ",O386,", ",J386),
IF(L386=Meses!$A$3,"Por revisar",
IF(H386="","Sin registro","En programación Frcst."))),"En programación")))),
"Error")</f>
        <v>Por revisar</v>
      </c>
      <c r="Q386" s="9" t="str">
        <f t="shared" ref="Q386:Q449" si="18">IF(P386="Por revisar",CONCATENATE("programación de act. ",N386,", estado: ",O386,", Comercializador: ",D386,", Etapa: ",H386),"")</f>
        <v>programación de act. NO, estado: Facturando, Comercializador: ENEL, Etapa: Instalado y Activado</v>
      </c>
      <c r="R386" s="25" t="str">
        <f>IF(P386="En programación Frcst.",VLOOKUP(L386,Meses!$A$1:$H$14,3+HLOOKUP(Cronograma!J386,Meses!$D$1:$G$2,2,FALSE),FALSE),
IF(P386="En programación",M386,""))</f>
        <v/>
      </c>
      <c r="S386" s="25" t="str">
        <f t="shared" si="17"/>
        <v/>
      </c>
      <c r="T386" s="21" t="str">
        <f>IFERROR(
(VLOOKUP(MONTH(R386),Meses!$B$3:$C$14,2,FALSE)-DAY(R386))/VLOOKUP(MONTH(R386),Meses!$B$3:$C$14,2,FALSE)*U386,
"")</f>
        <v/>
      </c>
      <c r="U386" s="22">
        <f t="shared" ref="U386:U449" si="19">F386</f>
        <v>6334</v>
      </c>
    </row>
    <row r="387" spans="1:21" ht="32.4" hidden="1" thickBot="1" x14ac:dyDescent="0.6">
      <c r="A387" s="10" t="s">
        <v>457</v>
      </c>
      <c r="B387" s="10" t="s">
        <v>517</v>
      </c>
      <c r="C387" s="12">
        <v>45043</v>
      </c>
      <c r="D387" s="10" t="s">
        <v>14</v>
      </c>
      <c r="E387" s="10" t="s">
        <v>14</v>
      </c>
      <c r="F387" s="10">
        <v>2998</v>
      </c>
      <c r="G387" s="10" t="s">
        <v>15</v>
      </c>
      <c r="H387" s="10" t="s">
        <v>17</v>
      </c>
      <c r="I387" s="10" t="s">
        <v>18</v>
      </c>
      <c r="J387" s="10" t="s">
        <v>19</v>
      </c>
      <c r="K387" s="10" t="s">
        <v>19</v>
      </c>
      <c r="L387" s="10" t="s">
        <v>19</v>
      </c>
      <c r="M387" s="12"/>
      <c r="N387" s="10" t="s">
        <v>20</v>
      </c>
      <c r="O387" s="10" t="s">
        <v>2054</v>
      </c>
      <c r="P387" s="25" t="str">
        <f>IFERROR(
IF(OR(O387="anulado",O387="stand by"),CONCATENATE(O387,": ",H387),
IF(OR(YEAR(M387)=2022,YEAR(M387)=2023),CONCATENATE("Se activó en ",YEAR(M387)),
IF(AND(OR(O387="En proceso",O387="facturando"),AND(J387="-",M387="")),"Por revisar",
IF(M387="",IF(J387="NUEVAS",CONCATENATE("Estado: ",O387,", ",J387),
IF(L387=Meses!$A$3,"Por revisar",
IF(H387="","Sin registro","En programación Frcst."))),"En programación")))),
"Error")</f>
        <v>Por revisar</v>
      </c>
      <c r="Q387" s="9" t="str">
        <f t="shared" si="18"/>
        <v>programación de act. NO, estado: Facturando, Comercializador: ENEL, Etapa: Instalado y Activado</v>
      </c>
      <c r="R387" s="25" t="str">
        <f>IF(P387="En programación Frcst.",VLOOKUP(L387,Meses!$A$1:$H$14,3+HLOOKUP(Cronograma!J387,Meses!$D$1:$G$2,2,FALSE),FALSE),
IF(P387="En programación",M387,""))</f>
        <v/>
      </c>
      <c r="S387" s="25" t="str">
        <f t="shared" ref="S387:S450" si="20">IFERROR(CONCATENATE(YEAR(R387),"/",MONTH(R387)),"")</f>
        <v/>
      </c>
      <c r="T387" s="21" t="str">
        <f>IFERROR(
(VLOOKUP(MONTH(R387),Meses!$B$3:$C$14,2,FALSE)-DAY(R387))/VLOOKUP(MONTH(R387),Meses!$B$3:$C$14,2,FALSE)*U387,
"")</f>
        <v/>
      </c>
      <c r="U387" s="22">
        <f t="shared" si="19"/>
        <v>2998</v>
      </c>
    </row>
    <row r="388" spans="1:21" ht="32.4" hidden="1" thickBot="1" x14ac:dyDescent="0.6">
      <c r="A388" s="10" t="s">
        <v>457</v>
      </c>
      <c r="B388" s="10" t="s">
        <v>518</v>
      </c>
      <c r="C388" s="12">
        <v>45043</v>
      </c>
      <c r="D388" s="10" t="s">
        <v>14</v>
      </c>
      <c r="E388" s="10" t="s">
        <v>14</v>
      </c>
      <c r="F388" s="10">
        <v>1462</v>
      </c>
      <c r="G388" s="10" t="s">
        <v>15</v>
      </c>
      <c r="H388" s="10" t="s">
        <v>17</v>
      </c>
      <c r="I388" s="10" t="s">
        <v>18</v>
      </c>
      <c r="J388" s="10" t="s">
        <v>19</v>
      </c>
      <c r="K388" s="10" t="s">
        <v>19</v>
      </c>
      <c r="L388" s="10" t="s">
        <v>19</v>
      </c>
      <c r="M388" s="12"/>
      <c r="N388" s="10" t="s">
        <v>20</v>
      </c>
      <c r="O388" s="10" t="s">
        <v>2054</v>
      </c>
      <c r="P388" s="25" t="str">
        <f>IFERROR(
IF(OR(O388="anulado",O388="stand by"),CONCATENATE(O388,": ",H388),
IF(OR(YEAR(M388)=2022,YEAR(M388)=2023),CONCATENATE("Se activó en ",YEAR(M388)),
IF(AND(OR(O388="En proceso",O388="facturando"),AND(J388="-",M388="")),"Por revisar",
IF(M388="",IF(J388="NUEVAS",CONCATENATE("Estado: ",O388,", ",J388),
IF(L388=Meses!$A$3,"Por revisar",
IF(H388="","Sin registro","En programación Frcst."))),"En programación")))),
"Error")</f>
        <v>Por revisar</v>
      </c>
      <c r="Q388" s="9" t="str">
        <f t="shared" si="18"/>
        <v>programación de act. NO, estado: Facturando, Comercializador: ENEL, Etapa: Instalado y Activado</v>
      </c>
      <c r="R388" s="25" t="str">
        <f>IF(P388="En programación Frcst.",VLOOKUP(L388,Meses!$A$1:$H$14,3+HLOOKUP(Cronograma!J388,Meses!$D$1:$G$2,2,FALSE),FALSE),
IF(P388="En programación",M388,""))</f>
        <v/>
      </c>
      <c r="S388" s="25" t="str">
        <f t="shared" si="20"/>
        <v/>
      </c>
      <c r="T388" s="21" t="str">
        <f>IFERROR(
(VLOOKUP(MONTH(R388),Meses!$B$3:$C$14,2,FALSE)-DAY(R388))/VLOOKUP(MONTH(R388),Meses!$B$3:$C$14,2,FALSE)*U388,
"")</f>
        <v/>
      </c>
      <c r="U388" s="22">
        <f t="shared" si="19"/>
        <v>1462</v>
      </c>
    </row>
    <row r="389" spans="1:21" ht="32.4" hidden="1" thickBot="1" x14ac:dyDescent="0.6">
      <c r="A389" s="10" t="s">
        <v>457</v>
      </c>
      <c r="B389" s="10" t="s">
        <v>519</v>
      </c>
      <c r="C389" s="12">
        <v>45043</v>
      </c>
      <c r="D389" s="10" t="s">
        <v>14</v>
      </c>
      <c r="E389" s="10" t="s">
        <v>14</v>
      </c>
      <c r="F389" s="10">
        <v>9862</v>
      </c>
      <c r="G389" s="10" t="s">
        <v>15</v>
      </c>
      <c r="H389" s="10" t="s">
        <v>17</v>
      </c>
      <c r="I389" s="10" t="s">
        <v>18</v>
      </c>
      <c r="J389" s="10" t="s">
        <v>19</v>
      </c>
      <c r="K389" s="10" t="s">
        <v>19</v>
      </c>
      <c r="L389" s="10" t="s">
        <v>19</v>
      </c>
      <c r="M389" s="12"/>
      <c r="N389" s="10" t="s">
        <v>20</v>
      </c>
      <c r="O389" s="10" t="s">
        <v>2054</v>
      </c>
      <c r="P389" s="25" t="str">
        <f>IFERROR(
IF(OR(O389="anulado",O389="stand by"),CONCATENATE(O389,": ",H389),
IF(OR(YEAR(M389)=2022,YEAR(M389)=2023),CONCATENATE("Se activó en ",YEAR(M389)),
IF(AND(OR(O389="En proceso",O389="facturando"),AND(J389="-",M389="")),"Por revisar",
IF(M389="",IF(J389="NUEVAS",CONCATENATE("Estado: ",O389,", ",J389),
IF(L389=Meses!$A$3,"Por revisar",
IF(H389="","Sin registro","En programación Frcst."))),"En programación")))),
"Error")</f>
        <v>Por revisar</v>
      </c>
      <c r="Q389" s="9" t="str">
        <f t="shared" si="18"/>
        <v>programación de act. NO, estado: Facturando, Comercializador: ENEL, Etapa: Instalado y Activado</v>
      </c>
      <c r="R389" s="25" t="str">
        <f>IF(P389="En programación Frcst.",VLOOKUP(L389,Meses!$A$1:$H$14,3+HLOOKUP(Cronograma!J389,Meses!$D$1:$G$2,2,FALSE),FALSE),
IF(P389="En programación",M389,""))</f>
        <v/>
      </c>
      <c r="S389" s="25" t="str">
        <f t="shared" si="20"/>
        <v/>
      </c>
      <c r="T389" s="21" t="str">
        <f>IFERROR(
(VLOOKUP(MONTH(R389),Meses!$B$3:$C$14,2,FALSE)-DAY(R389))/VLOOKUP(MONTH(R389),Meses!$B$3:$C$14,2,FALSE)*U389,
"")</f>
        <v/>
      </c>
      <c r="U389" s="22">
        <f t="shared" si="19"/>
        <v>9862</v>
      </c>
    </row>
    <row r="390" spans="1:21" ht="32.4" hidden="1" thickBot="1" x14ac:dyDescent="0.6">
      <c r="A390" s="10" t="s">
        <v>457</v>
      </c>
      <c r="B390" s="10" t="s">
        <v>520</v>
      </c>
      <c r="C390" s="12">
        <v>45043</v>
      </c>
      <c r="D390" s="10" t="s">
        <v>14</v>
      </c>
      <c r="E390" s="10" t="s">
        <v>14</v>
      </c>
      <c r="F390" s="10">
        <v>2406</v>
      </c>
      <c r="G390" s="10" t="s">
        <v>15</v>
      </c>
      <c r="H390" s="10" t="s">
        <v>17</v>
      </c>
      <c r="I390" s="10" t="s">
        <v>18</v>
      </c>
      <c r="J390" s="10" t="s">
        <v>19</v>
      </c>
      <c r="K390" s="10" t="s">
        <v>19</v>
      </c>
      <c r="L390" s="10" t="s">
        <v>19</v>
      </c>
      <c r="M390" s="12"/>
      <c r="N390" s="10" t="s">
        <v>20</v>
      </c>
      <c r="O390" s="10" t="s">
        <v>2054</v>
      </c>
      <c r="P390" s="25" t="str">
        <f>IFERROR(
IF(OR(O390="anulado",O390="stand by"),CONCATENATE(O390,": ",H390),
IF(OR(YEAR(M390)=2022,YEAR(M390)=2023),CONCATENATE("Se activó en ",YEAR(M390)),
IF(AND(OR(O390="En proceso",O390="facturando"),AND(J390="-",M390="")),"Por revisar",
IF(M390="",IF(J390="NUEVAS",CONCATENATE("Estado: ",O390,", ",J390),
IF(L390=Meses!$A$3,"Por revisar",
IF(H390="","Sin registro","En programación Frcst."))),"En programación")))),
"Error")</f>
        <v>Por revisar</v>
      </c>
      <c r="Q390" s="9" t="str">
        <f t="shared" si="18"/>
        <v>programación de act. NO, estado: Facturando, Comercializador: ENEL, Etapa: Instalado y Activado</v>
      </c>
      <c r="R390" s="25" t="str">
        <f>IF(P390="En programación Frcst.",VLOOKUP(L390,Meses!$A$1:$H$14,3+HLOOKUP(Cronograma!J390,Meses!$D$1:$G$2,2,FALSE),FALSE),
IF(P390="En programación",M390,""))</f>
        <v/>
      </c>
      <c r="S390" s="25" t="str">
        <f t="shared" si="20"/>
        <v/>
      </c>
      <c r="T390" s="21" t="str">
        <f>IFERROR(
(VLOOKUP(MONTH(R390),Meses!$B$3:$C$14,2,FALSE)-DAY(R390))/VLOOKUP(MONTH(R390),Meses!$B$3:$C$14,2,FALSE)*U390,
"")</f>
        <v/>
      </c>
      <c r="U390" s="22">
        <f t="shared" si="19"/>
        <v>2406</v>
      </c>
    </row>
    <row r="391" spans="1:21" ht="32.4" hidden="1" thickBot="1" x14ac:dyDescent="0.6">
      <c r="A391" s="10" t="s">
        <v>457</v>
      </c>
      <c r="B391" s="10" t="s">
        <v>521</v>
      </c>
      <c r="C391" s="12">
        <v>45043</v>
      </c>
      <c r="D391" s="10" t="s">
        <v>14</v>
      </c>
      <c r="E391" s="10" t="s">
        <v>14</v>
      </c>
      <c r="F391" s="10">
        <v>1678</v>
      </c>
      <c r="G391" s="10" t="s">
        <v>15</v>
      </c>
      <c r="H391" s="10" t="s">
        <v>17</v>
      </c>
      <c r="I391" s="10" t="s">
        <v>18</v>
      </c>
      <c r="J391" s="10" t="s">
        <v>19</v>
      </c>
      <c r="K391" s="10" t="s">
        <v>19</v>
      </c>
      <c r="L391" s="10" t="s">
        <v>19</v>
      </c>
      <c r="M391" s="12"/>
      <c r="N391" s="10" t="s">
        <v>20</v>
      </c>
      <c r="O391" s="10" t="s">
        <v>2054</v>
      </c>
      <c r="P391" s="25" t="str">
        <f>IFERROR(
IF(OR(O391="anulado",O391="stand by"),CONCATENATE(O391,": ",H391),
IF(OR(YEAR(M391)=2022,YEAR(M391)=2023),CONCATENATE("Se activó en ",YEAR(M391)),
IF(AND(OR(O391="En proceso",O391="facturando"),AND(J391="-",M391="")),"Por revisar",
IF(M391="",IF(J391="NUEVAS",CONCATENATE("Estado: ",O391,", ",J391),
IF(L391=Meses!$A$3,"Por revisar",
IF(H391="","Sin registro","En programación Frcst."))),"En programación")))),
"Error")</f>
        <v>Por revisar</v>
      </c>
      <c r="Q391" s="9" t="str">
        <f t="shared" si="18"/>
        <v>programación de act. NO, estado: Facturando, Comercializador: ENEL, Etapa: Instalado y Activado</v>
      </c>
      <c r="R391" s="25" t="str">
        <f>IF(P391="En programación Frcst.",VLOOKUP(L391,Meses!$A$1:$H$14,3+HLOOKUP(Cronograma!J391,Meses!$D$1:$G$2,2,FALSE),FALSE),
IF(P391="En programación",M391,""))</f>
        <v/>
      </c>
      <c r="S391" s="25" t="str">
        <f t="shared" si="20"/>
        <v/>
      </c>
      <c r="T391" s="21" t="str">
        <f>IFERROR(
(VLOOKUP(MONTH(R391),Meses!$B$3:$C$14,2,FALSE)-DAY(R391))/VLOOKUP(MONTH(R391),Meses!$B$3:$C$14,2,FALSE)*U391,
"")</f>
        <v/>
      </c>
      <c r="U391" s="22">
        <f t="shared" si="19"/>
        <v>1678</v>
      </c>
    </row>
    <row r="392" spans="1:21" ht="32.4" hidden="1" thickBot="1" x14ac:dyDescent="0.6">
      <c r="A392" s="10" t="s">
        <v>457</v>
      </c>
      <c r="B392" s="10" t="s">
        <v>522</v>
      </c>
      <c r="C392" s="12">
        <v>45043</v>
      </c>
      <c r="D392" s="10" t="s">
        <v>14</v>
      </c>
      <c r="E392" s="10" t="s">
        <v>14</v>
      </c>
      <c r="F392" s="10">
        <v>1580</v>
      </c>
      <c r="G392" s="10" t="s">
        <v>15</v>
      </c>
      <c r="H392" s="10" t="s">
        <v>17</v>
      </c>
      <c r="I392" s="10" t="s">
        <v>18</v>
      </c>
      <c r="J392" s="10" t="s">
        <v>19</v>
      </c>
      <c r="K392" s="10" t="s">
        <v>19</v>
      </c>
      <c r="L392" s="10" t="s">
        <v>19</v>
      </c>
      <c r="M392" s="12"/>
      <c r="N392" s="10" t="s">
        <v>20</v>
      </c>
      <c r="O392" s="10" t="s">
        <v>2054</v>
      </c>
      <c r="P392" s="25" t="str">
        <f>IFERROR(
IF(OR(O392="anulado",O392="stand by"),CONCATENATE(O392,": ",H392),
IF(OR(YEAR(M392)=2022,YEAR(M392)=2023),CONCATENATE("Se activó en ",YEAR(M392)),
IF(AND(OR(O392="En proceso",O392="facturando"),AND(J392="-",M392="")),"Por revisar",
IF(M392="",IF(J392="NUEVAS",CONCATENATE("Estado: ",O392,", ",J392),
IF(L392=Meses!$A$3,"Por revisar",
IF(H392="","Sin registro","En programación Frcst."))),"En programación")))),
"Error")</f>
        <v>Por revisar</v>
      </c>
      <c r="Q392" s="9" t="str">
        <f t="shared" si="18"/>
        <v>programación de act. NO, estado: Facturando, Comercializador: ENEL, Etapa: Instalado y Activado</v>
      </c>
      <c r="R392" s="25" t="str">
        <f>IF(P392="En programación Frcst.",VLOOKUP(L392,Meses!$A$1:$H$14,3+HLOOKUP(Cronograma!J392,Meses!$D$1:$G$2,2,FALSE),FALSE),
IF(P392="En programación",M392,""))</f>
        <v/>
      </c>
      <c r="S392" s="25" t="str">
        <f t="shared" si="20"/>
        <v/>
      </c>
      <c r="T392" s="21" t="str">
        <f>IFERROR(
(VLOOKUP(MONTH(R392),Meses!$B$3:$C$14,2,FALSE)-DAY(R392))/VLOOKUP(MONTH(R392),Meses!$B$3:$C$14,2,FALSE)*U392,
"")</f>
        <v/>
      </c>
      <c r="U392" s="22">
        <f t="shared" si="19"/>
        <v>1580</v>
      </c>
    </row>
    <row r="393" spans="1:21" ht="32.4" hidden="1" thickBot="1" x14ac:dyDescent="0.6">
      <c r="A393" s="10" t="s">
        <v>457</v>
      </c>
      <c r="B393" s="10" t="s">
        <v>523</v>
      </c>
      <c r="C393" s="12">
        <v>45043</v>
      </c>
      <c r="D393" s="10" t="s">
        <v>14</v>
      </c>
      <c r="E393" s="10" t="s">
        <v>14</v>
      </c>
      <c r="F393" s="10">
        <v>1917</v>
      </c>
      <c r="G393" s="10" t="s">
        <v>15</v>
      </c>
      <c r="H393" s="10" t="s">
        <v>17</v>
      </c>
      <c r="I393" s="10" t="s">
        <v>18</v>
      </c>
      <c r="J393" s="10" t="s">
        <v>19</v>
      </c>
      <c r="K393" s="10" t="s">
        <v>19</v>
      </c>
      <c r="L393" s="10" t="s">
        <v>19</v>
      </c>
      <c r="M393" s="12"/>
      <c r="N393" s="10" t="s">
        <v>20</v>
      </c>
      <c r="O393" s="10" t="s">
        <v>2054</v>
      </c>
      <c r="P393" s="25" t="str">
        <f>IFERROR(
IF(OR(O393="anulado",O393="stand by"),CONCATENATE(O393,": ",H393),
IF(OR(YEAR(M393)=2022,YEAR(M393)=2023),CONCATENATE("Se activó en ",YEAR(M393)),
IF(AND(OR(O393="En proceso",O393="facturando"),AND(J393="-",M393="")),"Por revisar",
IF(M393="",IF(J393="NUEVAS",CONCATENATE("Estado: ",O393,", ",J393),
IF(L393=Meses!$A$3,"Por revisar",
IF(H393="","Sin registro","En programación Frcst."))),"En programación")))),
"Error")</f>
        <v>Por revisar</v>
      </c>
      <c r="Q393" s="9" t="str">
        <f t="shared" si="18"/>
        <v>programación de act. NO, estado: Facturando, Comercializador: ENEL, Etapa: Instalado y Activado</v>
      </c>
      <c r="R393" s="25" t="str">
        <f>IF(P393="En programación Frcst.",VLOOKUP(L393,Meses!$A$1:$H$14,3+HLOOKUP(Cronograma!J393,Meses!$D$1:$G$2,2,FALSE),FALSE),
IF(P393="En programación",M393,""))</f>
        <v/>
      </c>
      <c r="S393" s="25" t="str">
        <f t="shared" si="20"/>
        <v/>
      </c>
      <c r="T393" s="21" t="str">
        <f>IFERROR(
(VLOOKUP(MONTH(R393),Meses!$B$3:$C$14,2,FALSE)-DAY(R393))/VLOOKUP(MONTH(R393),Meses!$B$3:$C$14,2,FALSE)*U393,
"")</f>
        <v/>
      </c>
      <c r="U393" s="22">
        <f t="shared" si="19"/>
        <v>1917</v>
      </c>
    </row>
    <row r="394" spans="1:21" ht="32.4" hidden="1" thickBot="1" x14ac:dyDescent="0.6">
      <c r="A394" s="10" t="s">
        <v>457</v>
      </c>
      <c r="B394" s="10" t="s">
        <v>524</v>
      </c>
      <c r="C394" s="12">
        <v>45043</v>
      </c>
      <c r="D394" s="10" t="s">
        <v>14</v>
      </c>
      <c r="E394" s="10" t="s">
        <v>14</v>
      </c>
      <c r="F394" s="10">
        <v>1441</v>
      </c>
      <c r="G394" s="10" t="s">
        <v>15</v>
      </c>
      <c r="H394" s="10" t="s">
        <v>17</v>
      </c>
      <c r="I394" s="10" t="s">
        <v>18</v>
      </c>
      <c r="J394" s="10" t="s">
        <v>19</v>
      </c>
      <c r="K394" s="10" t="s">
        <v>19</v>
      </c>
      <c r="L394" s="10" t="s">
        <v>19</v>
      </c>
      <c r="M394" s="12"/>
      <c r="N394" s="10" t="s">
        <v>20</v>
      </c>
      <c r="O394" s="10" t="s">
        <v>2054</v>
      </c>
      <c r="P394" s="25" t="str">
        <f>IFERROR(
IF(OR(O394="anulado",O394="stand by"),CONCATENATE(O394,": ",H394),
IF(OR(YEAR(M394)=2022,YEAR(M394)=2023),CONCATENATE("Se activó en ",YEAR(M394)),
IF(AND(OR(O394="En proceso",O394="facturando"),AND(J394="-",M394="")),"Por revisar",
IF(M394="",IF(J394="NUEVAS",CONCATENATE("Estado: ",O394,", ",J394),
IF(L394=Meses!$A$3,"Por revisar",
IF(H394="","Sin registro","En programación Frcst."))),"En programación")))),
"Error")</f>
        <v>Por revisar</v>
      </c>
      <c r="Q394" s="9" t="str">
        <f t="shared" si="18"/>
        <v>programación de act. NO, estado: Facturando, Comercializador: ENEL, Etapa: Instalado y Activado</v>
      </c>
      <c r="R394" s="25" t="str">
        <f>IF(P394="En programación Frcst.",VLOOKUP(L394,Meses!$A$1:$H$14,3+HLOOKUP(Cronograma!J394,Meses!$D$1:$G$2,2,FALSE),FALSE),
IF(P394="En programación",M394,""))</f>
        <v/>
      </c>
      <c r="S394" s="25" t="str">
        <f t="shared" si="20"/>
        <v/>
      </c>
      <c r="T394" s="21" t="str">
        <f>IFERROR(
(VLOOKUP(MONTH(R394),Meses!$B$3:$C$14,2,FALSE)-DAY(R394))/VLOOKUP(MONTH(R394),Meses!$B$3:$C$14,2,FALSE)*U394,
"")</f>
        <v/>
      </c>
      <c r="U394" s="22">
        <f t="shared" si="19"/>
        <v>1441</v>
      </c>
    </row>
    <row r="395" spans="1:21" ht="32.4" hidden="1" thickBot="1" x14ac:dyDescent="0.6">
      <c r="A395" s="10" t="s">
        <v>457</v>
      </c>
      <c r="B395" s="10" t="s">
        <v>525</v>
      </c>
      <c r="C395" s="12">
        <v>45050</v>
      </c>
      <c r="D395" s="10" t="s">
        <v>14</v>
      </c>
      <c r="E395" s="10" t="s">
        <v>14</v>
      </c>
      <c r="F395" s="10">
        <v>358</v>
      </c>
      <c r="G395" s="10" t="s">
        <v>15</v>
      </c>
      <c r="H395" s="10" t="s">
        <v>17</v>
      </c>
      <c r="I395" s="10" t="s">
        <v>18</v>
      </c>
      <c r="J395" s="10" t="s">
        <v>19</v>
      </c>
      <c r="K395" s="10" t="s">
        <v>19</v>
      </c>
      <c r="L395" s="10" t="s">
        <v>19</v>
      </c>
      <c r="M395" s="12"/>
      <c r="N395" s="10" t="s">
        <v>20</v>
      </c>
      <c r="O395" s="10" t="s">
        <v>2054</v>
      </c>
      <c r="P395" s="25" t="str">
        <f>IFERROR(
IF(OR(O395="anulado",O395="stand by"),CONCATENATE(O395,": ",H395),
IF(OR(YEAR(M395)=2022,YEAR(M395)=2023),CONCATENATE("Se activó en ",YEAR(M395)),
IF(AND(OR(O395="En proceso",O395="facturando"),AND(J395="-",M395="")),"Por revisar",
IF(M395="",IF(J395="NUEVAS",CONCATENATE("Estado: ",O395,", ",J395),
IF(L395=Meses!$A$3,"Por revisar",
IF(H395="","Sin registro","En programación Frcst."))),"En programación")))),
"Error")</f>
        <v>Por revisar</v>
      </c>
      <c r="Q395" s="9" t="str">
        <f t="shared" si="18"/>
        <v>programación de act. NO, estado: Facturando, Comercializador: ENEL, Etapa: Instalado y Activado</v>
      </c>
      <c r="R395" s="25" t="str">
        <f>IF(P395="En programación Frcst.",VLOOKUP(L395,Meses!$A$1:$H$14,3+HLOOKUP(Cronograma!J395,Meses!$D$1:$G$2,2,FALSE),FALSE),
IF(P395="En programación",M395,""))</f>
        <v/>
      </c>
      <c r="S395" s="25" t="str">
        <f t="shared" si="20"/>
        <v/>
      </c>
      <c r="T395" s="21" t="str">
        <f>IFERROR(
(VLOOKUP(MONTH(R395),Meses!$B$3:$C$14,2,FALSE)-DAY(R395))/VLOOKUP(MONTH(R395),Meses!$B$3:$C$14,2,FALSE)*U395,
"")</f>
        <v/>
      </c>
      <c r="U395" s="22">
        <f t="shared" si="19"/>
        <v>358</v>
      </c>
    </row>
    <row r="396" spans="1:21" ht="31.8" hidden="1" thickBot="1" x14ac:dyDescent="0.6">
      <c r="A396" s="10" t="s">
        <v>526</v>
      </c>
      <c r="B396" s="10" t="s">
        <v>527</v>
      </c>
      <c r="C396" s="12"/>
      <c r="D396" s="10" t="s">
        <v>156</v>
      </c>
      <c r="E396" s="10" t="s">
        <v>156</v>
      </c>
      <c r="F396" s="10">
        <v>4145</v>
      </c>
      <c r="G396" s="10" t="s">
        <v>15</v>
      </c>
      <c r="H396" s="10" t="s">
        <v>140</v>
      </c>
      <c r="I396" s="10" t="s">
        <v>43</v>
      </c>
      <c r="J396" s="10" t="s">
        <v>19</v>
      </c>
      <c r="K396" s="10" t="s">
        <v>19</v>
      </c>
      <c r="L396" s="10" t="s">
        <v>19</v>
      </c>
      <c r="M396" s="12"/>
      <c r="N396" s="10" t="s">
        <v>20</v>
      </c>
      <c r="O396" s="10" t="s">
        <v>2056</v>
      </c>
      <c r="P396" s="25" t="str">
        <f>IFERROR(
IF(OR(O396="anulado",O396="stand by"),CONCATENATE(O396,": ",H396),
IF(OR(YEAR(M396)=2022,YEAR(M396)=2023),CONCATENATE("Se activó en ",YEAR(M396)),
IF(AND(OR(O396="En proceso",O396="facturando"),AND(J396="-",M396="")),"Por revisar",
IF(M396="",IF(J396="NUEVAS",CONCATENATE("Estado: ",O396,", ",J396),
IF(L396=Meses!$A$3,"Por revisar",
IF(H396="","Sin registro","En programación Frcst."))),"En programación")))),
"Error")</f>
        <v>anulado: Desistido</v>
      </c>
      <c r="Q396" s="9" t="str">
        <f t="shared" si="18"/>
        <v/>
      </c>
      <c r="R396" s="25" t="str">
        <f>IF(P396="En programación Frcst.",VLOOKUP(L396,Meses!$A$1:$H$14,3+HLOOKUP(Cronograma!J396,Meses!$D$1:$G$2,2,FALSE),FALSE),
IF(P396="En programación",M396,""))</f>
        <v/>
      </c>
      <c r="S396" s="25" t="str">
        <f t="shared" si="20"/>
        <v/>
      </c>
      <c r="T396" s="21" t="str">
        <f>IFERROR(
(VLOOKUP(MONTH(R396),Meses!$B$3:$C$14,2,FALSE)-DAY(R396))/VLOOKUP(MONTH(R396),Meses!$B$3:$C$14,2,FALSE)*U396,
"")</f>
        <v/>
      </c>
      <c r="U396" s="22">
        <f t="shared" si="19"/>
        <v>4145</v>
      </c>
    </row>
    <row r="397" spans="1:21" ht="31.8" hidden="1" thickBot="1" x14ac:dyDescent="0.6">
      <c r="A397" s="10" t="s">
        <v>526</v>
      </c>
      <c r="B397" s="10" t="s">
        <v>528</v>
      </c>
      <c r="C397" s="12"/>
      <c r="D397" s="10" t="s">
        <v>74</v>
      </c>
      <c r="E397" s="10" t="s">
        <v>74</v>
      </c>
      <c r="F397" s="10">
        <v>8720</v>
      </c>
      <c r="G397" s="10" t="s">
        <v>15</v>
      </c>
      <c r="H397" s="10" t="s">
        <v>140</v>
      </c>
      <c r="I397" s="10" t="s">
        <v>43</v>
      </c>
      <c r="J397" s="10" t="s">
        <v>19</v>
      </c>
      <c r="K397" s="10" t="s">
        <v>19</v>
      </c>
      <c r="L397" s="10" t="s">
        <v>19</v>
      </c>
      <c r="M397" s="12"/>
      <c r="N397" s="10" t="s">
        <v>20</v>
      </c>
      <c r="O397" s="10" t="s">
        <v>2056</v>
      </c>
      <c r="P397" s="25" t="str">
        <f>IFERROR(
IF(OR(O397="anulado",O397="stand by"),CONCATENATE(O397,": ",H397),
IF(OR(YEAR(M397)=2022,YEAR(M397)=2023),CONCATENATE("Se activó en ",YEAR(M397)),
IF(AND(OR(O397="En proceso",O397="facturando"),AND(J397="-",M397="")),"Por revisar",
IF(M397="",IF(J397="NUEVAS",CONCATENATE("Estado: ",O397,", ",J397),
IF(L397=Meses!$A$3,"Por revisar",
IF(H397="","Sin registro","En programación Frcst."))),"En programación")))),
"Error")</f>
        <v>anulado: Desistido</v>
      </c>
      <c r="Q397" s="9" t="str">
        <f t="shared" si="18"/>
        <v/>
      </c>
      <c r="R397" s="25" t="str">
        <f>IF(P397="En programación Frcst.",VLOOKUP(L397,Meses!$A$1:$H$14,3+HLOOKUP(Cronograma!J397,Meses!$D$1:$G$2,2,FALSE),FALSE),
IF(P397="En programación",M397,""))</f>
        <v/>
      </c>
      <c r="S397" s="25" t="str">
        <f t="shared" si="20"/>
        <v/>
      </c>
      <c r="T397" s="21" t="str">
        <f>IFERROR(
(VLOOKUP(MONTH(R397),Meses!$B$3:$C$14,2,FALSE)-DAY(R397))/VLOOKUP(MONTH(R397),Meses!$B$3:$C$14,2,FALSE)*U397,
"")</f>
        <v/>
      </c>
      <c r="U397" s="22">
        <f t="shared" si="19"/>
        <v>8720</v>
      </c>
    </row>
    <row r="398" spans="1:21" ht="32.4" hidden="1" thickBot="1" x14ac:dyDescent="0.6">
      <c r="A398" s="10" t="s">
        <v>529</v>
      </c>
      <c r="B398" s="10" t="s">
        <v>530</v>
      </c>
      <c r="C398" s="12">
        <v>45078</v>
      </c>
      <c r="D398" s="10" t="s">
        <v>14</v>
      </c>
      <c r="E398" s="10" t="s">
        <v>14</v>
      </c>
      <c r="F398" s="10">
        <v>1586</v>
      </c>
      <c r="G398" s="10" t="s">
        <v>15</v>
      </c>
      <c r="H398" s="10" t="s">
        <v>17</v>
      </c>
      <c r="I398" s="10" t="s">
        <v>18</v>
      </c>
      <c r="J398" s="10" t="s">
        <v>19</v>
      </c>
      <c r="K398" s="10" t="s">
        <v>19</v>
      </c>
      <c r="L398" s="10" t="s">
        <v>19</v>
      </c>
      <c r="M398" s="12"/>
      <c r="N398" s="10" t="s">
        <v>20</v>
      </c>
      <c r="O398" s="10" t="s">
        <v>2054</v>
      </c>
      <c r="P398" s="25" t="str">
        <f>IFERROR(
IF(OR(O398="anulado",O398="stand by"),CONCATENATE(O398,": ",H398),
IF(OR(YEAR(M398)=2022,YEAR(M398)=2023),CONCATENATE("Se activó en ",YEAR(M398)),
IF(AND(OR(O398="En proceso",O398="facturando"),AND(J398="-",M398="")),"Por revisar",
IF(M398="",IF(J398="NUEVAS",CONCATENATE("Estado: ",O398,", ",J398),
IF(L398=Meses!$A$3,"Por revisar",
IF(H398="","Sin registro","En programación Frcst."))),"En programación")))),
"Error")</f>
        <v>Por revisar</v>
      </c>
      <c r="Q398" s="9" t="str">
        <f t="shared" si="18"/>
        <v>programación de act. NO, estado: Facturando, Comercializador: ENEL, Etapa: Instalado y Activado</v>
      </c>
      <c r="R398" s="25" t="str">
        <f>IF(P398="En programación Frcst.",VLOOKUP(L398,Meses!$A$1:$H$14,3+HLOOKUP(Cronograma!J398,Meses!$D$1:$G$2,2,FALSE),FALSE),
IF(P398="En programación",M398,""))</f>
        <v/>
      </c>
      <c r="S398" s="25" t="str">
        <f t="shared" si="20"/>
        <v/>
      </c>
      <c r="T398" s="21" t="str">
        <f>IFERROR(
(VLOOKUP(MONTH(R398),Meses!$B$3:$C$14,2,FALSE)-DAY(R398))/VLOOKUP(MONTH(R398),Meses!$B$3:$C$14,2,FALSE)*U398,
"")</f>
        <v/>
      </c>
      <c r="U398" s="22">
        <f t="shared" si="19"/>
        <v>1586</v>
      </c>
    </row>
    <row r="399" spans="1:21" ht="31.8" hidden="1" thickBot="1" x14ac:dyDescent="0.6">
      <c r="A399" s="10" t="s">
        <v>526</v>
      </c>
      <c r="B399" s="10" t="s">
        <v>531</v>
      </c>
      <c r="C399" s="12"/>
      <c r="D399" s="10" t="s">
        <v>41</v>
      </c>
      <c r="E399" s="10" t="s">
        <v>41</v>
      </c>
      <c r="F399" s="10">
        <v>1572</v>
      </c>
      <c r="G399" s="10" t="s">
        <v>15</v>
      </c>
      <c r="H399" s="10" t="s">
        <v>140</v>
      </c>
      <c r="I399" s="10" t="s">
        <v>43</v>
      </c>
      <c r="J399" s="10" t="s">
        <v>19</v>
      </c>
      <c r="K399" s="10" t="s">
        <v>19</v>
      </c>
      <c r="L399" s="10" t="s">
        <v>19</v>
      </c>
      <c r="M399" s="12"/>
      <c r="N399" s="10" t="s">
        <v>20</v>
      </c>
      <c r="O399" s="10" t="s">
        <v>2056</v>
      </c>
      <c r="P399" s="25" t="str">
        <f>IFERROR(
IF(OR(O399="anulado",O399="stand by"),CONCATENATE(O399,": ",H399),
IF(OR(YEAR(M399)=2022,YEAR(M399)=2023),CONCATENATE("Se activó en ",YEAR(M399)),
IF(AND(OR(O399="En proceso",O399="facturando"),AND(J399="-",M399="")),"Por revisar",
IF(M399="",IF(J399="NUEVAS",CONCATENATE("Estado: ",O399,", ",J399),
IF(L399=Meses!$A$3,"Por revisar",
IF(H399="","Sin registro","En programación Frcst."))),"En programación")))),
"Error")</f>
        <v>anulado: Desistido</v>
      </c>
      <c r="Q399" s="9" t="str">
        <f t="shared" si="18"/>
        <v/>
      </c>
      <c r="R399" s="25" t="str">
        <f>IF(P399="En programación Frcst.",VLOOKUP(L399,Meses!$A$1:$H$14,3+HLOOKUP(Cronograma!J399,Meses!$D$1:$G$2,2,FALSE),FALSE),
IF(P399="En programación",M399,""))</f>
        <v/>
      </c>
      <c r="S399" s="25" t="str">
        <f t="shared" si="20"/>
        <v/>
      </c>
      <c r="T399" s="21" t="str">
        <f>IFERROR(
(VLOOKUP(MONTH(R399),Meses!$B$3:$C$14,2,FALSE)-DAY(R399))/VLOOKUP(MONTH(R399),Meses!$B$3:$C$14,2,FALSE)*U399,
"")</f>
        <v/>
      </c>
      <c r="U399" s="22">
        <f t="shared" si="19"/>
        <v>1572</v>
      </c>
    </row>
    <row r="400" spans="1:21" ht="31.8" hidden="1" thickBot="1" x14ac:dyDescent="0.6">
      <c r="A400" s="10" t="s">
        <v>526</v>
      </c>
      <c r="B400" s="10" t="s">
        <v>532</v>
      </c>
      <c r="C400" s="12"/>
      <c r="D400" s="10" t="s">
        <v>41</v>
      </c>
      <c r="E400" s="10" t="s">
        <v>41</v>
      </c>
      <c r="F400" s="10">
        <v>3683</v>
      </c>
      <c r="G400" s="10" t="s">
        <v>15</v>
      </c>
      <c r="H400" s="10" t="s">
        <v>140</v>
      </c>
      <c r="I400" s="10" t="s">
        <v>43</v>
      </c>
      <c r="J400" s="10" t="s">
        <v>19</v>
      </c>
      <c r="K400" s="10" t="s">
        <v>19</v>
      </c>
      <c r="L400" s="10" t="s">
        <v>19</v>
      </c>
      <c r="M400" s="12"/>
      <c r="N400" s="10" t="s">
        <v>20</v>
      </c>
      <c r="O400" s="10" t="s">
        <v>2056</v>
      </c>
      <c r="P400" s="25" t="str">
        <f>IFERROR(
IF(OR(O400="anulado",O400="stand by"),CONCATENATE(O400,": ",H400),
IF(OR(YEAR(M400)=2022,YEAR(M400)=2023),CONCATENATE("Se activó en ",YEAR(M400)),
IF(AND(OR(O400="En proceso",O400="facturando"),AND(J400="-",M400="")),"Por revisar",
IF(M400="",IF(J400="NUEVAS",CONCATENATE("Estado: ",O400,", ",J400),
IF(L400=Meses!$A$3,"Por revisar",
IF(H400="","Sin registro","En programación Frcst."))),"En programación")))),
"Error")</f>
        <v>anulado: Desistido</v>
      </c>
      <c r="Q400" s="9" t="str">
        <f t="shared" si="18"/>
        <v/>
      </c>
      <c r="R400" s="25" t="str">
        <f>IF(P400="En programación Frcst.",VLOOKUP(L400,Meses!$A$1:$H$14,3+HLOOKUP(Cronograma!J400,Meses!$D$1:$G$2,2,FALSE),FALSE),
IF(P400="En programación",M400,""))</f>
        <v/>
      </c>
      <c r="S400" s="25" t="str">
        <f t="shared" si="20"/>
        <v/>
      </c>
      <c r="T400" s="21" t="str">
        <f>IFERROR(
(VLOOKUP(MONTH(R400),Meses!$B$3:$C$14,2,FALSE)-DAY(R400))/VLOOKUP(MONTH(R400),Meses!$B$3:$C$14,2,FALSE)*U400,
"")</f>
        <v/>
      </c>
      <c r="U400" s="22">
        <f t="shared" si="19"/>
        <v>3683</v>
      </c>
    </row>
    <row r="401" spans="1:21" ht="31.8" hidden="1" thickBot="1" x14ac:dyDescent="0.6">
      <c r="A401" s="10" t="s">
        <v>526</v>
      </c>
      <c r="B401" s="10" t="s">
        <v>533</v>
      </c>
      <c r="C401" s="12"/>
      <c r="D401" s="10" t="s">
        <v>14</v>
      </c>
      <c r="E401" s="10" t="s">
        <v>14</v>
      </c>
      <c r="F401" s="10">
        <v>5289</v>
      </c>
      <c r="G401" s="10" t="s">
        <v>15</v>
      </c>
      <c r="H401" s="10" t="s">
        <v>140</v>
      </c>
      <c r="I401" s="10" t="s">
        <v>18</v>
      </c>
      <c r="J401" s="10" t="s">
        <v>19</v>
      </c>
      <c r="K401" s="10" t="s">
        <v>19</v>
      </c>
      <c r="L401" s="10" t="s">
        <v>19</v>
      </c>
      <c r="M401" s="12"/>
      <c r="N401" s="10" t="s">
        <v>20</v>
      </c>
      <c r="O401" s="10" t="s">
        <v>2056</v>
      </c>
      <c r="P401" s="25" t="str">
        <f>IFERROR(
IF(OR(O401="anulado",O401="stand by"),CONCATENATE(O401,": ",H401),
IF(OR(YEAR(M401)=2022,YEAR(M401)=2023),CONCATENATE("Se activó en ",YEAR(M401)),
IF(AND(OR(O401="En proceso",O401="facturando"),AND(J401="-",M401="")),"Por revisar",
IF(M401="",IF(J401="NUEVAS",CONCATENATE("Estado: ",O401,", ",J401),
IF(L401=Meses!$A$3,"Por revisar",
IF(H401="","Sin registro","En programación Frcst."))),"En programación")))),
"Error")</f>
        <v>anulado: Desistido</v>
      </c>
      <c r="Q401" s="9" t="str">
        <f t="shared" si="18"/>
        <v/>
      </c>
      <c r="R401" s="25" t="str">
        <f>IF(P401="En programación Frcst.",VLOOKUP(L401,Meses!$A$1:$H$14,3+HLOOKUP(Cronograma!J401,Meses!$D$1:$G$2,2,FALSE),FALSE),
IF(P401="En programación",M401,""))</f>
        <v/>
      </c>
      <c r="S401" s="25" t="str">
        <f t="shared" si="20"/>
        <v/>
      </c>
      <c r="T401" s="21" t="str">
        <f>IFERROR(
(VLOOKUP(MONTH(R401),Meses!$B$3:$C$14,2,FALSE)-DAY(R401))/VLOOKUP(MONTH(R401),Meses!$B$3:$C$14,2,FALSE)*U401,
"")</f>
        <v/>
      </c>
      <c r="U401" s="22">
        <f t="shared" si="19"/>
        <v>5289</v>
      </c>
    </row>
    <row r="402" spans="1:21" ht="32.4" hidden="1" thickBot="1" x14ac:dyDescent="0.6">
      <c r="A402" s="10" t="s">
        <v>534</v>
      </c>
      <c r="B402" s="10" t="s">
        <v>535</v>
      </c>
      <c r="C402" s="12">
        <v>45085</v>
      </c>
      <c r="D402" s="10" t="s">
        <v>14</v>
      </c>
      <c r="E402" s="10" t="s">
        <v>14</v>
      </c>
      <c r="F402" s="10">
        <v>4066</v>
      </c>
      <c r="G402" s="10" t="s">
        <v>15</v>
      </c>
      <c r="H402" s="10" t="s">
        <v>17</v>
      </c>
      <c r="I402" s="10" t="s">
        <v>18</v>
      </c>
      <c r="J402" s="10" t="s">
        <v>19</v>
      </c>
      <c r="K402" s="10" t="s">
        <v>19</v>
      </c>
      <c r="L402" s="10" t="s">
        <v>19</v>
      </c>
      <c r="M402" s="12"/>
      <c r="N402" s="10" t="s">
        <v>20</v>
      </c>
      <c r="O402" s="10" t="s">
        <v>2054</v>
      </c>
      <c r="P402" s="25" t="str">
        <f>IFERROR(
IF(OR(O402="anulado",O402="stand by"),CONCATENATE(O402,": ",H402),
IF(OR(YEAR(M402)=2022,YEAR(M402)=2023),CONCATENATE("Se activó en ",YEAR(M402)),
IF(AND(OR(O402="En proceso",O402="facturando"),AND(J402="-",M402="")),"Por revisar",
IF(M402="",IF(J402="NUEVAS",CONCATENATE("Estado: ",O402,", ",J402),
IF(L402=Meses!$A$3,"Por revisar",
IF(H402="","Sin registro","En programación Frcst."))),"En programación")))),
"Error")</f>
        <v>Por revisar</v>
      </c>
      <c r="Q402" s="9" t="str">
        <f t="shared" si="18"/>
        <v>programación de act. NO, estado: Facturando, Comercializador: ENEL, Etapa: Instalado y Activado</v>
      </c>
      <c r="R402" s="25" t="str">
        <f>IF(P402="En programación Frcst.",VLOOKUP(L402,Meses!$A$1:$H$14,3+HLOOKUP(Cronograma!J402,Meses!$D$1:$G$2,2,FALSE),FALSE),
IF(P402="En programación",M402,""))</f>
        <v/>
      </c>
      <c r="S402" s="25" t="str">
        <f t="shared" si="20"/>
        <v/>
      </c>
      <c r="T402" s="21" t="str">
        <f>IFERROR(
(VLOOKUP(MONTH(R402),Meses!$B$3:$C$14,2,FALSE)-DAY(R402))/VLOOKUP(MONTH(R402),Meses!$B$3:$C$14,2,FALSE)*U402,
"")</f>
        <v/>
      </c>
      <c r="U402" s="22">
        <f t="shared" si="19"/>
        <v>4066</v>
      </c>
    </row>
    <row r="403" spans="1:21" ht="31.8" hidden="1" thickBot="1" x14ac:dyDescent="0.6">
      <c r="A403" s="10" t="s">
        <v>536</v>
      </c>
      <c r="B403" s="10" t="s">
        <v>537</v>
      </c>
      <c r="C403" s="12"/>
      <c r="D403" s="10" t="s">
        <v>74</v>
      </c>
      <c r="E403" s="10" t="s">
        <v>74</v>
      </c>
      <c r="F403" s="10">
        <v>1831</v>
      </c>
      <c r="G403" s="10" t="s">
        <v>15</v>
      </c>
      <c r="H403" s="10" t="s">
        <v>2917</v>
      </c>
      <c r="I403" s="10" t="s">
        <v>43</v>
      </c>
      <c r="J403" s="10" t="s">
        <v>143</v>
      </c>
      <c r="K403" s="10" t="s">
        <v>2895</v>
      </c>
      <c r="L403" s="10" t="s">
        <v>2292</v>
      </c>
      <c r="M403" s="12">
        <v>45400</v>
      </c>
      <c r="N403" s="10" t="s">
        <v>15</v>
      </c>
      <c r="O403" s="10" t="s">
        <v>2057</v>
      </c>
      <c r="P403" s="25" t="str">
        <f>IFERROR(
IF(OR(O403="anulado",O403="stand by"),CONCATENATE(O403,": ",H403),
IF(OR(YEAR(M403)=2022,YEAR(M403)=2023),CONCATENATE("Se activó en ",YEAR(M403)),
IF(AND(OR(O403="En proceso",O403="facturando"),AND(J403="-",M403="")),"Por revisar",
IF(M403="",IF(J403="NUEVAS",CONCATENATE("Estado: ",O403,", ",J403),
IF(L403=Meses!$A$3,"Por revisar",
IF(H403="","Sin registro","En programación Frcst."))),"En programación")))),
"Error")</f>
        <v>En programación</v>
      </c>
      <c r="Q403" s="9" t="str">
        <f t="shared" si="18"/>
        <v/>
      </c>
      <c r="R403" s="25">
        <f>IF(P403="En programación Frcst.",VLOOKUP(L403,Meses!$A$1:$H$14,3+HLOOKUP(Cronograma!J403,Meses!$D$1:$G$2,2,FALSE),FALSE),
IF(P403="En programación",M403,""))</f>
        <v>45400</v>
      </c>
      <c r="S403" s="25" t="str">
        <f t="shared" si="20"/>
        <v>2024/4</v>
      </c>
      <c r="T403" s="21">
        <f>IFERROR(
(VLOOKUP(MONTH(R403),Meses!$B$3:$C$14,2,FALSE)-DAY(R403))/VLOOKUP(MONTH(R403),Meses!$B$3:$C$14,2,FALSE)*U403,
"")</f>
        <v>732.40000000000009</v>
      </c>
      <c r="U403" s="22">
        <f t="shared" si="19"/>
        <v>1831</v>
      </c>
    </row>
    <row r="404" spans="1:21" ht="32.4" hidden="1" thickBot="1" x14ac:dyDescent="0.6">
      <c r="A404" s="10" t="s">
        <v>536</v>
      </c>
      <c r="B404" s="10" t="s">
        <v>539</v>
      </c>
      <c r="C404" s="12">
        <v>45197</v>
      </c>
      <c r="D404" s="10" t="s">
        <v>74</v>
      </c>
      <c r="E404" s="10" t="s">
        <v>74</v>
      </c>
      <c r="F404" s="10">
        <v>8417</v>
      </c>
      <c r="G404" s="10" t="s">
        <v>15</v>
      </c>
      <c r="H404" s="10" t="s">
        <v>17</v>
      </c>
      <c r="I404" s="10" t="s">
        <v>43</v>
      </c>
      <c r="J404" s="10" t="s">
        <v>19</v>
      </c>
      <c r="K404" s="10" t="s">
        <v>19</v>
      </c>
      <c r="L404" s="10" t="s">
        <v>19</v>
      </c>
      <c r="M404" s="12"/>
      <c r="N404" s="10" t="s">
        <v>20</v>
      </c>
      <c r="O404" s="10" t="s">
        <v>2054</v>
      </c>
      <c r="P404" s="25" t="str">
        <f>IFERROR(
IF(OR(O404="anulado",O404="stand by"),CONCATENATE(O404,": ",H404),
IF(OR(YEAR(M404)=2022,YEAR(M404)=2023),CONCATENATE("Se activó en ",YEAR(M404)),
IF(AND(OR(O404="En proceso",O404="facturando"),AND(J404="-",M404="")),"Por revisar",
IF(M404="",IF(J404="NUEVAS",CONCATENATE("Estado: ",O404,", ",J404),
IF(L404=Meses!$A$3,"Por revisar",
IF(H404="","Sin registro","En programación Frcst."))),"En programación")))),
"Error")</f>
        <v>Por revisar</v>
      </c>
      <c r="Q404" s="9" t="str">
        <f t="shared" si="18"/>
        <v>programación de act. NO, estado: Facturando, Comercializador: AIR-E, Etapa: Instalado y Activado</v>
      </c>
      <c r="R404" s="25" t="str">
        <f>IF(P404="En programación Frcst.",VLOOKUP(L404,Meses!$A$1:$H$14,3+HLOOKUP(Cronograma!J404,Meses!$D$1:$G$2,2,FALSE),FALSE),
IF(P404="En programación",M404,""))</f>
        <v/>
      </c>
      <c r="S404" s="25" t="str">
        <f t="shared" si="20"/>
        <v/>
      </c>
      <c r="T404" s="21" t="str">
        <f>IFERROR(
(VLOOKUP(MONTH(R404),Meses!$B$3:$C$14,2,FALSE)-DAY(R404))/VLOOKUP(MONTH(R404),Meses!$B$3:$C$14,2,FALSE)*U404,
"")</f>
        <v/>
      </c>
      <c r="U404" s="22">
        <f t="shared" si="19"/>
        <v>8417</v>
      </c>
    </row>
    <row r="405" spans="1:21" ht="32.4" hidden="1" thickBot="1" x14ac:dyDescent="0.6">
      <c r="A405" s="10" t="s">
        <v>540</v>
      </c>
      <c r="B405" s="10" t="s">
        <v>541</v>
      </c>
      <c r="C405" s="12">
        <v>45120</v>
      </c>
      <c r="D405" s="10" t="s">
        <v>44</v>
      </c>
      <c r="E405" s="10" t="s">
        <v>44</v>
      </c>
      <c r="F405" s="10">
        <v>2720</v>
      </c>
      <c r="G405" s="10" t="s">
        <v>15</v>
      </c>
      <c r="H405" s="10" t="s">
        <v>17</v>
      </c>
      <c r="I405" s="10" t="s">
        <v>43</v>
      </c>
      <c r="J405" s="10" t="s">
        <v>19</v>
      </c>
      <c r="K405" s="10" t="s">
        <v>19</v>
      </c>
      <c r="L405" s="10" t="s">
        <v>19</v>
      </c>
      <c r="M405" s="12"/>
      <c r="N405" s="10" t="s">
        <v>20</v>
      </c>
      <c r="O405" s="10" t="s">
        <v>2054</v>
      </c>
      <c r="P405" s="25" t="str">
        <f>IFERROR(
IF(OR(O405="anulado",O405="stand by"),CONCATENATE(O405,": ",H405),
IF(OR(YEAR(M405)=2022,YEAR(M405)=2023),CONCATENATE("Se activó en ",YEAR(M405)),
IF(AND(OR(O405="En proceso",O405="facturando"),AND(J405="-",M405="")),"Por revisar",
IF(M405="",IF(J405="NUEVAS",CONCATENATE("Estado: ",O405,", ",J405),
IF(L405=Meses!$A$3,"Por revisar",
IF(H405="","Sin registro","En programación Frcst."))),"En programación")))),
"Error")</f>
        <v>Por revisar</v>
      </c>
      <c r="Q405" s="9" t="str">
        <f t="shared" si="18"/>
        <v>programación de act. NO, estado: Facturando, Comercializador: AFINIA, Etapa: Instalado y Activado</v>
      </c>
      <c r="R405" s="25" t="str">
        <f>IF(P405="En programación Frcst.",VLOOKUP(L405,Meses!$A$1:$H$14,3+HLOOKUP(Cronograma!J405,Meses!$D$1:$G$2,2,FALSE),FALSE),
IF(P405="En programación",M405,""))</f>
        <v/>
      </c>
      <c r="S405" s="25" t="str">
        <f t="shared" si="20"/>
        <v/>
      </c>
      <c r="T405" s="21" t="str">
        <f>IFERROR(
(VLOOKUP(MONTH(R405),Meses!$B$3:$C$14,2,FALSE)-DAY(R405))/VLOOKUP(MONTH(R405),Meses!$B$3:$C$14,2,FALSE)*U405,
"")</f>
        <v/>
      </c>
      <c r="U405" s="22">
        <f t="shared" si="19"/>
        <v>2720</v>
      </c>
    </row>
    <row r="406" spans="1:21" ht="32.4" hidden="1" thickBot="1" x14ac:dyDescent="0.6">
      <c r="A406" s="10" t="s">
        <v>542</v>
      </c>
      <c r="B406" s="10" t="s">
        <v>543</v>
      </c>
      <c r="C406" s="12">
        <v>45099</v>
      </c>
      <c r="D406" s="10" t="s">
        <v>14</v>
      </c>
      <c r="E406" s="10" t="s">
        <v>14</v>
      </c>
      <c r="F406" s="10">
        <v>3000</v>
      </c>
      <c r="G406" s="10" t="s">
        <v>15</v>
      </c>
      <c r="H406" s="10" t="s">
        <v>17</v>
      </c>
      <c r="I406" s="10" t="s">
        <v>18</v>
      </c>
      <c r="J406" s="10" t="s">
        <v>19</v>
      </c>
      <c r="K406" s="10" t="s">
        <v>19</v>
      </c>
      <c r="L406" s="10" t="s">
        <v>19</v>
      </c>
      <c r="M406" s="12"/>
      <c r="N406" s="10" t="s">
        <v>20</v>
      </c>
      <c r="O406" s="10" t="s">
        <v>2054</v>
      </c>
      <c r="P406" s="25" t="str">
        <f>IFERROR(
IF(OR(O406="anulado",O406="stand by"),CONCATENATE(O406,": ",H406),
IF(OR(YEAR(M406)=2022,YEAR(M406)=2023),CONCATENATE("Se activó en ",YEAR(M406)),
IF(AND(OR(O406="En proceso",O406="facturando"),AND(J406="-",M406="")),"Por revisar",
IF(M406="",IF(J406="NUEVAS",CONCATENATE("Estado: ",O406,", ",J406),
IF(L406=Meses!$A$3,"Por revisar",
IF(H406="","Sin registro","En programación Frcst."))),"En programación")))),
"Error")</f>
        <v>Por revisar</v>
      </c>
      <c r="Q406" s="9" t="str">
        <f t="shared" si="18"/>
        <v>programación de act. NO, estado: Facturando, Comercializador: ENEL, Etapa: Instalado y Activado</v>
      </c>
      <c r="R406" s="25" t="str">
        <f>IF(P406="En programación Frcst.",VLOOKUP(L406,Meses!$A$1:$H$14,3+HLOOKUP(Cronograma!J406,Meses!$D$1:$G$2,2,FALSE),FALSE),
IF(P406="En programación",M406,""))</f>
        <v/>
      </c>
      <c r="S406" s="25" t="str">
        <f t="shared" si="20"/>
        <v/>
      </c>
      <c r="T406" s="21" t="str">
        <f>IFERROR(
(VLOOKUP(MONTH(R406),Meses!$B$3:$C$14,2,FALSE)-DAY(R406))/VLOOKUP(MONTH(R406),Meses!$B$3:$C$14,2,FALSE)*U406,
"")</f>
        <v/>
      </c>
      <c r="U406" s="22">
        <f t="shared" si="19"/>
        <v>3000</v>
      </c>
    </row>
    <row r="407" spans="1:21" ht="32.4" hidden="1" thickBot="1" x14ac:dyDescent="0.6">
      <c r="A407" s="10" t="s">
        <v>542</v>
      </c>
      <c r="B407" s="10" t="s">
        <v>544</v>
      </c>
      <c r="C407" s="12">
        <v>45099</v>
      </c>
      <c r="D407" s="10" t="s">
        <v>14</v>
      </c>
      <c r="E407" s="10" t="s">
        <v>14</v>
      </c>
      <c r="F407" s="10">
        <v>3337</v>
      </c>
      <c r="G407" s="10" t="s">
        <v>15</v>
      </c>
      <c r="H407" s="10" t="s">
        <v>17</v>
      </c>
      <c r="I407" s="10" t="s">
        <v>18</v>
      </c>
      <c r="J407" s="10" t="s">
        <v>19</v>
      </c>
      <c r="K407" s="10" t="s">
        <v>19</v>
      </c>
      <c r="L407" s="10" t="s">
        <v>19</v>
      </c>
      <c r="M407" s="12"/>
      <c r="N407" s="10" t="s">
        <v>20</v>
      </c>
      <c r="O407" s="10" t="s">
        <v>2054</v>
      </c>
      <c r="P407" s="25" t="str">
        <f>IFERROR(
IF(OR(O407="anulado",O407="stand by"),CONCATENATE(O407,": ",H407),
IF(OR(YEAR(M407)=2022,YEAR(M407)=2023),CONCATENATE("Se activó en ",YEAR(M407)),
IF(AND(OR(O407="En proceso",O407="facturando"),AND(J407="-",M407="")),"Por revisar",
IF(M407="",IF(J407="NUEVAS",CONCATENATE("Estado: ",O407,", ",J407),
IF(L407=Meses!$A$3,"Por revisar",
IF(H407="","Sin registro","En programación Frcst."))),"En programación")))),
"Error")</f>
        <v>Por revisar</v>
      </c>
      <c r="Q407" s="9" t="str">
        <f t="shared" si="18"/>
        <v>programación de act. NO, estado: Facturando, Comercializador: ENEL, Etapa: Instalado y Activado</v>
      </c>
      <c r="R407" s="25" t="str">
        <f>IF(P407="En programación Frcst.",VLOOKUP(L407,Meses!$A$1:$H$14,3+HLOOKUP(Cronograma!J407,Meses!$D$1:$G$2,2,FALSE),FALSE),
IF(P407="En programación",M407,""))</f>
        <v/>
      </c>
      <c r="S407" s="25" t="str">
        <f t="shared" si="20"/>
        <v/>
      </c>
      <c r="T407" s="21" t="str">
        <f>IFERROR(
(VLOOKUP(MONTH(R407),Meses!$B$3:$C$14,2,FALSE)-DAY(R407))/VLOOKUP(MONTH(R407),Meses!$B$3:$C$14,2,FALSE)*U407,
"")</f>
        <v/>
      </c>
      <c r="U407" s="22">
        <f t="shared" si="19"/>
        <v>3337</v>
      </c>
    </row>
    <row r="408" spans="1:21" ht="32.4" hidden="1" thickBot="1" x14ac:dyDescent="0.6">
      <c r="A408" s="10" t="s">
        <v>542</v>
      </c>
      <c r="B408" s="10" t="s">
        <v>545</v>
      </c>
      <c r="C408" s="12">
        <v>45099</v>
      </c>
      <c r="D408" s="10" t="s">
        <v>14</v>
      </c>
      <c r="E408" s="10" t="s">
        <v>14</v>
      </c>
      <c r="F408" s="10">
        <v>4320</v>
      </c>
      <c r="G408" s="10" t="s">
        <v>15</v>
      </c>
      <c r="H408" s="10" t="s">
        <v>17</v>
      </c>
      <c r="I408" s="10" t="s">
        <v>18</v>
      </c>
      <c r="J408" s="10" t="s">
        <v>19</v>
      </c>
      <c r="K408" s="10" t="s">
        <v>19</v>
      </c>
      <c r="L408" s="10" t="s">
        <v>19</v>
      </c>
      <c r="M408" s="12"/>
      <c r="N408" s="10" t="s">
        <v>20</v>
      </c>
      <c r="O408" s="10" t="s">
        <v>2054</v>
      </c>
      <c r="P408" s="25" t="str">
        <f>IFERROR(
IF(OR(O408="anulado",O408="stand by"),CONCATENATE(O408,": ",H408),
IF(OR(YEAR(M408)=2022,YEAR(M408)=2023),CONCATENATE("Se activó en ",YEAR(M408)),
IF(AND(OR(O408="En proceso",O408="facturando"),AND(J408="-",M408="")),"Por revisar",
IF(M408="",IF(J408="NUEVAS",CONCATENATE("Estado: ",O408,", ",J408),
IF(L408=Meses!$A$3,"Por revisar",
IF(H408="","Sin registro","En programación Frcst."))),"En programación")))),
"Error")</f>
        <v>Por revisar</v>
      </c>
      <c r="Q408" s="9" t="str">
        <f t="shared" si="18"/>
        <v>programación de act. NO, estado: Facturando, Comercializador: ENEL, Etapa: Instalado y Activado</v>
      </c>
      <c r="R408" s="25" t="str">
        <f>IF(P408="En programación Frcst.",VLOOKUP(L408,Meses!$A$1:$H$14,3+HLOOKUP(Cronograma!J408,Meses!$D$1:$G$2,2,FALSE),FALSE),
IF(P408="En programación",M408,""))</f>
        <v/>
      </c>
      <c r="S408" s="25" t="str">
        <f t="shared" si="20"/>
        <v/>
      </c>
      <c r="T408" s="21" t="str">
        <f>IFERROR(
(VLOOKUP(MONTH(R408),Meses!$B$3:$C$14,2,FALSE)-DAY(R408))/VLOOKUP(MONTH(R408),Meses!$B$3:$C$14,2,FALSE)*U408,
"")</f>
        <v/>
      </c>
      <c r="U408" s="22">
        <f t="shared" si="19"/>
        <v>4320</v>
      </c>
    </row>
    <row r="409" spans="1:21" ht="32.4" hidden="1" thickBot="1" x14ac:dyDescent="0.6">
      <c r="A409" s="10" t="s">
        <v>372</v>
      </c>
      <c r="B409" s="10" t="s">
        <v>546</v>
      </c>
      <c r="C409" s="12">
        <v>45225</v>
      </c>
      <c r="D409" s="10" t="s">
        <v>74</v>
      </c>
      <c r="E409" s="10" t="s">
        <v>74</v>
      </c>
      <c r="F409" s="10">
        <v>0</v>
      </c>
      <c r="G409" s="10" t="s">
        <v>15</v>
      </c>
      <c r="H409" s="10" t="s">
        <v>17</v>
      </c>
      <c r="I409" s="10" t="s">
        <v>43</v>
      </c>
      <c r="J409" s="10" t="s">
        <v>143</v>
      </c>
      <c r="K409" s="10" t="s">
        <v>144</v>
      </c>
      <c r="L409" s="10" t="s">
        <v>145</v>
      </c>
      <c r="M409" s="12"/>
      <c r="N409" s="10" t="s">
        <v>15</v>
      </c>
      <c r="O409" s="10" t="s">
        <v>2054</v>
      </c>
      <c r="P409" s="25" t="str">
        <f>IFERROR(
IF(OR(O409="anulado",O409="stand by"),CONCATENATE(O409,": ",H409),
IF(OR(YEAR(M409)=2022,YEAR(M409)=2023),CONCATENATE("Se activó en ",YEAR(M409)),
IF(AND(OR(O409="En proceso",O409="facturando"),AND(J409="-",M409="")),"Por revisar",
IF(M409="",IF(J409="NUEVAS",CONCATENATE("Estado: ",O409,", ",J409),
IF(L409=Meses!$A$3,"Por revisar",
IF(H409="","Sin registro","En programación Frcst."))),"En programación")))),
"Error")</f>
        <v>Por revisar</v>
      </c>
      <c r="Q409" s="9" t="str">
        <f t="shared" si="18"/>
        <v>programación de act. SI, estado: Facturando, Comercializador: AIR-E, Etapa: Instalado y Activado</v>
      </c>
      <c r="R409" s="25" t="str">
        <f>IF(P409="En programación Frcst.",VLOOKUP(L409,Meses!$A$1:$H$14,3+HLOOKUP(Cronograma!J409,Meses!$D$1:$G$2,2,FALSE),FALSE),
IF(P409="En programación",M409,""))</f>
        <v/>
      </c>
      <c r="S409" s="25" t="str">
        <f t="shared" si="20"/>
        <v/>
      </c>
      <c r="T409" s="21" t="str">
        <f>IFERROR(
(VLOOKUP(MONTH(R409),Meses!$B$3:$C$14,2,FALSE)-DAY(R409))/VLOOKUP(MONTH(R409),Meses!$B$3:$C$14,2,FALSE)*U409,
"")</f>
        <v/>
      </c>
      <c r="U409" s="22">
        <f t="shared" si="19"/>
        <v>0</v>
      </c>
    </row>
    <row r="410" spans="1:21" ht="32.4" hidden="1" thickBot="1" x14ac:dyDescent="0.6">
      <c r="A410" s="10" t="s">
        <v>372</v>
      </c>
      <c r="B410" s="10" t="s">
        <v>547</v>
      </c>
      <c r="C410" s="12">
        <v>45232</v>
      </c>
      <c r="D410" s="10" t="s">
        <v>171</v>
      </c>
      <c r="E410" s="10" t="s">
        <v>74</v>
      </c>
      <c r="F410" s="10">
        <v>161</v>
      </c>
      <c r="G410" s="10" t="s">
        <v>15</v>
      </c>
      <c r="H410" s="10" t="s">
        <v>17</v>
      </c>
      <c r="I410" s="10" t="s">
        <v>66</v>
      </c>
      <c r="J410" s="10" t="s">
        <v>19</v>
      </c>
      <c r="K410" s="10" t="s">
        <v>19</v>
      </c>
      <c r="L410" s="10" t="s">
        <v>19</v>
      </c>
      <c r="M410" s="12"/>
      <c r="N410" s="10" t="s">
        <v>20</v>
      </c>
      <c r="O410" s="10" t="s">
        <v>2054</v>
      </c>
      <c r="P410" s="25" t="str">
        <f>IFERROR(
IF(OR(O410="anulado",O410="stand by"),CONCATENATE(O410,": ",H410),
IF(OR(YEAR(M410)=2022,YEAR(M410)=2023),CONCATENATE("Se activó en ",YEAR(M410)),
IF(AND(OR(O410="En proceso",O410="facturando"),AND(J410="-",M410="")),"Por revisar",
IF(M410="",IF(J410="NUEVAS",CONCATENATE("Estado: ",O410,", ",J410),
IF(L410=Meses!$A$3,"Por revisar",
IF(H410="","Sin registro","En programación Frcst."))),"En programación")))),
"Error")</f>
        <v>Por revisar</v>
      </c>
      <c r="Q410" s="9" t="str">
        <f t="shared" si="18"/>
        <v>programación de act. NO, estado: Facturando, Comercializador: VATIA, Etapa: Instalado y Activado</v>
      </c>
      <c r="R410" s="25" t="str">
        <f>IF(P410="En programación Frcst.",VLOOKUP(L410,Meses!$A$1:$H$14,3+HLOOKUP(Cronograma!J410,Meses!$D$1:$G$2,2,FALSE),FALSE),
IF(P410="En programación",M410,""))</f>
        <v/>
      </c>
      <c r="S410" s="25" t="str">
        <f t="shared" si="20"/>
        <v/>
      </c>
      <c r="T410" s="21" t="str">
        <f>IFERROR(
(VLOOKUP(MONTH(R410),Meses!$B$3:$C$14,2,FALSE)-DAY(R410))/VLOOKUP(MONTH(R410),Meses!$B$3:$C$14,2,FALSE)*U410,
"")</f>
        <v/>
      </c>
      <c r="U410" s="22">
        <f t="shared" si="19"/>
        <v>161</v>
      </c>
    </row>
    <row r="411" spans="1:21" ht="32.4" hidden="1" thickBot="1" x14ac:dyDescent="0.6">
      <c r="A411" s="10" t="s">
        <v>372</v>
      </c>
      <c r="B411" s="10" t="s">
        <v>548</v>
      </c>
      <c r="C411" s="12">
        <v>45232</v>
      </c>
      <c r="D411" s="10" t="s">
        <v>171</v>
      </c>
      <c r="E411" s="10" t="s">
        <v>74</v>
      </c>
      <c r="F411" s="10">
        <v>2045</v>
      </c>
      <c r="G411" s="10" t="s">
        <v>15</v>
      </c>
      <c r="H411" s="10" t="s">
        <v>17</v>
      </c>
      <c r="I411" s="10" t="s">
        <v>66</v>
      </c>
      <c r="J411" s="10" t="s">
        <v>19</v>
      </c>
      <c r="K411" s="10" t="s">
        <v>19</v>
      </c>
      <c r="L411" s="10" t="s">
        <v>19</v>
      </c>
      <c r="M411" s="12"/>
      <c r="N411" s="10" t="s">
        <v>20</v>
      </c>
      <c r="O411" s="10" t="s">
        <v>2054</v>
      </c>
      <c r="P411" s="25" t="str">
        <f>IFERROR(
IF(OR(O411="anulado",O411="stand by"),CONCATENATE(O411,": ",H411),
IF(OR(YEAR(M411)=2022,YEAR(M411)=2023),CONCATENATE("Se activó en ",YEAR(M411)),
IF(AND(OR(O411="En proceso",O411="facturando"),AND(J411="-",M411="")),"Por revisar",
IF(M411="",IF(J411="NUEVAS",CONCATENATE("Estado: ",O411,", ",J411),
IF(L411=Meses!$A$3,"Por revisar",
IF(H411="","Sin registro","En programación Frcst."))),"En programación")))),
"Error")</f>
        <v>Por revisar</v>
      </c>
      <c r="Q411" s="9" t="str">
        <f t="shared" si="18"/>
        <v>programación de act. NO, estado: Facturando, Comercializador: VATIA, Etapa: Instalado y Activado</v>
      </c>
      <c r="R411" s="25" t="str">
        <f>IF(P411="En programación Frcst.",VLOOKUP(L411,Meses!$A$1:$H$14,3+HLOOKUP(Cronograma!J411,Meses!$D$1:$G$2,2,FALSE),FALSE),
IF(P411="En programación",M411,""))</f>
        <v/>
      </c>
      <c r="S411" s="25" t="str">
        <f t="shared" si="20"/>
        <v/>
      </c>
      <c r="T411" s="21" t="str">
        <f>IFERROR(
(VLOOKUP(MONTH(R411),Meses!$B$3:$C$14,2,FALSE)-DAY(R411))/VLOOKUP(MONTH(R411),Meses!$B$3:$C$14,2,FALSE)*U411,
"")</f>
        <v/>
      </c>
      <c r="U411" s="22">
        <f t="shared" si="19"/>
        <v>2045</v>
      </c>
    </row>
    <row r="412" spans="1:21" ht="32.4" hidden="1" thickBot="1" x14ac:dyDescent="0.6">
      <c r="A412" s="10" t="s">
        <v>372</v>
      </c>
      <c r="B412" s="10" t="s">
        <v>549</v>
      </c>
      <c r="C412" s="12">
        <v>45232</v>
      </c>
      <c r="D412" s="10" t="s">
        <v>171</v>
      </c>
      <c r="E412" s="10" t="s">
        <v>74</v>
      </c>
      <c r="F412" s="10">
        <v>2045</v>
      </c>
      <c r="G412" s="10" t="s">
        <v>15</v>
      </c>
      <c r="H412" s="10" t="s">
        <v>17</v>
      </c>
      <c r="I412" s="10" t="s">
        <v>66</v>
      </c>
      <c r="J412" s="10" t="s">
        <v>19</v>
      </c>
      <c r="K412" s="10" t="s">
        <v>19</v>
      </c>
      <c r="L412" s="10" t="s">
        <v>19</v>
      </c>
      <c r="M412" s="12"/>
      <c r="N412" s="10" t="s">
        <v>20</v>
      </c>
      <c r="O412" s="10" t="s">
        <v>2054</v>
      </c>
      <c r="P412" s="25" t="str">
        <f>IFERROR(
IF(OR(O412="anulado",O412="stand by"),CONCATENATE(O412,": ",H412),
IF(OR(YEAR(M412)=2022,YEAR(M412)=2023),CONCATENATE("Se activó en ",YEAR(M412)),
IF(AND(OR(O412="En proceso",O412="facturando"),AND(J412="-",M412="")),"Por revisar",
IF(M412="",IF(J412="NUEVAS",CONCATENATE("Estado: ",O412,", ",J412),
IF(L412=Meses!$A$3,"Por revisar",
IF(H412="","Sin registro","En programación Frcst."))),"En programación")))),
"Error")</f>
        <v>Por revisar</v>
      </c>
      <c r="Q412" s="9" t="str">
        <f t="shared" si="18"/>
        <v>programación de act. NO, estado: Facturando, Comercializador: VATIA, Etapa: Instalado y Activado</v>
      </c>
      <c r="R412" s="25" t="str">
        <f>IF(P412="En programación Frcst.",VLOOKUP(L412,Meses!$A$1:$H$14,3+HLOOKUP(Cronograma!J412,Meses!$D$1:$G$2,2,FALSE),FALSE),
IF(P412="En programación",M412,""))</f>
        <v/>
      </c>
      <c r="S412" s="25" t="str">
        <f t="shared" si="20"/>
        <v/>
      </c>
      <c r="T412" s="21" t="str">
        <f>IFERROR(
(VLOOKUP(MONTH(R412),Meses!$B$3:$C$14,2,FALSE)-DAY(R412))/VLOOKUP(MONTH(R412),Meses!$B$3:$C$14,2,FALSE)*U412,
"")</f>
        <v/>
      </c>
      <c r="U412" s="22">
        <f t="shared" si="19"/>
        <v>2045</v>
      </c>
    </row>
    <row r="413" spans="1:21" ht="32.4" hidden="1" thickBot="1" x14ac:dyDescent="0.6">
      <c r="A413" s="10" t="s">
        <v>372</v>
      </c>
      <c r="B413" s="10" t="s">
        <v>550</v>
      </c>
      <c r="C413" s="12">
        <v>45225</v>
      </c>
      <c r="D413" s="10" t="s">
        <v>171</v>
      </c>
      <c r="E413" s="10" t="s">
        <v>74</v>
      </c>
      <c r="F413" s="10">
        <v>237</v>
      </c>
      <c r="G413" s="10" t="s">
        <v>15</v>
      </c>
      <c r="H413" s="10" t="s">
        <v>17</v>
      </c>
      <c r="I413" s="10" t="s">
        <v>66</v>
      </c>
      <c r="J413" s="10" t="s">
        <v>19</v>
      </c>
      <c r="K413" s="10" t="s">
        <v>19</v>
      </c>
      <c r="L413" s="10" t="s">
        <v>19</v>
      </c>
      <c r="M413" s="12"/>
      <c r="N413" s="10" t="s">
        <v>20</v>
      </c>
      <c r="O413" s="10" t="s">
        <v>2054</v>
      </c>
      <c r="P413" s="25" t="str">
        <f>IFERROR(
IF(OR(O413="anulado",O413="stand by"),CONCATENATE(O413,": ",H413),
IF(OR(YEAR(M413)=2022,YEAR(M413)=2023),CONCATENATE("Se activó en ",YEAR(M413)),
IF(AND(OR(O413="En proceso",O413="facturando"),AND(J413="-",M413="")),"Por revisar",
IF(M413="",IF(J413="NUEVAS",CONCATENATE("Estado: ",O413,", ",J413),
IF(L413=Meses!$A$3,"Por revisar",
IF(H413="","Sin registro","En programación Frcst."))),"En programación")))),
"Error")</f>
        <v>Por revisar</v>
      </c>
      <c r="Q413" s="9" t="str">
        <f t="shared" si="18"/>
        <v>programación de act. NO, estado: Facturando, Comercializador: VATIA, Etapa: Instalado y Activado</v>
      </c>
      <c r="R413" s="25" t="str">
        <f>IF(P413="En programación Frcst.",VLOOKUP(L413,Meses!$A$1:$H$14,3+HLOOKUP(Cronograma!J413,Meses!$D$1:$G$2,2,FALSE),FALSE),
IF(P413="En programación",M413,""))</f>
        <v/>
      </c>
      <c r="S413" s="25" t="str">
        <f t="shared" si="20"/>
        <v/>
      </c>
      <c r="T413" s="21" t="str">
        <f>IFERROR(
(VLOOKUP(MONTH(R413),Meses!$B$3:$C$14,2,FALSE)-DAY(R413))/VLOOKUP(MONTH(R413),Meses!$B$3:$C$14,2,FALSE)*U413,
"")</f>
        <v/>
      </c>
      <c r="U413" s="22">
        <f t="shared" si="19"/>
        <v>237</v>
      </c>
    </row>
    <row r="414" spans="1:21" ht="32.4" hidden="1" thickBot="1" x14ac:dyDescent="0.6">
      <c r="A414" s="10" t="s">
        <v>372</v>
      </c>
      <c r="B414" s="10" t="s">
        <v>551</v>
      </c>
      <c r="C414" s="12">
        <v>45225</v>
      </c>
      <c r="D414" s="10" t="s">
        <v>171</v>
      </c>
      <c r="E414" s="10" t="s">
        <v>74</v>
      </c>
      <c r="F414" s="10">
        <v>656</v>
      </c>
      <c r="G414" s="10" t="s">
        <v>15</v>
      </c>
      <c r="H414" s="10" t="s">
        <v>17</v>
      </c>
      <c r="I414" s="10" t="s">
        <v>66</v>
      </c>
      <c r="J414" s="10" t="s">
        <v>19</v>
      </c>
      <c r="K414" s="10" t="s">
        <v>19</v>
      </c>
      <c r="L414" s="10" t="s">
        <v>19</v>
      </c>
      <c r="M414" s="12"/>
      <c r="N414" s="10" t="s">
        <v>20</v>
      </c>
      <c r="O414" s="10" t="s">
        <v>2054</v>
      </c>
      <c r="P414" s="25" t="str">
        <f>IFERROR(
IF(OR(O414="anulado",O414="stand by"),CONCATENATE(O414,": ",H414),
IF(OR(YEAR(M414)=2022,YEAR(M414)=2023),CONCATENATE("Se activó en ",YEAR(M414)),
IF(AND(OR(O414="En proceso",O414="facturando"),AND(J414="-",M414="")),"Por revisar",
IF(M414="",IF(J414="NUEVAS",CONCATENATE("Estado: ",O414,", ",J414),
IF(L414=Meses!$A$3,"Por revisar",
IF(H414="","Sin registro","En programación Frcst."))),"En programación")))),
"Error")</f>
        <v>Por revisar</v>
      </c>
      <c r="Q414" s="9" t="str">
        <f t="shared" si="18"/>
        <v>programación de act. NO, estado: Facturando, Comercializador: VATIA, Etapa: Instalado y Activado</v>
      </c>
      <c r="R414" s="25" t="str">
        <f>IF(P414="En programación Frcst.",VLOOKUP(L414,Meses!$A$1:$H$14,3+HLOOKUP(Cronograma!J414,Meses!$D$1:$G$2,2,FALSE),FALSE),
IF(P414="En programación",M414,""))</f>
        <v/>
      </c>
      <c r="S414" s="25" t="str">
        <f t="shared" si="20"/>
        <v/>
      </c>
      <c r="T414" s="21" t="str">
        <f>IFERROR(
(VLOOKUP(MONTH(R414),Meses!$B$3:$C$14,2,FALSE)-DAY(R414))/VLOOKUP(MONTH(R414),Meses!$B$3:$C$14,2,FALSE)*U414,
"")</f>
        <v/>
      </c>
      <c r="U414" s="22">
        <f t="shared" si="19"/>
        <v>656</v>
      </c>
    </row>
    <row r="415" spans="1:21" ht="32.4" hidden="1" thickBot="1" x14ac:dyDescent="0.6">
      <c r="A415" s="10" t="s">
        <v>372</v>
      </c>
      <c r="B415" s="10" t="s">
        <v>552</v>
      </c>
      <c r="C415" s="12">
        <v>45225</v>
      </c>
      <c r="D415" s="10" t="s">
        <v>171</v>
      </c>
      <c r="E415" s="10" t="s">
        <v>74</v>
      </c>
      <c r="F415" s="10">
        <v>743</v>
      </c>
      <c r="G415" s="10" t="s">
        <v>15</v>
      </c>
      <c r="H415" s="10" t="s">
        <v>17</v>
      </c>
      <c r="I415" s="10" t="s">
        <v>66</v>
      </c>
      <c r="J415" s="10" t="s">
        <v>19</v>
      </c>
      <c r="K415" s="10" t="s">
        <v>19</v>
      </c>
      <c r="L415" s="10" t="s">
        <v>19</v>
      </c>
      <c r="M415" s="12"/>
      <c r="N415" s="10" t="s">
        <v>20</v>
      </c>
      <c r="O415" s="10" t="s">
        <v>2054</v>
      </c>
      <c r="P415" s="25" t="str">
        <f>IFERROR(
IF(OR(O415="anulado",O415="stand by"),CONCATENATE(O415,": ",H415),
IF(OR(YEAR(M415)=2022,YEAR(M415)=2023),CONCATENATE("Se activó en ",YEAR(M415)),
IF(AND(OR(O415="En proceso",O415="facturando"),AND(J415="-",M415="")),"Por revisar",
IF(M415="",IF(J415="NUEVAS",CONCATENATE("Estado: ",O415,", ",J415),
IF(L415=Meses!$A$3,"Por revisar",
IF(H415="","Sin registro","En programación Frcst."))),"En programación")))),
"Error")</f>
        <v>Por revisar</v>
      </c>
      <c r="Q415" s="9" t="str">
        <f t="shared" si="18"/>
        <v>programación de act. NO, estado: Facturando, Comercializador: VATIA, Etapa: Instalado y Activado</v>
      </c>
      <c r="R415" s="25" t="str">
        <f>IF(P415="En programación Frcst.",VLOOKUP(L415,Meses!$A$1:$H$14,3+HLOOKUP(Cronograma!J415,Meses!$D$1:$G$2,2,FALSE),FALSE),
IF(P415="En programación",M415,""))</f>
        <v/>
      </c>
      <c r="S415" s="25" t="str">
        <f t="shared" si="20"/>
        <v/>
      </c>
      <c r="T415" s="21" t="str">
        <f>IFERROR(
(VLOOKUP(MONTH(R415),Meses!$B$3:$C$14,2,FALSE)-DAY(R415))/VLOOKUP(MONTH(R415),Meses!$B$3:$C$14,2,FALSE)*U415,
"")</f>
        <v/>
      </c>
      <c r="U415" s="22">
        <f t="shared" si="19"/>
        <v>743</v>
      </c>
    </row>
    <row r="416" spans="1:21" ht="32.4" hidden="1" thickBot="1" x14ac:dyDescent="0.6">
      <c r="A416" s="10" t="s">
        <v>372</v>
      </c>
      <c r="B416" s="10" t="s">
        <v>553</v>
      </c>
      <c r="C416" s="12">
        <v>45225</v>
      </c>
      <c r="D416" s="10" t="s">
        <v>171</v>
      </c>
      <c r="E416" s="10" t="s">
        <v>74</v>
      </c>
      <c r="F416" s="10">
        <v>270</v>
      </c>
      <c r="G416" s="10" t="s">
        <v>15</v>
      </c>
      <c r="H416" s="10" t="s">
        <v>17</v>
      </c>
      <c r="I416" s="10" t="s">
        <v>66</v>
      </c>
      <c r="J416" s="10" t="s">
        <v>19</v>
      </c>
      <c r="K416" s="10" t="s">
        <v>19</v>
      </c>
      <c r="L416" s="10" t="s">
        <v>19</v>
      </c>
      <c r="M416" s="12"/>
      <c r="N416" s="10" t="s">
        <v>20</v>
      </c>
      <c r="O416" s="10" t="s">
        <v>2054</v>
      </c>
      <c r="P416" s="25" t="str">
        <f>IFERROR(
IF(OR(O416="anulado",O416="stand by"),CONCATENATE(O416,": ",H416),
IF(OR(YEAR(M416)=2022,YEAR(M416)=2023),CONCATENATE("Se activó en ",YEAR(M416)),
IF(AND(OR(O416="En proceso",O416="facturando"),AND(J416="-",M416="")),"Por revisar",
IF(M416="",IF(J416="NUEVAS",CONCATENATE("Estado: ",O416,", ",J416),
IF(L416=Meses!$A$3,"Por revisar",
IF(H416="","Sin registro","En programación Frcst."))),"En programación")))),
"Error")</f>
        <v>Por revisar</v>
      </c>
      <c r="Q416" s="9" t="str">
        <f t="shared" si="18"/>
        <v>programación de act. NO, estado: Facturando, Comercializador: VATIA, Etapa: Instalado y Activado</v>
      </c>
      <c r="R416" s="25" t="str">
        <f>IF(P416="En programación Frcst.",VLOOKUP(L416,Meses!$A$1:$H$14,3+HLOOKUP(Cronograma!J416,Meses!$D$1:$G$2,2,FALSE),FALSE),
IF(P416="En programación",M416,""))</f>
        <v/>
      </c>
      <c r="S416" s="25" t="str">
        <f t="shared" si="20"/>
        <v/>
      </c>
      <c r="T416" s="21" t="str">
        <f>IFERROR(
(VLOOKUP(MONTH(R416),Meses!$B$3:$C$14,2,FALSE)-DAY(R416))/VLOOKUP(MONTH(R416),Meses!$B$3:$C$14,2,FALSE)*U416,
"")</f>
        <v/>
      </c>
      <c r="U416" s="22">
        <f t="shared" si="19"/>
        <v>270</v>
      </c>
    </row>
    <row r="417" spans="1:21" ht="32.4" hidden="1" thickBot="1" x14ac:dyDescent="0.6">
      <c r="A417" s="10" t="s">
        <v>372</v>
      </c>
      <c r="B417" s="10" t="s">
        <v>554</v>
      </c>
      <c r="C417" s="12">
        <v>45225</v>
      </c>
      <c r="D417" s="10" t="s">
        <v>171</v>
      </c>
      <c r="E417" s="10" t="s">
        <v>74</v>
      </c>
      <c r="F417" s="10">
        <v>791</v>
      </c>
      <c r="G417" s="10" t="s">
        <v>15</v>
      </c>
      <c r="H417" s="10" t="s">
        <v>17</v>
      </c>
      <c r="I417" s="10" t="s">
        <v>66</v>
      </c>
      <c r="J417" s="10" t="s">
        <v>19</v>
      </c>
      <c r="K417" s="10" t="s">
        <v>19</v>
      </c>
      <c r="L417" s="10" t="s">
        <v>19</v>
      </c>
      <c r="M417" s="12"/>
      <c r="N417" s="10" t="s">
        <v>20</v>
      </c>
      <c r="O417" s="10" t="s">
        <v>2054</v>
      </c>
      <c r="P417" s="25" t="str">
        <f>IFERROR(
IF(OR(O417="anulado",O417="stand by"),CONCATENATE(O417,": ",H417),
IF(OR(YEAR(M417)=2022,YEAR(M417)=2023),CONCATENATE("Se activó en ",YEAR(M417)),
IF(AND(OR(O417="En proceso",O417="facturando"),AND(J417="-",M417="")),"Por revisar",
IF(M417="",IF(J417="NUEVAS",CONCATENATE("Estado: ",O417,", ",J417),
IF(L417=Meses!$A$3,"Por revisar",
IF(H417="","Sin registro","En programación Frcst."))),"En programación")))),
"Error")</f>
        <v>Por revisar</v>
      </c>
      <c r="Q417" s="9" t="str">
        <f t="shared" si="18"/>
        <v>programación de act. NO, estado: Facturando, Comercializador: VATIA, Etapa: Instalado y Activado</v>
      </c>
      <c r="R417" s="25" t="str">
        <f>IF(P417="En programación Frcst.",VLOOKUP(L417,Meses!$A$1:$H$14,3+HLOOKUP(Cronograma!J417,Meses!$D$1:$G$2,2,FALSE),FALSE),
IF(P417="En programación",M417,""))</f>
        <v/>
      </c>
      <c r="S417" s="25" t="str">
        <f t="shared" si="20"/>
        <v/>
      </c>
      <c r="T417" s="21" t="str">
        <f>IFERROR(
(VLOOKUP(MONTH(R417),Meses!$B$3:$C$14,2,FALSE)-DAY(R417))/VLOOKUP(MONTH(R417),Meses!$B$3:$C$14,2,FALSE)*U417,
"")</f>
        <v/>
      </c>
      <c r="U417" s="22">
        <f t="shared" si="19"/>
        <v>791</v>
      </c>
    </row>
    <row r="418" spans="1:21" ht="32.4" hidden="1" thickBot="1" x14ac:dyDescent="0.6">
      <c r="A418" s="10" t="s">
        <v>372</v>
      </c>
      <c r="B418" s="10" t="s">
        <v>555</v>
      </c>
      <c r="C418" s="12">
        <v>45232</v>
      </c>
      <c r="D418" s="10" t="s">
        <v>171</v>
      </c>
      <c r="E418" s="10" t="s">
        <v>74</v>
      </c>
      <c r="F418" s="10">
        <v>916</v>
      </c>
      <c r="G418" s="10" t="s">
        <v>15</v>
      </c>
      <c r="H418" s="10" t="s">
        <v>17</v>
      </c>
      <c r="I418" s="10" t="s">
        <v>66</v>
      </c>
      <c r="J418" s="10" t="s">
        <v>19</v>
      </c>
      <c r="K418" s="10" t="s">
        <v>19</v>
      </c>
      <c r="L418" s="10" t="s">
        <v>19</v>
      </c>
      <c r="M418" s="12"/>
      <c r="N418" s="10" t="s">
        <v>20</v>
      </c>
      <c r="O418" s="10" t="s">
        <v>2054</v>
      </c>
      <c r="P418" s="25" t="str">
        <f>IFERROR(
IF(OR(O418="anulado",O418="stand by"),CONCATENATE(O418,": ",H418),
IF(OR(YEAR(M418)=2022,YEAR(M418)=2023),CONCATENATE("Se activó en ",YEAR(M418)),
IF(AND(OR(O418="En proceso",O418="facturando"),AND(J418="-",M418="")),"Por revisar",
IF(M418="",IF(J418="NUEVAS",CONCATENATE("Estado: ",O418,", ",J418),
IF(L418=Meses!$A$3,"Por revisar",
IF(H418="","Sin registro","En programación Frcst."))),"En programación")))),
"Error")</f>
        <v>Por revisar</v>
      </c>
      <c r="Q418" s="9" t="str">
        <f t="shared" si="18"/>
        <v>programación de act. NO, estado: Facturando, Comercializador: VATIA, Etapa: Instalado y Activado</v>
      </c>
      <c r="R418" s="25" t="str">
        <f>IF(P418="En programación Frcst.",VLOOKUP(L418,Meses!$A$1:$H$14,3+HLOOKUP(Cronograma!J418,Meses!$D$1:$G$2,2,FALSE),FALSE),
IF(P418="En programación",M418,""))</f>
        <v/>
      </c>
      <c r="S418" s="25" t="str">
        <f t="shared" si="20"/>
        <v/>
      </c>
      <c r="T418" s="21" t="str">
        <f>IFERROR(
(VLOOKUP(MONTH(R418),Meses!$B$3:$C$14,2,FALSE)-DAY(R418))/VLOOKUP(MONTH(R418),Meses!$B$3:$C$14,2,FALSE)*U418,
"")</f>
        <v/>
      </c>
      <c r="U418" s="22">
        <f t="shared" si="19"/>
        <v>916</v>
      </c>
    </row>
    <row r="419" spans="1:21" ht="32.4" hidden="1" thickBot="1" x14ac:dyDescent="0.6">
      <c r="A419" s="10" t="s">
        <v>372</v>
      </c>
      <c r="B419" s="10" t="s">
        <v>556</v>
      </c>
      <c r="C419" s="12">
        <v>45232</v>
      </c>
      <c r="D419" s="10" t="s">
        <v>171</v>
      </c>
      <c r="E419" s="10" t="s">
        <v>74</v>
      </c>
      <c r="F419" s="10">
        <v>1400</v>
      </c>
      <c r="G419" s="10" t="s">
        <v>15</v>
      </c>
      <c r="H419" s="10" t="s">
        <v>17</v>
      </c>
      <c r="I419" s="10" t="s">
        <v>66</v>
      </c>
      <c r="J419" s="10" t="s">
        <v>19</v>
      </c>
      <c r="K419" s="10" t="s">
        <v>19</v>
      </c>
      <c r="L419" s="10" t="s">
        <v>19</v>
      </c>
      <c r="M419" s="12"/>
      <c r="N419" s="10" t="s">
        <v>20</v>
      </c>
      <c r="O419" s="10" t="s">
        <v>2054</v>
      </c>
      <c r="P419" s="25" t="str">
        <f>IFERROR(
IF(OR(O419="anulado",O419="stand by"),CONCATENATE(O419,": ",H419),
IF(OR(YEAR(M419)=2022,YEAR(M419)=2023),CONCATENATE("Se activó en ",YEAR(M419)),
IF(AND(OR(O419="En proceso",O419="facturando"),AND(J419="-",M419="")),"Por revisar",
IF(M419="",IF(J419="NUEVAS",CONCATENATE("Estado: ",O419,", ",J419),
IF(L419=Meses!$A$3,"Por revisar",
IF(H419="","Sin registro","En programación Frcst."))),"En programación")))),
"Error")</f>
        <v>Por revisar</v>
      </c>
      <c r="Q419" s="9" t="str">
        <f t="shared" si="18"/>
        <v>programación de act. NO, estado: Facturando, Comercializador: VATIA, Etapa: Instalado y Activado</v>
      </c>
      <c r="R419" s="25" t="str">
        <f>IF(P419="En programación Frcst.",VLOOKUP(L419,Meses!$A$1:$H$14,3+HLOOKUP(Cronograma!J419,Meses!$D$1:$G$2,2,FALSE),FALSE),
IF(P419="En programación",M419,""))</f>
        <v/>
      </c>
      <c r="S419" s="25" t="str">
        <f t="shared" si="20"/>
        <v/>
      </c>
      <c r="T419" s="21" t="str">
        <f>IFERROR(
(VLOOKUP(MONTH(R419),Meses!$B$3:$C$14,2,FALSE)-DAY(R419))/VLOOKUP(MONTH(R419),Meses!$B$3:$C$14,2,FALSE)*U419,
"")</f>
        <v/>
      </c>
      <c r="U419" s="22">
        <f t="shared" si="19"/>
        <v>1400</v>
      </c>
    </row>
    <row r="420" spans="1:21" ht="32.4" hidden="1" thickBot="1" x14ac:dyDescent="0.6">
      <c r="A420" s="10" t="s">
        <v>372</v>
      </c>
      <c r="B420" s="10" t="s">
        <v>557</v>
      </c>
      <c r="C420" s="12">
        <v>45225</v>
      </c>
      <c r="D420" s="10" t="s">
        <v>171</v>
      </c>
      <c r="E420" s="10" t="s">
        <v>74</v>
      </c>
      <c r="F420" s="10">
        <v>422</v>
      </c>
      <c r="G420" s="10" t="s">
        <v>15</v>
      </c>
      <c r="H420" s="10" t="s">
        <v>17</v>
      </c>
      <c r="I420" s="10" t="s">
        <v>66</v>
      </c>
      <c r="J420" s="10" t="s">
        <v>19</v>
      </c>
      <c r="K420" s="10" t="s">
        <v>19</v>
      </c>
      <c r="L420" s="10" t="s">
        <v>19</v>
      </c>
      <c r="M420" s="12"/>
      <c r="N420" s="10" t="s">
        <v>20</v>
      </c>
      <c r="O420" s="10" t="s">
        <v>2054</v>
      </c>
      <c r="P420" s="25" t="str">
        <f>IFERROR(
IF(OR(O420="anulado",O420="stand by"),CONCATENATE(O420,": ",H420),
IF(OR(YEAR(M420)=2022,YEAR(M420)=2023),CONCATENATE("Se activó en ",YEAR(M420)),
IF(AND(OR(O420="En proceso",O420="facturando"),AND(J420="-",M420="")),"Por revisar",
IF(M420="",IF(J420="NUEVAS",CONCATENATE("Estado: ",O420,", ",J420),
IF(L420=Meses!$A$3,"Por revisar",
IF(H420="","Sin registro","En programación Frcst."))),"En programación")))),
"Error")</f>
        <v>Por revisar</v>
      </c>
      <c r="Q420" s="9" t="str">
        <f t="shared" si="18"/>
        <v>programación de act. NO, estado: Facturando, Comercializador: VATIA, Etapa: Instalado y Activado</v>
      </c>
      <c r="R420" s="25" t="str">
        <f>IF(P420="En programación Frcst.",VLOOKUP(L420,Meses!$A$1:$H$14,3+HLOOKUP(Cronograma!J420,Meses!$D$1:$G$2,2,FALSE),FALSE),
IF(P420="En programación",M420,""))</f>
        <v/>
      </c>
      <c r="S420" s="25" t="str">
        <f t="shared" si="20"/>
        <v/>
      </c>
      <c r="T420" s="21" t="str">
        <f>IFERROR(
(VLOOKUP(MONTH(R420),Meses!$B$3:$C$14,2,FALSE)-DAY(R420))/VLOOKUP(MONTH(R420),Meses!$B$3:$C$14,2,FALSE)*U420,
"")</f>
        <v/>
      </c>
      <c r="U420" s="22">
        <f t="shared" si="19"/>
        <v>422</v>
      </c>
    </row>
    <row r="421" spans="1:21" ht="32.4" hidden="1" thickBot="1" x14ac:dyDescent="0.6">
      <c r="A421" s="10" t="s">
        <v>372</v>
      </c>
      <c r="B421" s="10" t="s">
        <v>558</v>
      </c>
      <c r="C421" s="12">
        <v>45232</v>
      </c>
      <c r="D421" s="10" t="s">
        <v>171</v>
      </c>
      <c r="E421" s="10" t="s">
        <v>74</v>
      </c>
      <c r="F421" s="10">
        <v>423</v>
      </c>
      <c r="G421" s="10" t="s">
        <v>15</v>
      </c>
      <c r="H421" s="10" t="s">
        <v>17</v>
      </c>
      <c r="I421" s="10" t="s">
        <v>66</v>
      </c>
      <c r="J421" s="10" t="s">
        <v>19</v>
      </c>
      <c r="K421" s="10" t="s">
        <v>19</v>
      </c>
      <c r="L421" s="10" t="s">
        <v>19</v>
      </c>
      <c r="M421" s="12"/>
      <c r="N421" s="10" t="s">
        <v>20</v>
      </c>
      <c r="O421" s="10" t="s">
        <v>2054</v>
      </c>
      <c r="P421" s="25" t="str">
        <f>IFERROR(
IF(OR(O421="anulado",O421="stand by"),CONCATENATE(O421,": ",H421),
IF(OR(YEAR(M421)=2022,YEAR(M421)=2023),CONCATENATE("Se activó en ",YEAR(M421)),
IF(AND(OR(O421="En proceso",O421="facturando"),AND(J421="-",M421="")),"Por revisar",
IF(M421="",IF(J421="NUEVAS",CONCATENATE("Estado: ",O421,", ",J421),
IF(L421=Meses!$A$3,"Por revisar",
IF(H421="","Sin registro","En programación Frcst."))),"En programación")))),
"Error")</f>
        <v>Por revisar</v>
      </c>
      <c r="Q421" s="9" t="str">
        <f t="shared" si="18"/>
        <v>programación de act. NO, estado: Facturando, Comercializador: VATIA, Etapa: Instalado y Activado</v>
      </c>
      <c r="R421" s="25" t="str">
        <f>IF(P421="En programación Frcst.",VLOOKUP(L421,Meses!$A$1:$H$14,3+HLOOKUP(Cronograma!J421,Meses!$D$1:$G$2,2,FALSE),FALSE),
IF(P421="En programación",M421,""))</f>
        <v/>
      </c>
      <c r="S421" s="25" t="str">
        <f t="shared" si="20"/>
        <v/>
      </c>
      <c r="T421" s="21" t="str">
        <f>IFERROR(
(VLOOKUP(MONTH(R421),Meses!$B$3:$C$14,2,FALSE)-DAY(R421))/VLOOKUP(MONTH(R421),Meses!$B$3:$C$14,2,FALSE)*U421,
"")</f>
        <v/>
      </c>
      <c r="U421" s="22">
        <f t="shared" si="19"/>
        <v>423</v>
      </c>
    </row>
    <row r="422" spans="1:21" ht="32.4" hidden="1" thickBot="1" x14ac:dyDescent="0.6">
      <c r="A422" s="10" t="s">
        <v>372</v>
      </c>
      <c r="B422" s="10" t="s">
        <v>559</v>
      </c>
      <c r="C422" s="12">
        <v>45232</v>
      </c>
      <c r="D422" s="10" t="s">
        <v>171</v>
      </c>
      <c r="E422" s="10" t="s">
        <v>74</v>
      </c>
      <c r="F422" s="10">
        <v>1331</v>
      </c>
      <c r="G422" s="10" t="s">
        <v>15</v>
      </c>
      <c r="H422" s="10" t="s">
        <v>17</v>
      </c>
      <c r="I422" s="10" t="s">
        <v>66</v>
      </c>
      <c r="J422" s="10" t="s">
        <v>19</v>
      </c>
      <c r="K422" s="10" t="s">
        <v>19</v>
      </c>
      <c r="L422" s="10" t="s">
        <v>19</v>
      </c>
      <c r="M422" s="12"/>
      <c r="N422" s="10" t="s">
        <v>20</v>
      </c>
      <c r="O422" s="10" t="s">
        <v>2054</v>
      </c>
      <c r="P422" s="25" t="str">
        <f>IFERROR(
IF(OR(O422="anulado",O422="stand by"),CONCATENATE(O422,": ",H422),
IF(OR(YEAR(M422)=2022,YEAR(M422)=2023),CONCATENATE("Se activó en ",YEAR(M422)),
IF(AND(OR(O422="En proceso",O422="facturando"),AND(J422="-",M422="")),"Por revisar",
IF(M422="",IF(J422="NUEVAS",CONCATENATE("Estado: ",O422,", ",J422),
IF(L422=Meses!$A$3,"Por revisar",
IF(H422="","Sin registro","En programación Frcst."))),"En programación")))),
"Error")</f>
        <v>Por revisar</v>
      </c>
      <c r="Q422" s="9" t="str">
        <f t="shared" si="18"/>
        <v>programación de act. NO, estado: Facturando, Comercializador: VATIA, Etapa: Instalado y Activado</v>
      </c>
      <c r="R422" s="25" t="str">
        <f>IF(P422="En programación Frcst.",VLOOKUP(L422,Meses!$A$1:$H$14,3+HLOOKUP(Cronograma!J422,Meses!$D$1:$G$2,2,FALSE),FALSE),
IF(P422="En programación",M422,""))</f>
        <v/>
      </c>
      <c r="S422" s="25" t="str">
        <f t="shared" si="20"/>
        <v/>
      </c>
      <c r="T422" s="21" t="str">
        <f>IFERROR(
(VLOOKUP(MONTH(R422),Meses!$B$3:$C$14,2,FALSE)-DAY(R422))/VLOOKUP(MONTH(R422),Meses!$B$3:$C$14,2,FALSE)*U422,
"")</f>
        <v/>
      </c>
      <c r="U422" s="22">
        <f t="shared" si="19"/>
        <v>1331</v>
      </c>
    </row>
    <row r="423" spans="1:21" ht="32.4" hidden="1" thickBot="1" x14ac:dyDescent="0.6">
      <c r="A423" s="10" t="s">
        <v>372</v>
      </c>
      <c r="B423" s="10" t="s">
        <v>560</v>
      </c>
      <c r="C423" s="12">
        <v>45232</v>
      </c>
      <c r="D423" s="10" t="s">
        <v>171</v>
      </c>
      <c r="E423" s="10" t="s">
        <v>74</v>
      </c>
      <c r="F423" s="10">
        <v>169</v>
      </c>
      <c r="G423" s="10" t="s">
        <v>15</v>
      </c>
      <c r="H423" s="10" t="s">
        <v>17</v>
      </c>
      <c r="I423" s="10" t="s">
        <v>66</v>
      </c>
      <c r="J423" s="10" t="s">
        <v>19</v>
      </c>
      <c r="K423" s="10" t="s">
        <v>19</v>
      </c>
      <c r="L423" s="10" t="s">
        <v>19</v>
      </c>
      <c r="M423" s="12"/>
      <c r="N423" s="10" t="s">
        <v>20</v>
      </c>
      <c r="O423" s="10" t="s">
        <v>2054</v>
      </c>
      <c r="P423" s="25" t="str">
        <f>IFERROR(
IF(OR(O423="anulado",O423="stand by"),CONCATENATE(O423,": ",H423),
IF(OR(YEAR(M423)=2022,YEAR(M423)=2023),CONCATENATE("Se activó en ",YEAR(M423)),
IF(AND(OR(O423="En proceso",O423="facturando"),AND(J423="-",M423="")),"Por revisar",
IF(M423="",IF(J423="NUEVAS",CONCATENATE("Estado: ",O423,", ",J423),
IF(L423=Meses!$A$3,"Por revisar",
IF(H423="","Sin registro","En programación Frcst."))),"En programación")))),
"Error")</f>
        <v>Por revisar</v>
      </c>
      <c r="Q423" s="9" t="str">
        <f t="shared" si="18"/>
        <v>programación de act. NO, estado: Facturando, Comercializador: VATIA, Etapa: Instalado y Activado</v>
      </c>
      <c r="R423" s="25" t="str">
        <f>IF(P423="En programación Frcst.",VLOOKUP(L423,Meses!$A$1:$H$14,3+HLOOKUP(Cronograma!J423,Meses!$D$1:$G$2,2,FALSE),FALSE),
IF(P423="En programación",M423,""))</f>
        <v/>
      </c>
      <c r="S423" s="25" t="str">
        <f t="shared" si="20"/>
        <v/>
      </c>
      <c r="T423" s="21" t="str">
        <f>IFERROR(
(VLOOKUP(MONTH(R423),Meses!$B$3:$C$14,2,FALSE)-DAY(R423))/VLOOKUP(MONTH(R423),Meses!$B$3:$C$14,2,FALSE)*U423,
"")</f>
        <v/>
      </c>
      <c r="U423" s="22">
        <f t="shared" si="19"/>
        <v>169</v>
      </c>
    </row>
    <row r="424" spans="1:21" ht="32.4" hidden="1" thickBot="1" x14ac:dyDescent="0.6">
      <c r="A424" s="10" t="s">
        <v>372</v>
      </c>
      <c r="B424" s="10" t="s">
        <v>561</v>
      </c>
      <c r="C424" s="12">
        <v>45232</v>
      </c>
      <c r="D424" s="10" t="s">
        <v>171</v>
      </c>
      <c r="E424" s="10" t="s">
        <v>74</v>
      </c>
      <c r="F424" s="10">
        <v>175</v>
      </c>
      <c r="G424" s="10" t="s">
        <v>15</v>
      </c>
      <c r="H424" s="10" t="s">
        <v>17</v>
      </c>
      <c r="I424" s="10" t="s">
        <v>66</v>
      </c>
      <c r="J424" s="10" t="s">
        <v>19</v>
      </c>
      <c r="K424" s="10" t="s">
        <v>19</v>
      </c>
      <c r="L424" s="10" t="s">
        <v>19</v>
      </c>
      <c r="M424" s="12"/>
      <c r="N424" s="10" t="s">
        <v>20</v>
      </c>
      <c r="O424" s="10" t="s">
        <v>2054</v>
      </c>
      <c r="P424" s="25" t="str">
        <f>IFERROR(
IF(OR(O424="anulado",O424="stand by"),CONCATENATE(O424,": ",H424),
IF(OR(YEAR(M424)=2022,YEAR(M424)=2023),CONCATENATE("Se activó en ",YEAR(M424)),
IF(AND(OR(O424="En proceso",O424="facturando"),AND(J424="-",M424="")),"Por revisar",
IF(M424="",IF(J424="NUEVAS",CONCATENATE("Estado: ",O424,", ",J424),
IF(L424=Meses!$A$3,"Por revisar",
IF(H424="","Sin registro","En programación Frcst."))),"En programación")))),
"Error")</f>
        <v>Por revisar</v>
      </c>
      <c r="Q424" s="9" t="str">
        <f t="shared" si="18"/>
        <v>programación de act. NO, estado: Facturando, Comercializador: VATIA, Etapa: Instalado y Activado</v>
      </c>
      <c r="R424" s="25" t="str">
        <f>IF(P424="En programación Frcst.",VLOOKUP(L424,Meses!$A$1:$H$14,3+HLOOKUP(Cronograma!J424,Meses!$D$1:$G$2,2,FALSE),FALSE),
IF(P424="En programación",M424,""))</f>
        <v/>
      </c>
      <c r="S424" s="25" t="str">
        <f t="shared" si="20"/>
        <v/>
      </c>
      <c r="T424" s="21" t="str">
        <f>IFERROR(
(VLOOKUP(MONTH(R424),Meses!$B$3:$C$14,2,FALSE)-DAY(R424))/VLOOKUP(MONTH(R424),Meses!$B$3:$C$14,2,FALSE)*U424,
"")</f>
        <v/>
      </c>
      <c r="U424" s="22">
        <f t="shared" si="19"/>
        <v>175</v>
      </c>
    </row>
    <row r="425" spans="1:21" ht="32.4" hidden="1" thickBot="1" x14ac:dyDescent="0.6">
      <c r="A425" s="10" t="s">
        <v>372</v>
      </c>
      <c r="B425" s="10" t="s">
        <v>562</v>
      </c>
      <c r="C425" s="12">
        <v>45225</v>
      </c>
      <c r="D425" s="10" t="s">
        <v>171</v>
      </c>
      <c r="E425" s="10" t="s">
        <v>74</v>
      </c>
      <c r="F425" s="10">
        <v>226</v>
      </c>
      <c r="G425" s="10" t="s">
        <v>15</v>
      </c>
      <c r="H425" s="10" t="s">
        <v>17</v>
      </c>
      <c r="I425" s="10" t="s">
        <v>66</v>
      </c>
      <c r="J425" s="10" t="s">
        <v>19</v>
      </c>
      <c r="K425" s="10" t="s">
        <v>19</v>
      </c>
      <c r="L425" s="10" t="s">
        <v>19</v>
      </c>
      <c r="M425" s="12"/>
      <c r="N425" s="10" t="s">
        <v>20</v>
      </c>
      <c r="O425" s="10" t="s">
        <v>2054</v>
      </c>
      <c r="P425" s="25" t="str">
        <f>IFERROR(
IF(OR(O425="anulado",O425="stand by"),CONCATENATE(O425,": ",H425),
IF(OR(YEAR(M425)=2022,YEAR(M425)=2023),CONCATENATE("Se activó en ",YEAR(M425)),
IF(AND(OR(O425="En proceso",O425="facturando"),AND(J425="-",M425="")),"Por revisar",
IF(M425="",IF(J425="NUEVAS",CONCATENATE("Estado: ",O425,", ",J425),
IF(L425=Meses!$A$3,"Por revisar",
IF(H425="","Sin registro","En programación Frcst."))),"En programación")))),
"Error")</f>
        <v>Por revisar</v>
      </c>
      <c r="Q425" s="9" t="str">
        <f t="shared" si="18"/>
        <v>programación de act. NO, estado: Facturando, Comercializador: VATIA, Etapa: Instalado y Activado</v>
      </c>
      <c r="R425" s="25" t="str">
        <f>IF(P425="En programación Frcst.",VLOOKUP(L425,Meses!$A$1:$H$14,3+HLOOKUP(Cronograma!J425,Meses!$D$1:$G$2,2,FALSE),FALSE),
IF(P425="En programación",M425,""))</f>
        <v/>
      </c>
      <c r="S425" s="25" t="str">
        <f t="shared" si="20"/>
        <v/>
      </c>
      <c r="T425" s="21" t="str">
        <f>IFERROR(
(VLOOKUP(MONTH(R425),Meses!$B$3:$C$14,2,FALSE)-DAY(R425))/VLOOKUP(MONTH(R425),Meses!$B$3:$C$14,2,FALSE)*U425,
"")</f>
        <v/>
      </c>
      <c r="U425" s="22">
        <f t="shared" si="19"/>
        <v>226</v>
      </c>
    </row>
    <row r="426" spans="1:21" ht="32.4" hidden="1" thickBot="1" x14ac:dyDescent="0.6">
      <c r="A426" s="10" t="s">
        <v>372</v>
      </c>
      <c r="B426" s="10" t="s">
        <v>563</v>
      </c>
      <c r="C426" s="12">
        <v>45225</v>
      </c>
      <c r="D426" s="10" t="s">
        <v>171</v>
      </c>
      <c r="E426" s="10" t="s">
        <v>74</v>
      </c>
      <c r="F426" s="10">
        <v>303</v>
      </c>
      <c r="G426" s="10" t="s">
        <v>15</v>
      </c>
      <c r="H426" s="10" t="s">
        <v>17</v>
      </c>
      <c r="I426" s="10" t="s">
        <v>66</v>
      </c>
      <c r="J426" s="10" t="s">
        <v>19</v>
      </c>
      <c r="K426" s="10" t="s">
        <v>19</v>
      </c>
      <c r="L426" s="10" t="s">
        <v>19</v>
      </c>
      <c r="M426" s="12"/>
      <c r="N426" s="10" t="s">
        <v>20</v>
      </c>
      <c r="O426" s="10" t="s">
        <v>2054</v>
      </c>
      <c r="P426" s="25" t="str">
        <f>IFERROR(
IF(OR(O426="anulado",O426="stand by"),CONCATENATE(O426,": ",H426),
IF(OR(YEAR(M426)=2022,YEAR(M426)=2023),CONCATENATE("Se activó en ",YEAR(M426)),
IF(AND(OR(O426="En proceso",O426="facturando"),AND(J426="-",M426="")),"Por revisar",
IF(M426="",IF(J426="NUEVAS",CONCATENATE("Estado: ",O426,", ",J426),
IF(L426=Meses!$A$3,"Por revisar",
IF(H426="","Sin registro","En programación Frcst."))),"En programación")))),
"Error")</f>
        <v>Por revisar</v>
      </c>
      <c r="Q426" s="9" t="str">
        <f t="shared" si="18"/>
        <v>programación de act. NO, estado: Facturando, Comercializador: VATIA, Etapa: Instalado y Activado</v>
      </c>
      <c r="R426" s="25" t="str">
        <f>IF(P426="En programación Frcst.",VLOOKUP(L426,Meses!$A$1:$H$14,3+HLOOKUP(Cronograma!J426,Meses!$D$1:$G$2,2,FALSE),FALSE),
IF(P426="En programación",M426,""))</f>
        <v/>
      </c>
      <c r="S426" s="25" t="str">
        <f t="shared" si="20"/>
        <v/>
      </c>
      <c r="T426" s="21" t="str">
        <f>IFERROR(
(VLOOKUP(MONTH(R426),Meses!$B$3:$C$14,2,FALSE)-DAY(R426))/VLOOKUP(MONTH(R426),Meses!$B$3:$C$14,2,FALSE)*U426,
"")</f>
        <v/>
      </c>
      <c r="U426" s="22">
        <f t="shared" si="19"/>
        <v>303</v>
      </c>
    </row>
    <row r="427" spans="1:21" ht="31.8" hidden="1" thickBot="1" x14ac:dyDescent="0.6">
      <c r="A427" s="10" t="s">
        <v>564</v>
      </c>
      <c r="B427" s="10" t="s">
        <v>565</v>
      </c>
      <c r="C427" s="12"/>
      <c r="D427" s="10" t="s">
        <v>41</v>
      </c>
      <c r="E427" s="10" t="s">
        <v>41</v>
      </c>
      <c r="F427" s="10">
        <v>485</v>
      </c>
      <c r="G427" s="10" t="s">
        <v>15</v>
      </c>
      <c r="H427" s="10" t="s">
        <v>140</v>
      </c>
      <c r="I427" s="10" t="s">
        <v>43</v>
      </c>
      <c r="J427" s="10" t="s">
        <v>143</v>
      </c>
      <c r="K427" s="10" t="s">
        <v>2895</v>
      </c>
      <c r="L427" s="10" t="s">
        <v>2292</v>
      </c>
      <c r="M427" s="12">
        <v>45393</v>
      </c>
      <c r="N427" s="10" t="s">
        <v>15</v>
      </c>
      <c r="O427" s="10" t="s">
        <v>2056</v>
      </c>
      <c r="P427" s="25" t="str">
        <f>IFERROR(
IF(OR(O427="anulado",O427="stand by"),CONCATENATE(O427,": ",H427),
IF(OR(YEAR(M427)=2022,YEAR(M427)=2023),CONCATENATE("Se activó en ",YEAR(M427)),
IF(AND(OR(O427="En proceso",O427="facturando"),AND(J427="-",M427="")),"Por revisar",
IF(M427="",IF(J427="NUEVAS",CONCATENATE("Estado: ",O427,", ",J427),
IF(L427=Meses!$A$3,"Por revisar",
IF(H427="","Sin registro","En programación Frcst."))),"En programación")))),
"Error")</f>
        <v>anulado: Desistido</v>
      </c>
      <c r="Q427" s="9" t="str">
        <f t="shared" si="18"/>
        <v/>
      </c>
      <c r="R427" s="25" t="str">
        <f>IF(P427="En programación Frcst.",VLOOKUP(L427,Meses!$A$1:$H$14,3+HLOOKUP(Cronograma!J427,Meses!$D$1:$G$2,2,FALSE),FALSE),
IF(P427="En programación",M427,""))</f>
        <v/>
      </c>
      <c r="S427" s="25" t="str">
        <f t="shared" si="20"/>
        <v/>
      </c>
      <c r="T427" s="21" t="str">
        <f>IFERROR(
(VLOOKUP(MONTH(R427),Meses!$B$3:$C$14,2,FALSE)-DAY(R427))/VLOOKUP(MONTH(R427),Meses!$B$3:$C$14,2,FALSE)*U427,
"")</f>
        <v/>
      </c>
      <c r="U427" s="22">
        <f t="shared" si="19"/>
        <v>485</v>
      </c>
    </row>
    <row r="428" spans="1:21" ht="31.8" hidden="1" thickBot="1" x14ac:dyDescent="0.6">
      <c r="A428" s="10" t="s">
        <v>564</v>
      </c>
      <c r="B428" s="10" t="s">
        <v>566</v>
      </c>
      <c r="C428" s="12"/>
      <c r="D428" s="10" t="s">
        <v>41</v>
      </c>
      <c r="E428" s="10" t="s">
        <v>41</v>
      </c>
      <c r="F428" s="10">
        <v>1679</v>
      </c>
      <c r="G428" s="10" t="s">
        <v>15</v>
      </c>
      <c r="H428" s="10" t="s">
        <v>140</v>
      </c>
      <c r="I428" s="10" t="s">
        <v>43</v>
      </c>
      <c r="J428" s="10" t="s">
        <v>143</v>
      </c>
      <c r="K428" s="10" t="s">
        <v>2895</v>
      </c>
      <c r="L428" s="10" t="s">
        <v>2292</v>
      </c>
      <c r="M428" s="12">
        <v>45393</v>
      </c>
      <c r="N428" s="10" t="s">
        <v>15</v>
      </c>
      <c r="O428" s="10" t="s">
        <v>2056</v>
      </c>
      <c r="P428" s="25" t="str">
        <f>IFERROR(
IF(OR(O428="anulado",O428="stand by"),CONCATENATE(O428,": ",H428),
IF(OR(YEAR(M428)=2022,YEAR(M428)=2023),CONCATENATE("Se activó en ",YEAR(M428)),
IF(AND(OR(O428="En proceso",O428="facturando"),AND(J428="-",M428="")),"Por revisar",
IF(M428="",IF(J428="NUEVAS",CONCATENATE("Estado: ",O428,", ",J428),
IF(L428=Meses!$A$3,"Por revisar",
IF(H428="","Sin registro","En programación Frcst."))),"En programación")))),
"Error")</f>
        <v>anulado: Desistido</v>
      </c>
      <c r="Q428" s="9" t="str">
        <f t="shared" si="18"/>
        <v/>
      </c>
      <c r="R428" s="25" t="str">
        <f>IF(P428="En programación Frcst.",VLOOKUP(L428,Meses!$A$1:$H$14,3+HLOOKUP(Cronograma!J428,Meses!$D$1:$G$2,2,FALSE),FALSE),
IF(P428="En programación",M428,""))</f>
        <v/>
      </c>
      <c r="S428" s="25" t="str">
        <f t="shared" si="20"/>
        <v/>
      </c>
      <c r="T428" s="21" t="str">
        <f>IFERROR(
(VLOOKUP(MONTH(R428),Meses!$B$3:$C$14,2,FALSE)-DAY(R428))/VLOOKUP(MONTH(R428),Meses!$B$3:$C$14,2,FALSE)*U428,
"")</f>
        <v/>
      </c>
      <c r="U428" s="22">
        <f t="shared" si="19"/>
        <v>1679</v>
      </c>
    </row>
    <row r="429" spans="1:21" ht="31.8" hidden="1" thickBot="1" x14ac:dyDescent="0.6">
      <c r="A429" s="10" t="s">
        <v>564</v>
      </c>
      <c r="B429" s="10" t="s">
        <v>567</v>
      </c>
      <c r="C429" s="12"/>
      <c r="D429" s="10" t="s">
        <v>41</v>
      </c>
      <c r="E429" s="10" t="s">
        <v>41</v>
      </c>
      <c r="F429" s="10">
        <v>2213</v>
      </c>
      <c r="G429" s="10" t="s">
        <v>15</v>
      </c>
      <c r="H429" s="10" t="s">
        <v>140</v>
      </c>
      <c r="I429" s="10" t="s">
        <v>43</v>
      </c>
      <c r="J429" s="10" t="s">
        <v>143</v>
      </c>
      <c r="K429" s="10" t="s">
        <v>2895</v>
      </c>
      <c r="L429" s="10" t="s">
        <v>2292</v>
      </c>
      <c r="M429" s="12">
        <v>45393</v>
      </c>
      <c r="N429" s="10" t="s">
        <v>15</v>
      </c>
      <c r="O429" s="10" t="s">
        <v>2056</v>
      </c>
      <c r="P429" s="25" t="str">
        <f>IFERROR(
IF(OR(O429="anulado",O429="stand by"),CONCATENATE(O429,": ",H429),
IF(OR(YEAR(M429)=2022,YEAR(M429)=2023),CONCATENATE("Se activó en ",YEAR(M429)),
IF(AND(OR(O429="En proceso",O429="facturando"),AND(J429="-",M429="")),"Por revisar",
IF(M429="",IF(J429="NUEVAS",CONCATENATE("Estado: ",O429,", ",J429),
IF(L429=Meses!$A$3,"Por revisar",
IF(H429="","Sin registro","En programación Frcst."))),"En programación")))),
"Error")</f>
        <v>anulado: Desistido</v>
      </c>
      <c r="Q429" s="9" t="str">
        <f t="shared" si="18"/>
        <v/>
      </c>
      <c r="R429" s="25" t="str">
        <f>IF(P429="En programación Frcst.",VLOOKUP(L429,Meses!$A$1:$H$14,3+HLOOKUP(Cronograma!J429,Meses!$D$1:$G$2,2,FALSE),FALSE),
IF(P429="En programación",M429,""))</f>
        <v/>
      </c>
      <c r="S429" s="25" t="str">
        <f t="shared" si="20"/>
        <v/>
      </c>
      <c r="T429" s="21" t="str">
        <f>IFERROR(
(VLOOKUP(MONTH(R429),Meses!$B$3:$C$14,2,FALSE)-DAY(R429))/VLOOKUP(MONTH(R429),Meses!$B$3:$C$14,2,FALSE)*U429,
"")</f>
        <v/>
      </c>
      <c r="U429" s="22">
        <f t="shared" si="19"/>
        <v>2213</v>
      </c>
    </row>
    <row r="430" spans="1:21" ht="31.8" hidden="1" thickBot="1" x14ac:dyDescent="0.6">
      <c r="A430" s="10" t="s">
        <v>568</v>
      </c>
      <c r="B430" s="10" t="s">
        <v>569</v>
      </c>
      <c r="C430" s="12"/>
      <c r="D430" s="10" t="s">
        <v>74</v>
      </c>
      <c r="E430" s="10" t="s">
        <v>74</v>
      </c>
      <c r="F430" s="10">
        <v>6830</v>
      </c>
      <c r="G430" s="10" t="s">
        <v>15</v>
      </c>
      <c r="H430" s="10" t="s">
        <v>3311</v>
      </c>
      <c r="I430" s="10" t="s">
        <v>43</v>
      </c>
      <c r="J430" s="10" t="s">
        <v>143</v>
      </c>
      <c r="K430" s="10" t="s">
        <v>2895</v>
      </c>
      <c r="L430" s="10" t="s">
        <v>2292</v>
      </c>
      <c r="M430" s="12">
        <v>45400</v>
      </c>
      <c r="N430" s="10" t="s">
        <v>15</v>
      </c>
      <c r="O430" s="10" t="s">
        <v>3311</v>
      </c>
      <c r="P430" s="25" t="str">
        <f>IFERROR(
IF(OR(O430="anulado",O430="stand by"),CONCATENATE(O430,": ",H430),
IF(OR(YEAR(M430)=2022,YEAR(M430)=2023),CONCATENATE("Se activó en ",YEAR(M430)),
IF(AND(OR(O430="En proceso",O430="facturando"),AND(J430="-",M430="")),"Por revisar",
IF(M430="",IF(J430="NUEVAS",CONCATENATE("Estado: ",O430,", ",J430),
IF(L430=Meses!$A$3,"Por revisar",
IF(H430="","Sin registro","En programación Frcst."))),"En programación")))),
"Error")</f>
        <v>En programación</v>
      </c>
      <c r="Q430" s="9" t="str">
        <f t="shared" si="18"/>
        <v/>
      </c>
      <c r="R430" s="25">
        <f>IF(P430="En programación Frcst.",VLOOKUP(L430,Meses!$A$1:$H$14,3+HLOOKUP(Cronograma!J430,Meses!$D$1:$G$2,2,FALSE),FALSE),
IF(P430="En programación",M430,""))</f>
        <v>45400</v>
      </c>
      <c r="S430" s="25" t="str">
        <f t="shared" si="20"/>
        <v>2024/4</v>
      </c>
      <c r="T430" s="21">
        <f>IFERROR(
(VLOOKUP(MONTH(R430),Meses!$B$3:$C$14,2,FALSE)-DAY(R430))/VLOOKUP(MONTH(R430),Meses!$B$3:$C$14,2,FALSE)*U430,
"")</f>
        <v>2732</v>
      </c>
      <c r="U430" s="22">
        <f t="shared" si="19"/>
        <v>6830</v>
      </c>
    </row>
    <row r="431" spans="1:21" ht="31.8" hidden="1" thickBot="1" x14ac:dyDescent="0.6">
      <c r="A431" s="10" t="s">
        <v>570</v>
      </c>
      <c r="B431" s="10" t="s">
        <v>571</v>
      </c>
      <c r="C431" s="12"/>
      <c r="D431" s="10" t="s">
        <v>14</v>
      </c>
      <c r="E431" s="10" t="s">
        <v>14</v>
      </c>
      <c r="F431" s="10">
        <v>2825</v>
      </c>
      <c r="G431" s="10" t="s">
        <v>15</v>
      </c>
      <c r="H431" s="10" t="s">
        <v>140</v>
      </c>
      <c r="I431" s="10" t="s">
        <v>18</v>
      </c>
      <c r="J431" s="10" t="s">
        <v>19</v>
      </c>
      <c r="K431" s="10" t="s">
        <v>19</v>
      </c>
      <c r="L431" s="10" t="s">
        <v>19</v>
      </c>
      <c r="M431" s="12"/>
      <c r="N431" s="10" t="s">
        <v>20</v>
      </c>
      <c r="O431" s="10" t="s">
        <v>2056</v>
      </c>
      <c r="P431" s="25" t="str">
        <f>IFERROR(
IF(OR(O431="anulado",O431="stand by"),CONCATENATE(O431,": ",H431),
IF(OR(YEAR(M431)=2022,YEAR(M431)=2023),CONCATENATE("Se activó en ",YEAR(M431)),
IF(AND(OR(O431="En proceso",O431="facturando"),AND(J431="-",M431="")),"Por revisar",
IF(M431="",IF(J431="NUEVAS",CONCATENATE("Estado: ",O431,", ",J431),
IF(L431=Meses!$A$3,"Por revisar",
IF(H431="","Sin registro","En programación Frcst."))),"En programación")))),
"Error")</f>
        <v>anulado: Desistido</v>
      </c>
      <c r="Q431" s="9" t="str">
        <f t="shared" si="18"/>
        <v/>
      </c>
      <c r="R431" s="25" t="str">
        <f>IF(P431="En programación Frcst.",VLOOKUP(L431,Meses!$A$1:$H$14,3+HLOOKUP(Cronograma!J431,Meses!$D$1:$G$2,2,FALSE),FALSE),
IF(P431="En programación",M431,""))</f>
        <v/>
      </c>
      <c r="S431" s="25" t="str">
        <f t="shared" si="20"/>
        <v/>
      </c>
      <c r="T431" s="21" t="str">
        <f>IFERROR(
(VLOOKUP(MONTH(R431),Meses!$B$3:$C$14,2,FALSE)-DAY(R431))/VLOOKUP(MONTH(R431),Meses!$B$3:$C$14,2,FALSE)*U431,
"")</f>
        <v/>
      </c>
      <c r="U431" s="22">
        <f t="shared" si="19"/>
        <v>2825</v>
      </c>
    </row>
    <row r="432" spans="1:21" ht="32.4" hidden="1" thickBot="1" x14ac:dyDescent="0.6">
      <c r="A432" s="10" t="s">
        <v>372</v>
      </c>
      <c r="B432" s="10" t="s">
        <v>572</v>
      </c>
      <c r="C432" s="12">
        <v>45232</v>
      </c>
      <c r="D432" s="10" t="s">
        <v>171</v>
      </c>
      <c r="E432" s="10" t="s">
        <v>74</v>
      </c>
      <c r="F432" s="10">
        <v>0</v>
      </c>
      <c r="G432" s="10" t="s">
        <v>15</v>
      </c>
      <c r="H432" s="10" t="s">
        <v>17</v>
      </c>
      <c r="I432" s="10" t="s">
        <v>66</v>
      </c>
      <c r="J432" s="10" t="s">
        <v>19</v>
      </c>
      <c r="K432" s="10" t="s">
        <v>19</v>
      </c>
      <c r="L432" s="10" t="s">
        <v>19</v>
      </c>
      <c r="M432" s="12"/>
      <c r="N432" s="10" t="s">
        <v>20</v>
      </c>
      <c r="O432" s="10" t="s">
        <v>2054</v>
      </c>
      <c r="P432" s="25" t="str">
        <f>IFERROR(
IF(OR(O432="anulado",O432="stand by"),CONCATENATE(O432,": ",H432),
IF(OR(YEAR(M432)=2022,YEAR(M432)=2023),CONCATENATE("Se activó en ",YEAR(M432)),
IF(AND(OR(O432="En proceso",O432="facturando"),AND(J432="-",M432="")),"Por revisar",
IF(M432="",IF(J432="NUEVAS",CONCATENATE("Estado: ",O432,", ",J432),
IF(L432=Meses!$A$3,"Por revisar",
IF(H432="","Sin registro","En programación Frcst."))),"En programación")))),
"Error")</f>
        <v>Por revisar</v>
      </c>
      <c r="Q432" s="9" t="str">
        <f t="shared" si="18"/>
        <v>programación de act. NO, estado: Facturando, Comercializador: VATIA, Etapa: Instalado y Activado</v>
      </c>
      <c r="R432" s="25" t="str">
        <f>IF(P432="En programación Frcst.",VLOOKUP(L432,Meses!$A$1:$H$14,3+HLOOKUP(Cronograma!J432,Meses!$D$1:$G$2,2,FALSE),FALSE),
IF(P432="En programación",M432,""))</f>
        <v/>
      </c>
      <c r="S432" s="25" t="str">
        <f t="shared" si="20"/>
        <v/>
      </c>
      <c r="T432" s="21" t="str">
        <f>IFERROR(
(VLOOKUP(MONTH(R432),Meses!$B$3:$C$14,2,FALSE)-DAY(R432))/VLOOKUP(MONTH(R432),Meses!$B$3:$C$14,2,FALSE)*U432,
"")</f>
        <v/>
      </c>
      <c r="U432" s="22">
        <f t="shared" si="19"/>
        <v>0</v>
      </c>
    </row>
    <row r="433" spans="1:21" ht="32.4" hidden="1" thickBot="1" x14ac:dyDescent="0.6">
      <c r="A433" s="10" t="s">
        <v>372</v>
      </c>
      <c r="B433" s="10" t="s">
        <v>573</v>
      </c>
      <c r="C433" s="12">
        <v>45225</v>
      </c>
      <c r="D433" s="10" t="s">
        <v>171</v>
      </c>
      <c r="E433" s="10" t="s">
        <v>74</v>
      </c>
      <c r="F433" s="10">
        <v>0</v>
      </c>
      <c r="G433" s="10" t="s">
        <v>15</v>
      </c>
      <c r="H433" s="10" t="s">
        <v>17</v>
      </c>
      <c r="I433" s="10" t="s">
        <v>66</v>
      </c>
      <c r="J433" s="10" t="s">
        <v>19</v>
      </c>
      <c r="K433" s="10" t="s">
        <v>19</v>
      </c>
      <c r="L433" s="10" t="s">
        <v>19</v>
      </c>
      <c r="M433" s="12"/>
      <c r="N433" s="10" t="s">
        <v>20</v>
      </c>
      <c r="O433" s="10" t="s">
        <v>2054</v>
      </c>
      <c r="P433" s="25" t="str">
        <f>IFERROR(
IF(OR(O433="anulado",O433="stand by"),CONCATENATE(O433,": ",H433),
IF(OR(YEAR(M433)=2022,YEAR(M433)=2023),CONCATENATE("Se activó en ",YEAR(M433)),
IF(AND(OR(O433="En proceso",O433="facturando"),AND(J433="-",M433="")),"Por revisar",
IF(M433="",IF(J433="NUEVAS",CONCATENATE("Estado: ",O433,", ",J433),
IF(L433=Meses!$A$3,"Por revisar",
IF(H433="","Sin registro","En programación Frcst."))),"En programación")))),
"Error")</f>
        <v>Por revisar</v>
      </c>
      <c r="Q433" s="9" t="str">
        <f t="shared" si="18"/>
        <v>programación de act. NO, estado: Facturando, Comercializador: VATIA, Etapa: Instalado y Activado</v>
      </c>
      <c r="R433" s="25" t="str">
        <f>IF(P433="En programación Frcst.",VLOOKUP(L433,Meses!$A$1:$H$14,3+HLOOKUP(Cronograma!J433,Meses!$D$1:$G$2,2,FALSE),FALSE),
IF(P433="En programación",M433,""))</f>
        <v/>
      </c>
      <c r="S433" s="25" t="str">
        <f t="shared" si="20"/>
        <v/>
      </c>
      <c r="T433" s="21" t="str">
        <f>IFERROR(
(VLOOKUP(MONTH(R433),Meses!$B$3:$C$14,2,FALSE)-DAY(R433))/VLOOKUP(MONTH(R433),Meses!$B$3:$C$14,2,FALSE)*U433,
"")</f>
        <v/>
      </c>
      <c r="U433" s="22">
        <f t="shared" si="19"/>
        <v>0</v>
      </c>
    </row>
    <row r="434" spans="1:21" ht="32.4" hidden="1" thickBot="1" x14ac:dyDescent="0.6">
      <c r="A434" s="10" t="s">
        <v>574</v>
      </c>
      <c r="B434" s="10" t="s">
        <v>575</v>
      </c>
      <c r="C434" s="12">
        <v>45099</v>
      </c>
      <c r="D434" s="10" t="s">
        <v>289</v>
      </c>
      <c r="E434" s="10" t="s">
        <v>289</v>
      </c>
      <c r="F434" s="10">
        <v>3584</v>
      </c>
      <c r="G434" s="10" t="s">
        <v>15</v>
      </c>
      <c r="H434" s="10" t="s">
        <v>17</v>
      </c>
      <c r="I434" s="10" t="s">
        <v>18</v>
      </c>
      <c r="J434" s="10" t="s">
        <v>19</v>
      </c>
      <c r="K434" s="10" t="s">
        <v>19</v>
      </c>
      <c r="L434" s="10" t="s">
        <v>19</v>
      </c>
      <c r="M434" s="12"/>
      <c r="N434" s="10" t="s">
        <v>20</v>
      </c>
      <c r="O434" s="10" t="s">
        <v>2054</v>
      </c>
      <c r="P434" s="25" t="str">
        <f>IFERROR(
IF(OR(O434="anulado",O434="stand by"),CONCATENATE(O434,": ",H434),
IF(OR(YEAR(M434)=2022,YEAR(M434)=2023),CONCATENATE("Se activó en ",YEAR(M434)),
IF(AND(OR(O434="En proceso",O434="facturando"),AND(J434="-",M434="")),"Por revisar",
IF(M434="",IF(J434="NUEVAS",CONCATENATE("Estado: ",O434,", ",J434),
IF(L434=Meses!$A$3,"Por revisar",
IF(H434="","Sin registro","En programación Frcst."))),"En programación")))),
"Error")</f>
        <v>Por revisar</v>
      </c>
      <c r="Q434" s="9" t="str">
        <f t="shared" si="18"/>
        <v>programación de act. NO, estado: Facturando, Comercializador: CELSIA, Etapa: Instalado y Activado</v>
      </c>
      <c r="R434" s="25" t="str">
        <f>IF(P434="En programación Frcst.",VLOOKUP(L434,Meses!$A$1:$H$14,3+HLOOKUP(Cronograma!J434,Meses!$D$1:$G$2,2,FALSE),FALSE),
IF(P434="En programación",M434,""))</f>
        <v/>
      </c>
      <c r="S434" s="25" t="str">
        <f t="shared" si="20"/>
        <v/>
      </c>
      <c r="T434" s="21" t="str">
        <f>IFERROR(
(VLOOKUP(MONTH(R434),Meses!$B$3:$C$14,2,FALSE)-DAY(R434))/VLOOKUP(MONTH(R434),Meses!$B$3:$C$14,2,FALSE)*U434,
"")</f>
        <v/>
      </c>
      <c r="U434" s="22">
        <f t="shared" si="19"/>
        <v>3584</v>
      </c>
    </row>
    <row r="435" spans="1:21" ht="32.4" hidden="1" thickBot="1" x14ac:dyDescent="0.6">
      <c r="A435" s="10" t="s">
        <v>576</v>
      </c>
      <c r="B435" s="10" t="s">
        <v>577</v>
      </c>
      <c r="C435" s="12">
        <v>45092</v>
      </c>
      <c r="D435" s="10" t="s">
        <v>14</v>
      </c>
      <c r="E435" s="10" t="s">
        <v>14</v>
      </c>
      <c r="F435" s="10">
        <v>2519</v>
      </c>
      <c r="G435" s="10" t="s">
        <v>15</v>
      </c>
      <c r="H435" s="10" t="s">
        <v>17</v>
      </c>
      <c r="I435" s="10" t="s">
        <v>18</v>
      </c>
      <c r="J435" s="10" t="s">
        <v>19</v>
      </c>
      <c r="K435" s="10" t="s">
        <v>19</v>
      </c>
      <c r="L435" s="10" t="s">
        <v>19</v>
      </c>
      <c r="M435" s="12"/>
      <c r="N435" s="10" t="s">
        <v>20</v>
      </c>
      <c r="O435" s="10" t="s">
        <v>2054</v>
      </c>
      <c r="P435" s="25" t="str">
        <f>IFERROR(
IF(OR(O435="anulado",O435="stand by"),CONCATENATE(O435,": ",H435),
IF(OR(YEAR(M435)=2022,YEAR(M435)=2023),CONCATENATE("Se activó en ",YEAR(M435)),
IF(AND(OR(O435="En proceso",O435="facturando"),AND(J435="-",M435="")),"Por revisar",
IF(M435="",IF(J435="NUEVAS",CONCATENATE("Estado: ",O435,", ",J435),
IF(L435=Meses!$A$3,"Por revisar",
IF(H435="","Sin registro","En programación Frcst."))),"En programación")))),
"Error")</f>
        <v>Por revisar</v>
      </c>
      <c r="Q435" s="9" t="str">
        <f t="shared" si="18"/>
        <v>programación de act. NO, estado: Facturando, Comercializador: ENEL, Etapa: Instalado y Activado</v>
      </c>
      <c r="R435" s="25" t="str">
        <f>IF(P435="En programación Frcst.",VLOOKUP(L435,Meses!$A$1:$H$14,3+HLOOKUP(Cronograma!J435,Meses!$D$1:$G$2,2,FALSE),FALSE),
IF(P435="En programación",M435,""))</f>
        <v/>
      </c>
      <c r="S435" s="25" t="str">
        <f t="shared" si="20"/>
        <v/>
      </c>
      <c r="T435" s="21" t="str">
        <f>IFERROR(
(VLOOKUP(MONTH(R435),Meses!$B$3:$C$14,2,FALSE)-DAY(R435))/VLOOKUP(MONTH(R435),Meses!$B$3:$C$14,2,FALSE)*U435,
"")</f>
        <v/>
      </c>
      <c r="U435" s="22">
        <f t="shared" si="19"/>
        <v>2519</v>
      </c>
    </row>
    <row r="436" spans="1:21" ht="32.4" hidden="1" thickBot="1" x14ac:dyDescent="0.6">
      <c r="A436" s="10" t="s">
        <v>576</v>
      </c>
      <c r="B436" s="10" t="s">
        <v>578</v>
      </c>
      <c r="C436" s="12">
        <v>45092</v>
      </c>
      <c r="D436" s="10" t="s">
        <v>14</v>
      </c>
      <c r="E436" s="10" t="s">
        <v>14</v>
      </c>
      <c r="F436" s="10">
        <v>6910</v>
      </c>
      <c r="G436" s="10" t="s">
        <v>15</v>
      </c>
      <c r="H436" s="10" t="s">
        <v>17</v>
      </c>
      <c r="I436" s="10" t="s">
        <v>18</v>
      </c>
      <c r="J436" s="10" t="s">
        <v>19</v>
      </c>
      <c r="K436" s="10" t="s">
        <v>19</v>
      </c>
      <c r="L436" s="10" t="s">
        <v>19</v>
      </c>
      <c r="M436" s="12"/>
      <c r="N436" s="10" t="s">
        <v>20</v>
      </c>
      <c r="O436" s="10" t="s">
        <v>2054</v>
      </c>
      <c r="P436" s="25" t="str">
        <f>IFERROR(
IF(OR(O436="anulado",O436="stand by"),CONCATENATE(O436,": ",H436),
IF(OR(YEAR(M436)=2022,YEAR(M436)=2023),CONCATENATE("Se activó en ",YEAR(M436)),
IF(AND(OR(O436="En proceso",O436="facturando"),AND(J436="-",M436="")),"Por revisar",
IF(M436="",IF(J436="NUEVAS",CONCATENATE("Estado: ",O436,", ",J436),
IF(L436=Meses!$A$3,"Por revisar",
IF(H436="","Sin registro","En programación Frcst."))),"En programación")))),
"Error")</f>
        <v>Por revisar</v>
      </c>
      <c r="Q436" s="9" t="str">
        <f t="shared" si="18"/>
        <v>programación de act. NO, estado: Facturando, Comercializador: ENEL, Etapa: Instalado y Activado</v>
      </c>
      <c r="R436" s="25" t="str">
        <f>IF(P436="En programación Frcst.",VLOOKUP(L436,Meses!$A$1:$H$14,3+HLOOKUP(Cronograma!J436,Meses!$D$1:$G$2,2,FALSE),FALSE),
IF(P436="En programación",M436,""))</f>
        <v/>
      </c>
      <c r="S436" s="25" t="str">
        <f t="shared" si="20"/>
        <v/>
      </c>
      <c r="T436" s="21" t="str">
        <f>IFERROR(
(VLOOKUP(MONTH(R436),Meses!$B$3:$C$14,2,FALSE)-DAY(R436))/VLOOKUP(MONTH(R436),Meses!$B$3:$C$14,2,FALSE)*U436,
"")</f>
        <v/>
      </c>
      <c r="U436" s="22">
        <f t="shared" si="19"/>
        <v>6910</v>
      </c>
    </row>
    <row r="437" spans="1:21" ht="32.4" hidden="1" thickBot="1" x14ac:dyDescent="0.6">
      <c r="A437" s="10" t="s">
        <v>576</v>
      </c>
      <c r="B437" s="10" t="s">
        <v>579</v>
      </c>
      <c r="C437" s="12">
        <v>45092</v>
      </c>
      <c r="D437" s="10" t="s">
        <v>14</v>
      </c>
      <c r="E437" s="10" t="s">
        <v>14</v>
      </c>
      <c r="F437" s="10">
        <v>6113</v>
      </c>
      <c r="G437" s="10" t="s">
        <v>15</v>
      </c>
      <c r="H437" s="10" t="s">
        <v>17</v>
      </c>
      <c r="I437" s="10" t="s">
        <v>18</v>
      </c>
      <c r="J437" s="10" t="s">
        <v>19</v>
      </c>
      <c r="K437" s="10" t="s">
        <v>19</v>
      </c>
      <c r="L437" s="10" t="s">
        <v>19</v>
      </c>
      <c r="M437" s="12"/>
      <c r="N437" s="10" t="s">
        <v>20</v>
      </c>
      <c r="O437" s="10" t="s">
        <v>2054</v>
      </c>
      <c r="P437" s="25" t="str">
        <f>IFERROR(
IF(OR(O437="anulado",O437="stand by"),CONCATENATE(O437,": ",H437),
IF(OR(YEAR(M437)=2022,YEAR(M437)=2023),CONCATENATE("Se activó en ",YEAR(M437)),
IF(AND(OR(O437="En proceso",O437="facturando"),AND(J437="-",M437="")),"Por revisar",
IF(M437="",IF(J437="NUEVAS",CONCATENATE("Estado: ",O437,", ",J437),
IF(L437=Meses!$A$3,"Por revisar",
IF(H437="","Sin registro","En programación Frcst."))),"En programación")))),
"Error")</f>
        <v>Por revisar</v>
      </c>
      <c r="Q437" s="9" t="str">
        <f t="shared" si="18"/>
        <v>programación de act. NO, estado: Facturando, Comercializador: ENEL, Etapa: Instalado y Activado</v>
      </c>
      <c r="R437" s="25" t="str">
        <f>IF(P437="En programación Frcst.",VLOOKUP(L437,Meses!$A$1:$H$14,3+HLOOKUP(Cronograma!J437,Meses!$D$1:$G$2,2,FALSE),FALSE),
IF(P437="En programación",M437,""))</f>
        <v/>
      </c>
      <c r="S437" s="25" t="str">
        <f t="shared" si="20"/>
        <v/>
      </c>
      <c r="T437" s="21" t="str">
        <f>IFERROR(
(VLOOKUP(MONTH(R437),Meses!$B$3:$C$14,2,FALSE)-DAY(R437))/VLOOKUP(MONTH(R437),Meses!$B$3:$C$14,2,FALSE)*U437,
"")</f>
        <v/>
      </c>
      <c r="U437" s="22">
        <f t="shared" si="19"/>
        <v>6113</v>
      </c>
    </row>
    <row r="438" spans="1:21" ht="32.4" hidden="1" thickBot="1" x14ac:dyDescent="0.6">
      <c r="A438" s="10" t="s">
        <v>580</v>
      </c>
      <c r="B438" s="10" t="s">
        <v>581</v>
      </c>
      <c r="C438" s="12">
        <v>45127</v>
      </c>
      <c r="D438" s="10" t="s">
        <v>14</v>
      </c>
      <c r="E438" s="10" t="s">
        <v>14</v>
      </c>
      <c r="F438" s="10">
        <v>57</v>
      </c>
      <c r="G438" s="10" t="s">
        <v>15</v>
      </c>
      <c r="H438" s="10" t="s">
        <v>17</v>
      </c>
      <c r="I438" s="10" t="s">
        <v>18</v>
      </c>
      <c r="J438" s="10" t="s">
        <v>19</v>
      </c>
      <c r="K438" s="10" t="s">
        <v>19</v>
      </c>
      <c r="L438" s="10" t="s">
        <v>19</v>
      </c>
      <c r="M438" s="12"/>
      <c r="N438" s="10" t="s">
        <v>20</v>
      </c>
      <c r="O438" s="10" t="s">
        <v>2054</v>
      </c>
      <c r="P438" s="25" t="str">
        <f>IFERROR(
IF(OR(O438="anulado",O438="stand by"),CONCATENATE(O438,": ",H438),
IF(OR(YEAR(M438)=2022,YEAR(M438)=2023),CONCATENATE("Se activó en ",YEAR(M438)),
IF(AND(OR(O438="En proceso",O438="facturando"),AND(J438="-",M438="")),"Por revisar",
IF(M438="",IF(J438="NUEVAS",CONCATENATE("Estado: ",O438,", ",J438),
IF(L438=Meses!$A$3,"Por revisar",
IF(H438="","Sin registro","En programación Frcst."))),"En programación")))),
"Error")</f>
        <v>Por revisar</v>
      </c>
      <c r="Q438" s="9" t="str">
        <f t="shared" si="18"/>
        <v>programación de act. NO, estado: Facturando, Comercializador: ENEL, Etapa: Instalado y Activado</v>
      </c>
      <c r="R438" s="25" t="str">
        <f>IF(P438="En programación Frcst.",VLOOKUP(L438,Meses!$A$1:$H$14,3+HLOOKUP(Cronograma!J438,Meses!$D$1:$G$2,2,FALSE),FALSE),
IF(P438="En programación",M438,""))</f>
        <v/>
      </c>
      <c r="S438" s="25" t="str">
        <f t="shared" si="20"/>
        <v/>
      </c>
      <c r="T438" s="21" t="str">
        <f>IFERROR(
(VLOOKUP(MONTH(R438),Meses!$B$3:$C$14,2,FALSE)-DAY(R438))/VLOOKUP(MONTH(R438),Meses!$B$3:$C$14,2,FALSE)*U438,
"")</f>
        <v/>
      </c>
      <c r="U438" s="22">
        <f t="shared" si="19"/>
        <v>57</v>
      </c>
    </row>
    <row r="439" spans="1:21" ht="32.4" hidden="1" thickBot="1" x14ac:dyDescent="0.6">
      <c r="A439" s="10" t="s">
        <v>580</v>
      </c>
      <c r="B439" s="10" t="s">
        <v>582</v>
      </c>
      <c r="C439" s="12">
        <v>45127</v>
      </c>
      <c r="D439" s="10" t="s">
        <v>14</v>
      </c>
      <c r="E439" s="10" t="s">
        <v>14</v>
      </c>
      <c r="F439" s="10">
        <v>125</v>
      </c>
      <c r="G439" s="10" t="s">
        <v>15</v>
      </c>
      <c r="H439" s="10" t="s">
        <v>17</v>
      </c>
      <c r="I439" s="10" t="s">
        <v>18</v>
      </c>
      <c r="J439" s="10" t="s">
        <v>19</v>
      </c>
      <c r="K439" s="10" t="s">
        <v>19</v>
      </c>
      <c r="L439" s="10" t="s">
        <v>19</v>
      </c>
      <c r="M439" s="12"/>
      <c r="N439" s="10" t="s">
        <v>20</v>
      </c>
      <c r="O439" s="10" t="s">
        <v>2054</v>
      </c>
      <c r="P439" s="25" t="str">
        <f>IFERROR(
IF(OR(O439="anulado",O439="stand by"),CONCATENATE(O439,": ",H439),
IF(OR(YEAR(M439)=2022,YEAR(M439)=2023),CONCATENATE("Se activó en ",YEAR(M439)),
IF(AND(OR(O439="En proceso",O439="facturando"),AND(J439="-",M439="")),"Por revisar",
IF(M439="",IF(J439="NUEVAS",CONCATENATE("Estado: ",O439,", ",J439),
IF(L439=Meses!$A$3,"Por revisar",
IF(H439="","Sin registro","En programación Frcst."))),"En programación")))),
"Error")</f>
        <v>Por revisar</v>
      </c>
      <c r="Q439" s="9" t="str">
        <f t="shared" si="18"/>
        <v>programación de act. NO, estado: Facturando, Comercializador: ENEL, Etapa: Instalado y Activado</v>
      </c>
      <c r="R439" s="25" t="str">
        <f>IF(P439="En programación Frcst.",VLOOKUP(L439,Meses!$A$1:$H$14,3+HLOOKUP(Cronograma!J439,Meses!$D$1:$G$2,2,FALSE),FALSE),
IF(P439="En programación",M439,""))</f>
        <v/>
      </c>
      <c r="S439" s="25" t="str">
        <f t="shared" si="20"/>
        <v/>
      </c>
      <c r="T439" s="21" t="str">
        <f>IFERROR(
(VLOOKUP(MONTH(R439),Meses!$B$3:$C$14,2,FALSE)-DAY(R439))/VLOOKUP(MONTH(R439),Meses!$B$3:$C$14,2,FALSE)*U439,
"")</f>
        <v/>
      </c>
      <c r="U439" s="22">
        <f t="shared" si="19"/>
        <v>125</v>
      </c>
    </row>
    <row r="440" spans="1:21" ht="32.4" hidden="1" thickBot="1" x14ac:dyDescent="0.6">
      <c r="A440" s="10" t="s">
        <v>580</v>
      </c>
      <c r="B440" s="10" t="s">
        <v>583</v>
      </c>
      <c r="C440" s="12">
        <v>45127</v>
      </c>
      <c r="D440" s="10" t="s">
        <v>14</v>
      </c>
      <c r="E440" s="10" t="s">
        <v>14</v>
      </c>
      <c r="F440" s="10">
        <v>143</v>
      </c>
      <c r="G440" s="10" t="s">
        <v>15</v>
      </c>
      <c r="H440" s="10" t="s">
        <v>17</v>
      </c>
      <c r="I440" s="10" t="s">
        <v>18</v>
      </c>
      <c r="J440" s="10" t="s">
        <v>19</v>
      </c>
      <c r="K440" s="10" t="s">
        <v>19</v>
      </c>
      <c r="L440" s="10" t="s">
        <v>19</v>
      </c>
      <c r="M440" s="12"/>
      <c r="N440" s="10" t="s">
        <v>20</v>
      </c>
      <c r="O440" s="10" t="s">
        <v>2054</v>
      </c>
      <c r="P440" s="25" t="str">
        <f>IFERROR(
IF(OR(O440="anulado",O440="stand by"),CONCATENATE(O440,": ",H440),
IF(OR(YEAR(M440)=2022,YEAR(M440)=2023),CONCATENATE("Se activó en ",YEAR(M440)),
IF(AND(OR(O440="En proceso",O440="facturando"),AND(J440="-",M440="")),"Por revisar",
IF(M440="",IF(J440="NUEVAS",CONCATENATE("Estado: ",O440,", ",J440),
IF(L440=Meses!$A$3,"Por revisar",
IF(H440="","Sin registro","En programación Frcst."))),"En programación")))),
"Error")</f>
        <v>Por revisar</v>
      </c>
      <c r="Q440" s="9" t="str">
        <f t="shared" si="18"/>
        <v>programación de act. NO, estado: Facturando, Comercializador: ENEL, Etapa: Instalado y Activado</v>
      </c>
      <c r="R440" s="25" t="str">
        <f>IF(P440="En programación Frcst.",VLOOKUP(L440,Meses!$A$1:$H$14,3+HLOOKUP(Cronograma!J440,Meses!$D$1:$G$2,2,FALSE),FALSE),
IF(P440="En programación",M440,""))</f>
        <v/>
      </c>
      <c r="S440" s="25" t="str">
        <f t="shared" si="20"/>
        <v/>
      </c>
      <c r="T440" s="21" t="str">
        <f>IFERROR(
(VLOOKUP(MONTH(R440),Meses!$B$3:$C$14,2,FALSE)-DAY(R440))/VLOOKUP(MONTH(R440),Meses!$B$3:$C$14,2,FALSE)*U440,
"")</f>
        <v/>
      </c>
      <c r="U440" s="22">
        <f t="shared" si="19"/>
        <v>143</v>
      </c>
    </row>
    <row r="441" spans="1:21" ht="32.4" hidden="1" thickBot="1" x14ac:dyDescent="0.6">
      <c r="A441" s="10" t="s">
        <v>580</v>
      </c>
      <c r="B441" s="10" t="s">
        <v>584</v>
      </c>
      <c r="C441" s="12">
        <v>45127</v>
      </c>
      <c r="D441" s="10" t="s">
        <v>14</v>
      </c>
      <c r="E441" s="10" t="s">
        <v>14</v>
      </c>
      <c r="F441" s="10">
        <v>181</v>
      </c>
      <c r="G441" s="10" t="s">
        <v>15</v>
      </c>
      <c r="H441" s="10" t="s">
        <v>17</v>
      </c>
      <c r="I441" s="10" t="s">
        <v>18</v>
      </c>
      <c r="J441" s="10" t="s">
        <v>19</v>
      </c>
      <c r="K441" s="10" t="s">
        <v>19</v>
      </c>
      <c r="L441" s="10" t="s">
        <v>19</v>
      </c>
      <c r="M441" s="12"/>
      <c r="N441" s="10" t="s">
        <v>20</v>
      </c>
      <c r="O441" s="10" t="s">
        <v>2054</v>
      </c>
      <c r="P441" s="25" t="str">
        <f>IFERROR(
IF(OR(O441="anulado",O441="stand by"),CONCATENATE(O441,": ",H441),
IF(OR(YEAR(M441)=2022,YEAR(M441)=2023),CONCATENATE("Se activó en ",YEAR(M441)),
IF(AND(OR(O441="En proceso",O441="facturando"),AND(J441="-",M441="")),"Por revisar",
IF(M441="",IF(J441="NUEVAS",CONCATENATE("Estado: ",O441,", ",J441),
IF(L441=Meses!$A$3,"Por revisar",
IF(H441="","Sin registro","En programación Frcst."))),"En programación")))),
"Error")</f>
        <v>Por revisar</v>
      </c>
      <c r="Q441" s="9" t="str">
        <f t="shared" si="18"/>
        <v>programación de act. NO, estado: Facturando, Comercializador: ENEL, Etapa: Instalado y Activado</v>
      </c>
      <c r="R441" s="25" t="str">
        <f>IF(P441="En programación Frcst.",VLOOKUP(L441,Meses!$A$1:$H$14,3+HLOOKUP(Cronograma!J441,Meses!$D$1:$G$2,2,FALSE),FALSE),
IF(P441="En programación",M441,""))</f>
        <v/>
      </c>
      <c r="S441" s="25" t="str">
        <f t="shared" si="20"/>
        <v/>
      </c>
      <c r="T441" s="21" t="str">
        <f>IFERROR(
(VLOOKUP(MONTH(R441),Meses!$B$3:$C$14,2,FALSE)-DAY(R441))/VLOOKUP(MONTH(R441),Meses!$B$3:$C$14,2,FALSE)*U441,
"")</f>
        <v/>
      </c>
      <c r="U441" s="22">
        <f t="shared" si="19"/>
        <v>181</v>
      </c>
    </row>
    <row r="442" spans="1:21" ht="32.4" hidden="1" thickBot="1" x14ac:dyDescent="0.6">
      <c r="A442" s="10" t="s">
        <v>580</v>
      </c>
      <c r="B442" s="10" t="s">
        <v>585</v>
      </c>
      <c r="C442" s="12">
        <v>45134</v>
      </c>
      <c r="D442" s="10" t="s">
        <v>14</v>
      </c>
      <c r="E442" s="10" t="s">
        <v>14</v>
      </c>
      <c r="F442" s="10">
        <v>212</v>
      </c>
      <c r="G442" s="10" t="s">
        <v>15</v>
      </c>
      <c r="H442" s="10" t="s">
        <v>17</v>
      </c>
      <c r="I442" s="10" t="s">
        <v>18</v>
      </c>
      <c r="J442" s="10" t="s">
        <v>19</v>
      </c>
      <c r="K442" s="10" t="s">
        <v>19</v>
      </c>
      <c r="L442" s="10" t="s">
        <v>19</v>
      </c>
      <c r="M442" s="12"/>
      <c r="N442" s="10" t="s">
        <v>20</v>
      </c>
      <c r="O442" s="10" t="s">
        <v>2054</v>
      </c>
      <c r="P442" s="25" t="str">
        <f>IFERROR(
IF(OR(O442="anulado",O442="stand by"),CONCATENATE(O442,": ",H442),
IF(OR(YEAR(M442)=2022,YEAR(M442)=2023),CONCATENATE("Se activó en ",YEAR(M442)),
IF(AND(OR(O442="En proceso",O442="facturando"),AND(J442="-",M442="")),"Por revisar",
IF(M442="",IF(J442="NUEVAS",CONCATENATE("Estado: ",O442,", ",J442),
IF(L442=Meses!$A$3,"Por revisar",
IF(H442="","Sin registro","En programación Frcst."))),"En programación")))),
"Error")</f>
        <v>Por revisar</v>
      </c>
      <c r="Q442" s="9" t="str">
        <f t="shared" si="18"/>
        <v>programación de act. NO, estado: Facturando, Comercializador: ENEL, Etapa: Instalado y Activado</v>
      </c>
      <c r="R442" s="25" t="str">
        <f>IF(P442="En programación Frcst.",VLOOKUP(L442,Meses!$A$1:$H$14,3+HLOOKUP(Cronograma!J442,Meses!$D$1:$G$2,2,FALSE),FALSE),
IF(P442="En programación",M442,""))</f>
        <v/>
      </c>
      <c r="S442" s="25" t="str">
        <f t="shared" si="20"/>
        <v/>
      </c>
      <c r="T442" s="21" t="str">
        <f>IFERROR(
(VLOOKUP(MONTH(R442),Meses!$B$3:$C$14,2,FALSE)-DAY(R442))/VLOOKUP(MONTH(R442),Meses!$B$3:$C$14,2,FALSE)*U442,
"")</f>
        <v/>
      </c>
      <c r="U442" s="22">
        <f t="shared" si="19"/>
        <v>212</v>
      </c>
    </row>
    <row r="443" spans="1:21" ht="32.4" hidden="1" thickBot="1" x14ac:dyDescent="0.6">
      <c r="A443" s="10" t="s">
        <v>580</v>
      </c>
      <c r="B443" s="10" t="s">
        <v>586</v>
      </c>
      <c r="C443" s="12">
        <v>45127</v>
      </c>
      <c r="D443" s="10" t="s">
        <v>14</v>
      </c>
      <c r="E443" s="10" t="s">
        <v>14</v>
      </c>
      <c r="F443" s="10">
        <v>239</v>
      </c>
      <c r="G443" s="10" t="s">
        <v>15</v>
      </c>
      <c r="H443" s="10" t="s">
        <v>17</v>
      </c>
      <c r="I443" s="10" t="s">
        <v>18</v>
      </c>
      <c r="J443" s="10" t="s">
        <v>19</v>
      </c>
      <c r="K443" s="10" t="s">
        <v>19</v>
      </c>
      <c r="L443" s="10" t="s">
        <v>19</v>
      </c>
      <c r="M443" s="12"/>
      <c r="N443" s="10" t="s">
        <v>20</v>
      </c>
      <c r="O443" s="10" t="s">
        <v>2054</v>
      </c>
      <c r="P443" s="25" t="str">
        <f>IFERROR(
IF(OR(O443="anulado",O443="stand by"),CONCATENATE(O443,": ",H443),
IF(OR(YEAR(M443)=2022,YEAR(M443)=2023),CONCATENATE("Se activó en ",YEAR(M443)),
IF(AND(OR(O443="En proceso",O443="facturando"),AND(J443="-",M443="")),"Por revisar",
IF(M443="",IF(J443="NUEVAS",CONCATENATE("Estado: ",O443,", ",J443),
IF(L443=Meses!$A$3,"Por revisar",
IF(H443="","Sin registro","En programación Frcst."))),"En programación")))),
"Error")</f>
        <v>Por revisar</v>
      </c>
      <c r="Q443" s="9" t="str">
        <f t="shared" si="18"/>
        <v>programación de act. NO, estado: Facturando, Comercializador: ENEL, Etapa: Instalado y Activado</v>
      </c>
      <c r="R443" s="25" t="str">
        <f>IF(P443="En programación Frcst.",VLOOKUP(L443,Meses!$A$1:$H$14,3+HLOOKUP(Cronograma!J443,Meses!$D$1:$G$2,2,FALSE),FALSE),
IF(P443="En programación",M443,""))</f>
        <v/>
      </c>
      <c r="S443" s="25" t="str">
        <f t="shared" si="20"/>
        <v/>
      </c>
      <c r="T443" s="21" t="str">
        <f>IFERROR(
(VLOOKUP(MONTH(R443),Meses!$B$3:$C$14,2,FALSE)-DAY(R443))/VLOOKUP(MONTH(R443),Meses!$B$3:$C$14,2,FALSE)*U443,
"")</f>
        <v/>
      </c>
      <c r="U443" s="22">
        <f t="shared" si="19"/>
        <v>239</v>
      </c>
    </row>
    <row r="444" spans="1:21" ht="32.4" hidden="1" thickBot="1" x14ac:dyDescent="0.6">
      <c r="A444" s="10" t="s">
        <v>580</v>
      </c>
      <c r="B444" s="10" t="s">
        <v>587</v>
      </c>
      <c r="C444" s="12">
        <v>45127</v>
      </c>
      <c r="D444" s="10" t="s">
        <v>14</v>
      </c>
      <c r="E444" s="10" t="s">
        <v>14</v>
      </c>
      <c r="F444" s="10">
        <v>202</v>
      </c>
      <c r="G444" s="10" t="s">
        <v>15</v>
      </c>
      <c r="H444" s="10" t="s">
        <v>17</v>
      </c>
      <c r="I444" s="10" t="s">
        <v>18</v>
      </c>
      <c r="J444" s="10" t="s">
        <v>19</v>
      </c>
      <c r="K444" s="10" t="s">
        <v>19</v>
      </c>
      <c r="L444" s="10" t="s">
        <v>19</v>
      </c>
      <c r="M444" s="12"/>
      <c r="N444" s="10" t="s">
        <v>20</v>
      </c>
      <c r="O444" s="10" t="s">
        <v>2054</v>
      </c>
      <c r="P444" s="25" t="str">
        <f>IFERROR(
IF(OR(O444="anulado",O444="stand by"),CONCATENATE(O444,": ",H444),
IF(OR(YEAR(M444)=2022,YEAR(M444)=2023),CONCATENATE("Se activó en ",YEAR(M444)),
IF(AND(OR(O444="En proceso",O444="facturando"),AND(J444="-",M444="")),"Por revisar",
IF(M444="",IF(J444="NUEVAS",CONCATENATE("Estado: ",O444,", ",J444),
IF(L444=Meses!$A$3,"Por revisar",
IF(H444="","Sin registro","En programación Frcst."))),"En programación")))),
"Error")</f>
        <v>Por revisar</v>
      </c>
      <c r="Q444" s="9" t="str">
        <f t="shared" si="18"/>
        <v>programación de act. NO, estado: Facturando, Comercializador: ENEL, Etapa: Instalado y Activado</v>
      </c>
      <c r="R444" s="25" t="str">
        <f>IF(P444="En programación Frcst.",VLOOKUP(L444,Meses!$A$1:$H$14,3+HLOOKUP(Cronograma!J444,Meses!$D$1:$G$2,2,FALSE),FALSE),
IF(P444="En programación",M444,""))</f>
        <v/>
      </c>
      <c r="S444" s="25" t="str">
        <f t="shared" si="20"/>
        <v/>
      </c>
      <c r="T444" s="21" t="str">
        <f>IFERROR(
(VLOOKUP(MONTH(R444),Meses!$B$3:$C$14,2,FALSE)-DAY(R444))/VLOOKUP(MONTH(R444),Meses!$B$3:$C$14,2,FALSE)*U444,
"")</f>
        <v/>
      </c>
      <c r="U444" s="22">
        <f t="shared" si="19"/>
        <v>202</v>
      </c>
    </row>
    <row r="445" spans="1:21" ht="32.4" hidden="1" thickBot="1" x14ac:dyDescent="0.6">
      <c r="A445" s="10" t="s">
        <v>580</v>
      </c>
      <c r="B445" s="10" t="s">
        <v>588</v>
      </c>
      <c r="C445" s="12">
        <v>45127</v>
      </c>
      <c r="D445" s="10" t="s">
        <v>14</v>
      </c>
      <c r="E445" s="10" t="s">
        <v>14</v>
      </c>
      <c r="F445" s="10">
        <v>176</v>
      </c>
      <c r="G445" s="10" t="s">
        <v>15</v>
      </c>
      <c r="H445" s="10" t="s">
        <v>17</v>
      </c>
      <c r="I445" s="10" t="s">
        <v>18</v>
      </c>
      <c r="J445" s="10" t="s">
        <v>19</v>
      </c>
      <c r="K445" s="10" t="s">
        <v>19</v>
      </c>
      <c r="L445" s="10" t="s">
        <v>19</v>
      </c>
      <c r="M445" s="12"/>
      <c r="N445" s="10" t="s">
        <v>20</v>
      </c>
      <c r="O445" s="10" t="s">
        <v>2054</v>
      </c>
      <c r="P445" s="25" t="str">
        <f>IFERROR(
IF(OR(O445="anulado",O445="stand by"),CONCATENATE(O445,": ",H445),
IF(OR(YEAR(M445)=2022,YEAR(M445)=2023),CONCATENATE("Se activó en ",YEAR(M445)),
IF(AND(OR(O445="En proceso",O445="facturando"),AND(J445="-",M445="")),"Por revisar",
IF(M445="",IF(J445="NUEVAS",CONCATENATE("Estado: ",O445,", ",J445),
IF(L445=Meses!$A$3,"Por revisar",
IF(H445="","Sin registro","En programación Frcst."))),"En programación")))),
"Error")</f>
        <v>Por revisar</v>
      </c>
      <c r="Q445" s="9" t="str">
        <f t="shared" si="18"/>
        <v>programación de act. NO, estado: Facturando, Comercializador: ENEL, Etapa: Instalado y Activado</v>
      </c>
      <c r="R445" s="25" t="str">
        <f>IF(P445="En programación Frcst.",VLOOKUP(L445,Meses!$A$1:$H$14,3+HLOOKUP(Cronograma!J445,Meses!$D$1:$G$2,2,FALSE),FALSE),
IF(P445="En programación",M445,""))</f>
        <v/>
      </c>
      <c r="S445" s="25" t="str">
        <f t="shared" si="20"/>
        <v/>
      </c>
      <c r="T445" s="21" t="str">
        <f>IFERROR(
(VLOOKUP(MONTH(R445),Meses!$B$3:$C$14,2,FALSE)-DAY(R445))/VLOOKUP(MONTH(R445),Meses!$B$3:$C$14,2,FALSE)*U445,
"")</f>
        <v/>
      </c>
      <c r="U445" s="22">
        <f t="shared" si="19"/>
        <v>176</v>
      </c>
    </row>
    <row r="446" spans="1:21" ht="32.4" hidden="1" thickBot="1" x14ac:dyDescent="0.6">
      <c r="A446" s="10" t="s">
        <v>580</v>
      </c>
      <c r="B446" s="10" t="s">
        <v>589</v>
      </c>
      <c r="C446" s="12">
        <v>45127</v>
      </c>
      <c r="D446" s="10" t="s">
        <v>14</v>
      </c>
      <c r="E446" s="10" t="s">
        <v>14</v>
      </c>
      <c r="F446" s="10">
        <v>249</v>
      </c>
      <c r="G446" s="10" t="s">
        <v>15</v>
      </c>
      <c r="H446" s="10" t="s">
        <v>17</v>
      </c>
      <c r="I446" s="10" t="s">
        <v>18</v>
      </c>
      <c r="J446" s="10" t="s">
        <v>19</v>
      </c>
      <c r="K446" s="10" t="s">
        <v>19</v>
      </c>
      <c r="L446" s="10" t="s">
        <v>19</v>
      </c>
      <c r="M446" s="12"/>
      <c r="N446" s="10" t="s">
        <v>20</v>
      </c>
      <c r="O446" s="10" t="s">
        <v>2054</v>
      </c>
      <c r="P446" s="25" t="str">
        <f>IFERROR(
IF(OR(O446="anulado",O446="stand by"),CONCATENATE(O446,": ",H446),
IF(OR(YEAR(M446)=2022,YEAR(M446)=2023),CONCATENATE("Se activó en ",YEAR(M446)),
IF(AND(OR(O446="En proceso",O446="facturando"),AND(J446="-",M446="")),"Por revisar",
IF(M446="",IF(J446="NUEVAS",CONCATENATE("Estado: ",O446,", ",J446),
IF(L446=Meses!$A$3,"Por revisar",
IF(H446="","Sin registro","En programación Frcst."))),"En programación")))),
"Error")</f>
        <v>Por revisar</v>
      </c>
      <c r="Q446" s="9" t="str">
        <f t="shared" si="18"/>
        <v>programación de act. NO, estado: Facturando, Comercializador: ENEL, Etapa: Instalado y Activado</v>
      </c>
      <c r="R446" s="25" t="str">
        <f>IF(P446="En programación Frcst.",VLOOKUP(L446,Meses!$A$1:$H$14,3+HLOOKUP(Cronograma!J446,Meses!$D$1:$G$2,2,FALSE),FALSE),
IF(P446="En programación",M446,""))</f>
        <v/>
      </c>
      <c r="S446" s="25" t="str">
        <f t="shared" si="20"/>
        <v/>
      </c>
      <c r="T446" s="21" t="str">
        <f>IFERROR(
(VLOOKUP(MONTH(R446),Meses!$B$3:$C$14,2,FALSE)-DAY(R446))/VLOOKUP(MONTH(R446),Meses!$B$3:$C$14,2,FALSE)*U446,
"")</f>
        <v/>
      </c>
      <c r="U446" s="22">
        <f t="shared" si="19"/>
        <v>249</v>
      </c>
    </row>
    <row r="447" spans="1:21" ht="32.4" hidden="1" thickBot="1" x14ac:dyDescent="0.6">
      <c r="A447" s="10" t="s">
        <v>580</v>
      </c>
      <c r="B447" s="10" t="s">
        <v>590</v>
      </c>
      <c r="C447" s="12">
        <v>45127</v>
      </c>
      <c r="D447" s="10" t="s">
        <v>14</v>
      </c>
      <c r="E447" s="10" t="s">
        <v>14</v>
      </c>
      <c r="F447" s="10">
        <v>84</v>
      </c>
      <c r="G447" s="10" t="s">
        <v>15</v>
      </c>
      <c r="H447" s="10" t="s">
        <v>17</v>
      </c>
      <c r="I447" s="10" t="s">
        <v>18</v>
      </c>
      <c r="J447" s="10" t="s">
        <v>19</v>
      </c>
      <c r="K447" s="10" t="s">
        <v>19</v>
      </c>
      <c r="L447" s="10" t="s">
        <v>19</v>
      </c>
      <c r="M447" s="12"/>
      <c r="N447" s="10" t="s">
        <v>20</v>
      </c>
      <c r="O447" s="10" t="s">
        <v>2054</v>
      </c>
      <c r="P447" s="25" t="str">
        <f>IFERROR(
IF(OR(O447="anulado",O447="stand by"),CONCATENATE(O447,": ",H447),
IF(OR(YEAR(M447)=2022,YEAR(M447)=2023),CONCATENATE("Se activó en ",YEAR(M447)),
IF(AND(OR(O447="En proceso",O447="facturando"),AND(J447="-",M447="")),"Por revisar",
IF(M447="",IF(J447="NUEVAS",CONCATENATE("Estado: ",O447,", ",J447),
IF(L447=Meses!$A$3,"Por revisar",
IF(H447="","Sin registro","En programación Frcst."))),"En programación")))),
"Error")</f>
        <v>Por revisar</v>
      </c>
      <c r="Q447" s="9" t="str">
        <f t="shared" si="18"/>
        <v>programación de act. NO, estado: Facturando, Comercializador: ENEL, Etapa: Instalado y Activado</v>
      </c>
      <c r="R447" s="25" t="str">
        <f>IF(P447="En programación Frcst.",VLOOKUP(L447,Meses!$A$1:$H$14,3+HLOOKUP(Cronograma!J447,Meses!$D$1:$G$2,2,FALSE),FALSE),
IF(P447="En programación",M447,""))</f>
        <v/>
      </c>
      <c r="S447" s="25" t="str">
        <f t="shared" si="20"/>
        <v/>
      </c>
      <c r="T447" s="21" t="str">
        <f>IFERROR(
(VLOOKUP(MONTH(R447),Meses!$B$3:$C$14,2,FALSE)-DAY(R447))/VLOOKUP(MONTH(R447),Meses!$B$3:$C$14,2,FALSE)*U447,
"")</f>
        <v/>
      </c>
      <c r="U447" s="22">
        <f t="shared" si="19"/>
        <v>84</v>
      </c>
    </row>
    <row r="448" spans="1:21" ht="32.4" hidden="1" thickBot="1" x14ac:dyDescent="0.6">
      <c r="A448" s="10" t="s">
        <v>580</v>
      </c>
      <c r="B448" s="10" t="s">
        <v>591</v>
      </c>
      <c r="C448" s="12">
        <v>45127</v>
      </c>
      <c r="D448" s="10" t="s">
        <v>14</v>
      </c>
      <c r="E448" s="10" t="s">
        <v>14</v>
      </c>
      <c r="F448" s="10">
        <v>195</v>
      </c>
      <c r="G448" s="10" t="s">
        <v>15</v>
      </c>
      <c r="H448" s="10" t="s">
        <v>17</v>
      </c>
      <c r="I448" s="10" t="s">
        <v>18</v>
      </c>
      <c r="J448" s="10" t="s">
        <v>19</v>
      </c>
      <c r="K448" s="10" t="s">
        <v>19</v>
      </c>
      <c r="L448" s="10" t="s">
        <v>19</v>
      </c>
      <c r="M448" s="12"/>
      <c r="N448" s="10" t="s">
        <v>20</v>
      </c>
      <c r="O448" s="10" t="s">
        <v>2054</v>
      </c>
      <c r="P448" s="25" t="str">
        <f>IFERROR(
IF(OR(O448="anulado",O448="stand by"),CONCATENATE(O448,": ",H448),
IF(OR(YEAR(M448)=2022,YEAR(M448)=2023),CONCATENATE("Se activó en ",YEAR(M448)),
IF(AND(OR(O448="En proceso",O448="facturando"),AND(J448="-",M448="")),"Por revisar",
IF(M448="",IF(J448="NUEVAS",CONCATENATE("Estado: ",O448,", ",J448),
IF(L448=Meses!$A$3,"Por revisar",
IF(H448="","Sin registro","En programación Frcst."))),"En programación")))),
"Error")</f>
        <v>Por revisar</v>
      </c>
      <c r="Q448" s="9" t="str">
        <f t="shared" si="18"/>
        <v>programación de act. NO, estado: Facturando, Comercializador: ENEL, Etapa: Instalado y Activado</v>
      </c>
      <c r="R448" s="25" t="str">
        <f>IF(P448="En programación Frcst.",VLOOKUP(L448,Meses!$A$1:$H$14,3+HLOOKUP(Cronograma!J448,Meses!$D$1:$G$2,2,FALSE),FALSE),
IF(P448="En programación",M448,""))</f>
        <v/>
      </c>
      <c r="S448" s="25" t="str">
        <f t="shared" si="20"/>
        <v/>
      </c>
      <c r="T448" s="21" t="str">
        <f>IFERROR(
(VLOOKUP(MONTH(R448),Meses!$B$3:$C$14,2,FALSE)-DAY(R448))/VLOOKUP(MONTH(R448),Meses!$B$3:$C$14,2,FALSE)*U448,
"")</f>
        <v/>
      </c>
      <c r="U448" s="22">
        <f t="shared" si="19"/>
        <v>195</v>
      </c>
    </row>
    <row r="449" spans="1:21" ht="32.4" hidden="1" thickBot="1" x14ac:dyDescent="0.6">
      <c r="A449" s="10" t="s">
        <v>580</v>
      </c>
      <c r="B449" s="10" t="s">
        <v>592</v>
      </c>
      <c r="C449" s="12">
        <v>45127</v>
      </c>
      <c r="D449" s="10" t="s">
        <v>14</v>
      </c>
      <c r="E449" s="10" t="s">
        <v>14</v>
      </c>
      <c r="F449" s="10">
        <v>194</v>
      </c>
      <c r="G449" s="10" t="s">
        <v>15</v>
      </c>
      <c r="H449" s="10" t="s">
        <v>17</v>
      </c>
      <c r="I449" s="10" t="s">
        <v>18</v>
      </c>
      <c r="J449" s="10" t="s">
        <v>19</v>
      </c>
      <c r="K449" s="10" t="s">
        <v>19</v>
      </c>
      <c r="L449" s="10" t="s">
        <v>19</v>
      </c>
      <c r="M449" s="12"/>
      <c r="N449" s="10" t="s">
        <v>20</v>
      </c>
      <c r="O449" s="10" t="s">
        <v>2054</v>
      </c>
      <c r="P449" s="25" t="str">
        <f>IFERROR(
IF(OR(O449="anulado",O449="stand by"),CONCATENATE(O449,": ",H449),
IF(OR(YEAR(M449)=2022,YEAR(M449)=2023),CONCATENATE("Se activó en ",YEAR(M449)),
IF(AND(OR(O449="En proceso",O449="facturando"),AND(J449="-",M449="")),"Por revisar",
IF(M449="",IF(J449="NUEVAS",CONCATENATE("Estado: ",O449,", ",J449),
IF(L449=Meses!$A$3,"Por revisar",
IF(H449="","Sin registro","En programación Frcst."))),"En programación")))),
"Error")</f>
        <v>Por revisar</v>
      </c>
      <c r="Q449" s="9" t="str">
        <f t="shared" si="18"/>
        <v>programación de act. NO, estado: Facturando, Comercializador: ENEL, Etapa: Instalado y Activado</v>
      </c>
      <c r="R449" s="25" t="str">
        <f>IF(P449="En programación Frcst.",VLOOKUP(L449,Meses!$A$1:$H$14,3+HLOOKUP(Cronograma!J449,Meses!$D$1:$G$2,2,FALSE),FALSE),
IF(P449="En programación",M449,""))</f>
        <v/>
      </c>
      <c r="S449" s="25" t="str">
        <f t="shared" si="20"/>
        <v/>
      </c>
      <c r="T449" s="21" t="str">
        <f>IFERROR(
(VLOOKUP(MONTH(R449),Meses!$B$3:$C$14,2,FALSE)-DAY(R449))/VLOOKUP(MONTH(R449),Meses!$B$3:$C$14,2,FALSE)*U449,
"")</f>
        <v/>
      </c>
      <c r="U449" s="22">
        <f t="shared" si="19"/>
        <v>194</v>
      </c>
    </row>
    <row r="450" spans="1:21" ht="32.4" hidden="1" thickBot="1" x14ac:dyDescent="0.6">
      <c r="A450" s="10" t="s">
        <v>580</v>
      </c>
      <c r="B450" s="10" t="s">
        <v>593</v>
      </c>
      <c r="C450" s="12">
        <v>45127</v>
      </c>
      <c r="D450" s="10" t="s">
        <v>14</v>
      </c>
      <c r="E450" s="10" t="s">
        <v>14</v>
      </c>
      <c r="F450" s="10">
        <v>123</v>
      </c>
      <c r="G450" s="10" t="s">
        <v>15</v>
      </c>
      <c r="H450" s="10" t="s">
        <v>17</v>
      </c>
      <c r="I450" s="10" t="s">
        <v>18</v>
      </c>
      <c r="J450" s="10" t="s">
        <v>19</v>
      </c>
      <c r="K450" s="10" t="s">
        <v>19</v>
      </c>
      <c r="L450" s="10" t="s">
        <v>19</v>
      </c>
      <c r="M450" s="12"/>
      <c r="N450" s="10" t="s">
        <v>20</v>
      </c>
      <c r="O450" s="10" t="s">
        <v>2054</v>
      </c>
      <c r="P450" s="25" t="str">
        <f>IFERROR(
IF(OR(O450="anulado",O450="stand by"),CONCATENATE(O450,": ",H450),
IF(OR(YEAR(M450)=2022,YEAR(M450)=2023),CONCATENATE("Se activó en ",YEAR(M450)),
IF(AND(OR(O450="En proceso",O450="facturando"),AND(J450="-",M450="")),"Por revisar",
IF(M450="",IF(J450="NUEVAS",CONCATENATE("Estado: ",O450,", ",J450),
IF(L450=Meses!$A$3,"Por revisar",
IF(H450="","Sin registro","En programación Frcst."))),"En programación")))),
"Error")</f>
        <v>Por revisar</v>
      </c>
      <c r="Q450" s="9" t="str">
        <f t="shared" ref="Q450:Q513" si="21">IF(P450="Por revisar",CONCATENATE("programación de act. ",N450,", estado: ",O450,", Comercializador: ",D450,", Etapa: ",H450),"")</f>
        <v>programación de act. NO, estado: Facturando, Comercializador: ENEL, Etapa: Instalado y Activado</v>
      </c>
      <c r="R450" s="25" t="str">
        <f>IF(P450="En programación Frcst.",VLOOKUP(L450,Meses!$A$1:$H$14,3+HLOOKUP(Cronograma!J450,Meses!$D$1:$G$2,2,FALSE),FALSE),
IF(P450="En programación",M450,""))</f>
        <v/>
      </c>
      <c r="S450" s="25" t="str">
        <f t="shared" si="20"/>
        <v/>
      </c>
      <c r="T450" s="21" t="str">
        <f>IFERROR(
(VLOOKUP(MONTH(R450),Meses!$B$3:$C$14,2,FALSE)-DAY(R450))/VLOOKUP(MONTH(R450),Meses!$B$3:$C$14,2,FALSE)*U450,
"")</f>
        <v/>
      </c>
      <c r="U450" s="22">
        <f t="shared" ref="U450:U513" si="22">F450</f>
        <v>123</v>
      </c>
    </row>
    <row r="451" spans="1:21" ht="32.4" hidden="1" thickBot="1" x14ac:dyDescent="0.6">
      <c r="A451" s="10" t="s">
        <v>580</v>
      </c>
      <c r="B451" s="10" t="s">
        <v>594</v>
      </c>
      <c r="C451" s="12">
        <v>45127</v>
      </c>
      <c r="D451" s="10" t="s">
        <v>14</v>
      </c>
      <c r="E451" s="10" t="s">
        <v>14</v>
      </c>
      <c r="F451" s="10">
        <v>252</v>
      </c>
      <c r="G451" s="10" t="s">
        <v>15</v>
      </c>
      <c r="H451" s="10" t="s">
        <v>17</v>
      </c>
      <c r="I451" s="10" t="s">
        <v>18</v>
      </c>
      <c r="J451" s="10" t="s">
        <v>19</v>
      </c>
      <c r="K451" s="10" t="s">
        <v>19</v>
      </c>
      <c r="L451" s="10" t="s">
        <v>19</v>
      </c>
      <c r="M451" s="12"/>
      <c r="N451" s="10" t="s">
        <v>20</v>
      </c>
      <c r="O451" s="10" t="s">
        <v>2054</v>
      </c>
      <c r="P451" s="25" t="str">
        <f>IFERROR(
IF(OR(O451="anulado",O451="stand by"),CONCATENATE(O451,": ",H451),
IF(OR(YEAR(M451)=2022,YEAR(M451)=2023),CONCATENATE("Se activó en ",YEAR(M451)),
IF(AND(OR(O451="En proceso",O451="facturando"),AND(J451="-",M451="")),"Por revisar",
IF(M451="",IF(J451="NUEVAS",CONCATENATE("Estado: ",O451,", ",J451),
IF(L451=Meses!$A$3,"Por revisar",
IF(H451="","Sin registro","En programación Frcst."))),"En programación")))),
"Error")</f>
        <v>Por revisar</v>
      </c>
      <c r="Q451" s="9" t="str">
        <f t="shared" si="21"/>
        <v>programación de act. NO, estado: Facturando, Comercializador: ENEL, Etapa: Instalado y Activado</v>
      </c>
      <c r="R451" s="25" t="str">
        <f>IF(P451="En programación Frcst.",VLOOKUP(L451,Meses!$A$1:$H$14,3+HLOOKUP(Cronograma!J451,Meses!$D$1:$G$2,2,FALSE),FALSE),
IF(P451="En programación",M451,""))</f>
        <v/>
      </c>
      <c r="S451" s="25" t="str">
        <f t="shared" ref="S451:S514" si="23">IFERROR(CONCATENATE(YEAR(R451),"/",MONTH(R451)),"")</f>
        <v/>
      </c>
      <c r="T451" s="21" t="str">
        <f>IFERROR(
(VLOOKUP(MONTH(R451),Meses!$B$3:$C$14,2,FALSE)-DAY(R451))/VLOOKUP(MONTH(R451),Meses!$B$3:$C$14,2,FALSE)*U451,
"")</f>
        <v/>
      </c>
      <c r="U451" s="22">
        <f t="shared" si="22"/>
        <v>252</v>
      </c>
    </row>
    <row r="452" spans="1:21" ht="32.4" hidden="1" thickBot="1" x14ac:dyDescent="0.6">
      <c r="A452" s="10" t="s">
        <v>580</v>
      </c>
      <c r="B452" s="10" t="s">
        <v>595</v>
      </c>
      <c r="C452" s="12">
        <v>45127</v>
      </c>
      <c r="D452" s="10" t="s">
        <v>14</v>
      </c>
      <c r="E452" s="10" t="s">
        <v>14</v>
      </c>
      <c r="F452" s="10">
        <v>274</v>
      </c>
      <c r="G452" s="10" t="s">
        <v>15</v>
      </c>
      <c r="H452" s="10" t="s">
        <v>17</v>
      </c>
      <c r="I452" s="10" t="s">
        <v>18</v>
      </c>
      <c r="J452" s="10" t="s">
        <v>19</v>
      </c>
      <c r="K452" s="10" t="s">
        <v>19</v>
      </c>
      <c r="L452" s="10" t="s">
        <v>19</v>
      </c>
      <c r="M452" s="12"/>
      <c r="N452" s="10" t="s">
        <v>20</v>
      </c>
      <c r="O452" s="10" t="s">
        <v>2054</v>
      </c>
      <c r="P452" s="25" t="str">
        <f>IFERROR(
IF(OR(O452="anulado",O452="stand by"),CONCATENATE(O452,": ",H452),
IF(OR(YEAR(M452)=2022,YEAR(M452)=2023),CONCATENATE("Se activó en ",YEAR(M452)),
IF(AND(OR(O452="En proceso",O452="facturando"),AND(J452="-",M452="")),"Por revisar",
IF(M452="",IF(J452="NUEVAS",CONCATENATE("Estado: ",O452,", ",J452),
IF(L452=Meses!$A$3,"Por revisar",
IF(H452="","Sin registro","En programación Frcst."))),"En programación")))),
"Error")</f>
        <v>Por revisar</v>
      </c>
      <c r="Q452" s="9" t="str">
        <f t="shared" si="21"/>
        <v>programación de act. NO, estado: Facturando, Comercializador: ENEL, Etapa: Instalado y Activado</v>
      </c>
      <c r="R452" s="25" t="str">
        <f>IF(P452="En programación Frcst.",VLOOKUP(L452,Meses!$A$1:$H$14,3+HLOOKUP(Cronograma!J452,Meses!$D$1:$G$2,2,FALSE),FALSE),
IF(P452="En programación",M452,""))</f>
        <v/>
      </c>
      <c r="S452" s="25" t="str">
        <f t="shared" si="23"/>
        <v/>
      </c>
      <c r="T452" s="21" t="str">
        <f>IFERROR(
(VLOOKUP(MONTH(R452),Meses!$B$3:$C$14,2,FALSE)-DAY(R452))/VLOOKUP(MONTH(R452),Meses!$B$3:$C$14,2,FALSE)*U452,
"")</f>
        <v/>
      </c>
      <c r="U452" s="22">
        <f t="shared" si="22"/>
        <v>274</v>
      </c>
    </row>
    <row r="453" spans="1:21" ht="32.4" hidden="1" thickBot="1" x14ac:dyDescent="0.6">
      <c r="A453" s="10" t="s">
        <v>580</v>
      </c>
      <c r="B453" s="10" t="s">
        <v>596</v>
      </c>
      <c r="C453" s="12">
        <v>45127</v>
      </c>
      <c r="D453" s="10" t="s">
        <v>14</v>
      </c>
      <c r="E453" s="10" t="s">
        <v>14</v>
      </c>
      <c r="F453" s="10">
        <v>163</v>
      </c>
      <c r="G453" s="10" t="s">
        <v>15</v>
      </c>
      <c r="H453" s="10" t="s">
        <v>17</v>
      </c>
      <c r="I453" s="10" t="s">
        <v>18</v>
      </c>
      <c r="J453" s="10" t="s">
        <v>19</v>
      </c>
      <c r="K453" s="10" t="s">
        <v>19</v>
      </c>
      <c r="L453" s="10" t="s">
        <v>19</v>
      </c>
      <c r="M453" s="12"/>
      <c r="N453" s="10" t="s">
        <v>20</v>
      </c>
      <c r="O453" s="10" t="s">
        <v>2054</v>
      </c>
      <c r="P453" s="25" t="str">
        <f>IFERROR(
IF(OR(O453="anulado",O453="stand by"),CONCATENATE(O453,": ",H453),
IF(OR(YEAR(M453)=2022,YEAR(M453)=2023),CONCATENATE("Se activó en ",YEAR(M453)),
IF(AND(OR(O453="En proceso",O453="facturando"),AND(J453="-",M453="")),"Por revisar",
IF(M453="",IF(J453="NUEVAS",CONCATENATE("Estado: ",O453,", ",J453),
IF(L453=Meses!$A$3,"Por revisar",
IF(H453="","Sin registro","En programación Frcst."))),"En programación")))),
"Error")</f>
        <v>Por revisar</v>
      </c>
      <c r="Q453" s="9" t="str">
        <f t="shared" si="21"/>
        <v>programación de act. NO, estado: Facturando, Comercializador: ENEL, Etapa: Instalado y Activado</v>
      </c>
      <c r="R453" s="25" t="str">
        <f>IF(P453="En programación Frcst.",VLOOKUP(L453,Meses!$A$1:$H$14,3+HLOOKUP(Cronograma!J453,Meses!$D$1:$G$2,2,FALSE),FALSE),
IF(P453="En programación",M453,""))</f>
        <v/>
      </c>
      <c r="S453" s="25" t="str">
        <f t="shared" si="23"/>
        <v/>
      </c>
      <c r="T453" s="21" t="str">
        <f>IFERROR(
(VLOOKUP(MONTH(R453),Meses!$B$3:$C$14,2,FALSE)-DAY(R453))/VLOOKUP(MONTH(R453),Meses!$B$3:$C$14,2,FALSE)*U453,
"")</f>
        <v/>
      </c>
      <c r="U453" s="22">
        <f t="shared" si="22"/>
        <v>163</v>
      </c>
    </row>
    <row r="454" spans="1:21" ht="32.4" hidden="1" thickBot="1" x14ac:dyDescent="0.6">
      <c r="A454" s="10" t="s">
        <v>580</v>
      </c>
      <c r="B454" s="10" t="s">
        <v>597</v>
      </c>
      <c r="C454" s="12">
        <v>45127</v>
      </c>
      <c r="D454" s="10" t="s">
        <v>14</v>
      </c>
      <c r="E454" s="10" t="s">
        <v>14</v>
      </c>
      <c r="F454" s="10">
        <v>173</v>
      </c>
      <c r="G454" s="10" t="s">
        <v>15</v>
      </c>
      <c r="H454" s="10" t="s">
        <v>17</v>
      </c>
      <c r="I454" s="10" t="s">
        <v>18</v>
      </c>
      <c r="J454" s="10" t="s">
        <v>19</v>
      </c>
      <c r="K454" s="10" t="s">
        <v>19</v>
      </c>
      <c r="L454" s="10" t="s">
        <v>19</v>
      </c>
      <c r="M454" s="12"/>
      <c r="N454" s="10" t="s">
        <v>20</v>
      </c>
      <c r="O454" s="10" t="s">
        <v>2054</v>
      </c>
      <c r="P454" s="25" t="str">
        <f>IFERROR(
IF(OR(O454="anulado",O454="stand by"),CONCATENATE(O454,": ",H454),
IF(OR(YEAR(M454)=2022,YEAR(M454)=2023),CONCATENATE("Se activó en ",YEAR(M454)),
IF(AND(OR(O454="En proceso",O454="facturando"),AND(J454="-",M454="")),"Por revisar",
IF(M454="",IF(J454="NUEVAS",CONCATENATE("Estado: ",O454,", ",J454),
IF(L454=Meses!$A$3,"Por revisar",
IF(H454="","Sin registro","En programación Frcst."))),"En programación")))),
"Error")</f>
        <v>Por revisar</v>
      </c>
      <c r="Q454" s="9" t="str">
        <f t="shared" si="21"/>
        <v>programación de act. NO, estado: Facturando, Comercializador: ENEL, Etapa: Instalado y Activado</v>
      </c>
      <c r="R454" s="25" t="str">
        <f>IF(P454="En programación Frcst.",VLOOKUP(L454,Meses!$A$1:$H$14,3+HLOOKUP(Cronograma!J454,Meses!$D$1:$G$2,2,FALSE),FALSE),
IF(P454="En programación",M454,""))</f>
        <v/>
      </c>
      <c r="S454" s="25" t="str">
        <f t="shared" si="23"/>
        <v/>
      </c>
      <c r="T454" s="21" t="str">
        <f>IFERROR(
(VLOOKUP(MONTH(R454),Meses!$B$3:$C$14,2,FALSE)-DAY(R454))/VLOOKUP(MONTH(R454),Meses!$B$3:$C$14,2,FALSE)*U454,
"")</f>
        <v/>
      </c>
      <c r="U454" s="22">
        <f t="shared" si="22"/>
        <v>173</v>
      </c>
    </row>
    <row r="455" spans="1:21" ht="32.4" hidden="1" thickBot="1" x14ac:dyDescent="0.6">
      <c r="A455" s="10" t="s">
        <v>580</v>
      </c>
      <c r="B455" s="10" t="s">
        <v>598</v>
      </c>
      <c r="C455" s="12">
        <v>45127</v>
      </c>
      <c r="D455" s="10" t="s">
        <v>14</v>
      </c>
      <c r="E455" s="10" t="s">
        <v>14</v>
      </c>
      <c r="F455" s="10">
        <v>239</v>
      </c>
      <c r="G455" s="10" t="s">
        <v>15</v>
      </c>
      <c r="H455" s="10" t="s">
        <v>17</v>
      </c>
      <c r="I455" s="10" t="s">
        <v>18</v>
      </c>
      <c r="J455" s="10" t="s">
        <v>19</v>
      </c>
      <c r="K455" s="10" t="s">
        <v>19</v>
      </c>
      <c r="L455" s="10" t="s">
        <v>19</v>
      </c>
      <c r="M455" s="12"/>
      <c r="N455" s="10" t="s">
        <v>20</v>
      </c>
      <c r="O455" s="10" t="s">
        <v>2054</v>
      </c>
      <c r="P455" s="25" t="str">
        <f>IFERROR(
IF(OR(O455="anulado",O455="stand by"),CONCATENATE(O455,": ",H455),
IF(OR(YEAR(M455)=2022,YEAR(M455)=2023),CONCATENATE("Se activó en ",YEAR(M455)),
IF(AND(OR(O455="En proceso",O455="facturando"),AND(J455="-",M455="")),"Por revisar",
IF(M455="",IF(J455="NUEVAS",CONCATENATE("Estado: ",O455,", ",J455),
IF(L455=Meses!$A$3,"Por revisar",
IF(H455="","Sin registro","En programación Frcst."))),"En programación")))),
"Error")</f>
        <v>Por revisar</v>
      </c>
      <c r="Q455" s="9" t="str">
        <f t="shared" si="21"/>
        <v>programación de act. NO, estado: Facturando, Comercializador: ENEL, Etapa: Instalado y Activado</v>
      </c>
      <c r="R455" s="25" t="str">
        <f>IF(P455="En programación Frcst.",VLOOKUP(L455,Meses!$A$1:$H$14,3+HLOOKUP(Cronograma!J455,Meses!$D$1:$G$2,2,FALSE),FALSE),
IF(P455="En programación",M455,""))</f>
        <v/>
      </c>
      <c r="S455" s="25" t="str">
        <f t="shared" si="23"/>
        <v/>
      </c>
      <c r="T455" s="21" t="str">
        <f>IFERROR(
(VLOOKUP(MONTH(R455),Meses!$B$3:$C$14,2,FALSE)-DAY(R455))/VLOOKUP(MONTH(R455),Meses!$B$3:$C$14,2,FALSE)*U455,
"")</f>
        <v/>
      </c>
      <c r="U455" s="22">
        <f t="shared" si="22"/>
        <v>239</v>
      </c>
    </row>
    <row r="456" spans="1:21" ht="32.4" hidden="1" thickBot="1" x14ac:dyDescent="0.6">
      <c r="A456" s="10" t="s">
        <v>580</v>
      </c>
      <c r="B456" s="10" t="s">
        <v>599</v>
      </c>
      <c r="C456" s="12">
        <v>45134</v>
      </c>
      <c r="D456" s="10" t="s">
        <v>14</v>
      </c>
      <c r="E456" s="10" t="s">
        <v>14</v>
      </c>
      <c r="F456" s="10">
        <v>262</v>
      </c>
      <c r="G456" s="10" t="s">
        <v>15</v>
      </c>
      <c r="H456" s="10" t="s">
        <v>17</v>
      </c>
      <c r="I456" s="10" t="s">
        <v>18</v>
      </c>
      <c r="J456" s="10" t="s">
        <v>19</v>
      </c>
      <c r="K456" s="10" t="s">
        <v>19</v>
      </c>
      <c r="L456" s="10" t="s">
        <v>19</v>
      </c>
      <c r="M456" s="12"/>
      <c r="N456" s="10" t="s">
        <v>20</v>
      </c>
      <c r="O456" s="10" t="s">
        <v>2054</v>
      </c>
      <c r="P456" s="25" t="str">
        <f>IFERROR(
IF(OR(O456="anulado",O456="stand by"),CONCATENATE(O456,": ",H456),
IF(OR(YEAR(M456)=2022,YEAR(M456)=2023),CONCATENATE("Se activó en ",YEAR(M456)),
IF(AND(OR(O456="En proceso",O456="facturando"),AND(J456="-",M456="")),"Por revisar",
IF(M456="",IF(J456="NUEVAS",CONCATENATE("Estado: ",O456,", ",J456),
IF(L456=Meses!$A$3,"Por revisar",
IF(H456="","Sin registro","En programación Frcst."))),"En programación")))),
"Error")</f>
        <v>Por revisar</v>
      </c>
      <c r="Q456" s="9" t="str">
        <f t="shared" si="21"/>
        <v>programación de act. NO, estado: Facturando, Comercializador: ENEL, Etapa: Instalado y Activado</v>
      </c>
      <c r="R456" s="25" t="str">
        <f>IF(P456="En programación Frcst.",VLOOKUP(L456,Meses!$A$1:$H$14,3+HLOOKUP(Cronograma!J456,Meses!$D$1:$G$2,2,FALSE),FALSE),
IF(P456="En programación",M456,""))</f>
        <v/>
      </c>
      <c r="S456" s="25" t="str">
        <f t="shared" si="23"/>
        <v/>
      </c>
      <c r="T456" s="21" t="str">
        <f>IFERROR(
(VLOOKUP(MONTH(R456),Meses!$B$3:$C$14,2,FALSE)-DAY(R456))/VLOOKUP(MONTH(R456),Meses!$B$3:$C$14,2,FALSE)*U456,
"")</f>
        <v/>
      </c>
      <c r="U456" s="22">
        <f t="shared" si="22"/>
        <v>262</v>
      </c>
    </row>
    <row r="457" spans="1:21" ht="32.4" hidden="1" thickBot="1" x14ac:dyDescent="0.6">
      <c r="A457" s="10" t="s">
        <v>580</v>
      </c>
      <c r="B457" s="10" t="s">
        <v>600</v>
      </c>
      <c r="C457" s="12">
        <v>45134</v>
      </c>
      <c r="D457" s="10" t="s">
        <v>14</v>
      </c>
      <c r="E457" s="10" t="s">
        <v>14</v>
      </c>
      <c r="F457" s="10">
        <v>123</v>
      </c>
      <c r="G457" s="10" t="s">
        <v>15</v>
      </c>
      <c r="H457" s="10" t="s">
        <v>17</v>
      </c>
      <c r="I457" s="10" t="s">
        <v>18</v>
      </c>
      <c r="J457" s="10" t="s">
        <v>19</v>
      </c>
      <c r="K457" s="10" t="s">
        <v>19</v>
      </c>
      <c r="L457" s="10" t="s">
        <v>19</v>
      </c>
      <c r="M457" s="12"/>
      <c r="N457" s="10" t="s">
        <v>20</v>
      </c>
      <c r="O457" s="10" t="s">
        <v>2054</v>
      </c>
      <c r="P457" s="25" t="str">
        <f>IFERROR(
IF(OR(O457="anulado",O457="stand by"),CONCATENATE(O457,": ",H457),
IF(OR(YEAR(M457)=2022,YEAR(M457)=2023),CONCATENATE("Se activó en ",YEAR(M457)),
IF(AND(OR(O457="En proceso",O457="facturando"),AND(J457="-",M457="")),"Por revisar",
IF(M457="",IF(J457="NUEVAS",CONCATENATE("Estado: ",O457,", ",J457),
IF(L457=Meses!$A$3,"Por revisar",
IF(H457="","Sin registro","En programación Frcst."))),"En programación")))),
"Error")</f>
        <v>Por revisar</v>
      </c>
      <c r="Q457" s="9" t="str">
        <f t="shared" si="21"/>
        <v>programación de act. NO, estado: Facturando, Comercializador: ENEL, Etapa: Instalado y Activado</v>
      </c>
      <c r="R457" s="25" t="str">
        <f>IF(P457="En programación Frcst.",VLOOKUP(L457,Meses!$A$1:$H$14,3+HLOOKUP(Cronograma!J457,Meses!$D$1:$G$2,2,FALSE),FALSE),
IF(P457="En programación",M457,""))</f>
        <v/>
      </c>
      <c r="S457" s="25" t="str">
        <f t="shared" si="23"/>
        <v/>
      </c>
      <c r="T457" s="21" t="str">
        <f>IFERROR(
(VLOOKUP(MONTH(R457),Meses!$B$3:$C$14,2,FALSE)-DAY(R457))/VLOOKUP(MONTH(R457),Meses!$B$3:$C$14,2,FALSE)*U457,
"")</f>
        <v/>
      </c>
      <c r="U457" s="22">
        <f t="shared" si="22"/>
        <v>123</v>
      </c>
    </row>
    <row r="458" spans="1:21" ht="32.4" hidden="1" thickBot="1" x14ac:dyDescent="0.6">
      <c r="A458" s="10" t="s">
        <v>580</v>
      </c>
      <c r="B458" s="10" t="s">
        <v>601</v>
      </c>
      <c r="C458" s="12">
        <v>45134</v>
      </c>
      <c r="D458" s="10" t="s">
        <v>14</v>
      </c>
      <c r="E458" s="10" t="s">
        <v>14</v>
      </c>
      <c r="F458" s="10">
        <v>193</v>
      </c>
      <c r="G458" s="10" t="s">
        <v>15</v>
      </c>
      <c r="H458" s="10" t="s">
        <v>17</v>
      </c>
      <c r="I458" s="10" t="s">
        <v>18</v>
      </c>
      <c r="J458" s="10" t="s">
        <v>19</v>
      </c>
      <c r="K458" s="10" t="s">
        <v>19</v>
      </c>
      <c r="L458" s="10" t="s">
        <v>19</v>
      </c>
      <c r="M458" s="12"/>
      <c r="N458" s="10" t="s">
        <v>20</v>
      </c>
      <c r="O458" s="10" t="s">
        <v>2054</v>
      </c>
      <c r="P458" s="25" t="str">
        <f>IFERROR(
IF(OR(O458="anulado",O458="stand by"),CONCATENATE(O458,": ",H458),
IF(OR(YEAR(M458)=2022,YEAR(M458)=2023),CONCATENATE("Se activó en ",YEAR(M458)),
IF(AND(OR(O458="En proceso",O458="facturando"),AND(J458="-",M458="")),"Por revisar",
IF(M458="",IF(J458="NUEVAS",CONCATENATE("Estado: ",O458,", ",J458),
IF(L458=Meses!$A$3,"Por revisar",
IF(H458="","Sin registro","En programación Frcst."))),"En programación")))),
"Error")</f>
        <v>Por revisar</v>
      </c>
      <c r="Q458" s="9" t="str">
        <f t="shared" si="21"/>
        <v>programación de act. NO, estado: Facturando, Comercializador: ENEL, Etapa: Instalado y Activado</v>
      </c>
      <c r="R458" s="25" t="str">
        <f>IF(P458="En programación Frcst.",VLOOKUP(L458,Meses!$A$1:$H$14,3+HLOOKUP(Cronograma!J458,Meses!$D$1:$G$2,2,FALSE),FALSE),
IF(P458="En programación",M458,""))</f>
        <v/>
      </c>
      <c r="S458" s="25" t="str">
        <f t="shared" si="23"/>
        <v/>
      </c>
      <c r="T458" s="21" t="str">
        <f>IFERROR(
(VLOOKUP(MONTH(R458),Meses!$B$3:$C$14,2,FALSE)-DAY(R458))/VLOOKUP(MONTH(R458),Meses!$B$3:$C$14,2,FALSE)*U458,
"")</f>
        <v/>
      </c>
      <c r="U458" s="22">
        <f t="shared" si="22"/>
        <v>193</v>
      </c>
    </row>
    <row r="459" spans="1:21" ht="32.4" hidden="1" thickBot="1" x14ac:dyDescent="0.6">
      <c r="A459" s="10" t="s">
        <v>580</v>
      </c>
      <c r="B459" s="10" t="s">
        <v>602</v>
      </c>
      <c r="C459" s="12">
        <v>45134</v>
      </c>
      <c r="D459" s="10" t="s">
        <v>14</v>
      </c>
      <c r="E459" s="10" t="s">
        <v>14</v>
      </c>
      <c r="F459" s="10">
        <v>218</v>
      </c>
      <c r="G459" s="10" t="s">
        <v>15</v>
      </c>
      <c r="H459" s="10" t="s">
        <v>17</v>
      </c>
      <c r="I459" s="10" t="s">
        <v>18</v>
      </c>
      <c r="J459" s="10" t="s">
        <v>19</v>
      </c>
      <c r="K459" s="10" t="s">
        <v>19</v>
      </c>
      <c r="L459" s="10" t="s">
        <v>19</v>
      </c>
      <c r="M459" s="12"/>
      <c r="N459" s="10" t="s">
        <v>20</v>
      </c>
      <c r="O459" s="10" t="s">
        <v>2054</v>
      </c>
      <c r="P459" s="25" t="str">
        <f>IFERROR(
IF(OR(O459="anulado",O459="stand by"),CONCATENATE(O459,": ",H459),
IF(OR(YEAR(M459)=2022,YEAR(M459)=2023),CONCATENATE("Se activó en ",YEAR(M459)),
IF(AND(OR(O459="En proceso",O459="facturando"),AND(J459="-",M459="")),"Por revisar",
IF(M459="",IF(J459="NUEVAS",CONCATENATE("Estado: ",O459,", ",J459),
IF(L459=Meses!$A$3,"Por revisar",
IF(H459="","Sin registro","En programación Frcst."))),"En programación")))),
"Error")</f>
        <v>Por revisar</v>
      </c>
      <c r="Q459" s="9" t="str">
        <f t="shared" si="21"/>
        <v>programación de act. NO, estado: Facturando, Comercializador: ENEL, Etapa: Instalado y Activado</v>
      </c>
      <c r="R459" s="25" t="str">
        <f>IF(P459="En programación Frcst.",VLOOKUP(L459,Meses!$A$1:$H$14,3+HLOOKUP(Cronograma!J459,Meses!$D$1:$G$2,2,FALSE),FALSE),
IF(P459="En programación",M459,""))</f>
        <v/>
      </c>
      <c r="S459" s="25" t="str">
        <f t="shared" si="23"/>
        <v/>
      </c>
      <c r="T459" s="21" t="str">
        <f>IFERROR(
(VLOOKUP(MONTH(R459),Meses!$B$3:$C$14,2,FALSE)-DAY(R459))/VLOOKUP(MONTH(R459),Meses!$B$3:$C$14,2,FALSE)*U459,
"")</f>
        <v/>
      </c>
      <c r="U459" s="22">
        <f t="shared" si="22"/>
        <v>218</v>
      </c>
    </row>
    <row r="460" spans="1:21" ht="32.4" hidden="1" thickBot="1" x14ac:dyDescent="0.6">
      <c r="A460" s="10" t="s">
        <v>580</v>
      </c>
      <c r="B460" s="10" t="s">
        <v>603</v>
      </c>
      <c r="C460" s="12">
        <v>45134</v>
      </c>
      <c r="D460" s="10" t="s">
        <v>14</v>
      </c>
      <c r="E460" s="10" t="s">
        <v>14</v>
      </c>
      <c r="F460" s="10">
        <v>254</v>
      </c>
      <c r="G460" s="10" t="s">
        <v>15</v>
      </c>
      <c r="H460" s="10" t="s">
        <v>17</v>
      </c>
      <c r="I460" s="10" t="s">
        <v>18</v>
      </c>
      <c r="J460" s="10" t="s">
        <v>19</v>
      </c>
      <c r="K460" s="10" t="s">
        <v>19</v>
      </c>
      <c r="L460" s="10" t="s">
        <v>19</v>
      </c>
      <c r="M460" s="12"/>
      <c r="N460" s="10" t="s">
        <v>20</v>
      </c>
      <c r="O460" s="10" t="s">
        <v>2054</v>
      </c>
      <c r="P460" s="25" t="str">
        <f>IFERROR(
IF(OR(O460="anulado",O460="stand by"),CONCATENATE(O460,": ",H460),
IF(OR(YEAR(M460)=2022,YEAR(M460)=2023),CONCATENATE("Se activó en ",YEAR(M460)),
IF(AND(OR(O460="En proceso",O460="facturando"),AND(J460="-",M460="")),"Por revisar",
IF(M460="",IF(J460="NUEVAS",CONCATENATE("Estado: ",O460,", ",J460),
IF(L460=Meses!$A$3,"Por revisar",
IF(H460="","Sin registro","En programación Frcst."))),"En programación")))),
"Error")</f>
        <v>Por revisar</v>
      </c>
      <c r="Q460" s="9" t="str">
        <f t="shared" si="21"/>
        <v>programación de act. NO, estado: Facturando, Comercializador: ENEL, Etapa: Instalado y Activado</v>
      </c>
      <c r="R460" s="25" t="str">
        <f>IF(P460="En programación Frcst.",VLOOKUP(L460,Meses!$A$1:$H$14,3+HLOOKUP(Cronograma!J460,Meses!$D$1:$G$2,2,FALSE),FALSE),
IF(P460="En programación",M460,""))</f>
        <v/>
      </c>
      <c r="S460" s="25" t="str">
        <f t="shared" si="23"/>
        <v/>
      </c>
      <c r="T460" s="21" t="str">
        <f>IFERROR(
(VLOOKUP(MONTH(R460),Meses!$B$3:$C$14,2,FALSE)-DAY(R460))/VLOOKUP(MONTH(R460),Meses!$B$3:$C$14,2,FALSE)*U460,
"")</f>
        <v/>
      </c>
      <c r="U460" s="22">
        <f t="shared" si="22"/>
        <v>254</v>
      </c>
    </row>
    <row r="461" spans="1:21" ht="32.4" hidden="1" thickBot="1" x14ac:dyDescent="0.6">
      <c r="A461" s="10" t="s">
        <v>580</v>
      </c>
      <c r="B461" s="10" t="s">
        <v>604</v>
      </c>
      <c r="C461" s="12">
        <v>45134</v>
      </c>
      <c r="D461" s="10" t="s">
        <v>14</v>
      </c>
      <c r="E461" s="10" t="s">
        <v>14</v>
      </c>
      <c r="F461" s="10">
        <v>115</v>
      </c>
      <c r="G461" s="10" t="s">
        <v>15</v>
      </c>
      <c r="H461" s="10" t="s">
        <v>17</v>
      </c>
      <c r="I461" s="10" t="s">
        <v>18</v>
      </c>
      <c r="J461" s="10" t="s">
        <v>19</v>
      </c>
      <c r="K461" s="10" t="s">
        <v>19</v>
      </c>
      <c r="L461" s="10" t="s">
        <v>19</v>
      </c>
      <c r="M461" s="12"/>
      <c r="N461" s="10" t="s">
        <v>20</v>
      </c>
      <c r="O461" s="10" t="s">
        <v>2054</v>
      </c>
      <c r="P461" s="25" t="str">
        <f>IFERROR(
IF(OR(O461="anulado",O461="stand by"),CONCATENATE(O461,": ",H461),
IF(OR(YEAR(M461)=2022,YEAR(M461)=2023),CONCATENATE("Se activó en ",YEAR(M461)),
IF(AND(OR(O461="En proceso",O461="facturando"),AND(J461="-",M461="")),"Por revisar",
IF(M461="",IF(J461="NUEVAS",CONCATENATE("Estado: ",O461,", ",J461),
IF(L461=Meses!$A$3,"Por revisar",
IF(H461="","Sin registro","En programación Frcst."))),"En programación")))),
"Error")</f>
        <v>Por revisar</v>
      </c>
      <c r="Q461" s="9" t="str">
        <f t="shared" si="21"/>
        <v>programación de act. NO, estado: Facturando, Comercializador: ENEL, Etapa: Instalado y Activado</v>
      </c>
      <c r="R461" s="25" t="str">
        <f>IF(P461="En programación Frcst.",VLOOKUP(L461,Meses!$A$1:$H$14,3+HLOOKUP(Cronograma!J461,Meses!$D$1:$G$2,2,FALSE),FALSE),
IF(P461="En programación",M461,""))</f>
        <v/>
      </c>
      <c r="S461" s="25" t="str">
        <f t="shared" si="23"/>
        <v/>
      </c>
      <c r="T461" s="21" t="str">
        <f>IFERROR(
(VLOOKUP(MONTH(R461),Meses!$B$3:$C$14,2,FALSE)-DAY(R461))/VLOOKUP(MONTH(R461),Meses!$B$3:$C$14,2,FALSE)*U461,
"")</f>
        <v/>
      </c>
      <c r="U461" s="22">
        <f t="shared" si="22"/>
        <v>115</v>
      </c>
    </row>
    <row r="462" spans="1:21" ht="32.4" hidden="1" thickBot="1" x14ac:dyDescent="0.6">
      <c r="A462" s="10" t="s">
        <v>580</v>
      </c>
      <c r="B462" s="10" t="s">
        <v>605</v>
      </c>
      <c r="C462" s="12">
        <v>45134</v>
      </c>
      <c r="D462" s="10" t="s">
        <v>14</v>
      </c>
      <c r="E462" s="10" t="s">
        <v>14</v>
      </c>
      <c r="F462" s="10">
        <v>274</v>
      </c>
      <c r="G462" s="10" t="s">
        <v>15</v>
      </c>
      <c r="H462" s="10" t="s">
        <v>17</v>
      </c>
      <c r="I462" s="10" t="s">
        <v>18</v>
      </c>
      <c r="J462" s="10" t="s">
        <v>19</v>
      </c>
      <c r="K462" s="10" t="s">
        <v>19</v>
      </c>
      <c r="L462" s="10" t="s">
        <v>19</v>
      </c>
      <c r="M462" s="12"/>
      <c r="N462" s="10" t="s">
        <v>20</v>
      </c>
      <c r="O462" s="10" t="s">
        <v>2054</v>
      </c>
      <c r="P462" s="25" t="str">
        <f>IFERROR(
IF(OR(O462="anulado",O462="stand by"),CONCATENATE(O462,": ",H462),
IF(OR(YEAR(M462)=2022,YEAR(M462)=2023),CONCATENATE("Se activó en ",YEAR(M462)),
IF(AND(OR(O462="En proceso",O462="facturando"),AND(J462="-",M462="")),"Por revisar",
IF(M462="",IF(J462="NUEVAS",CONCATENATE("Estado: ",O462,", ",J462),
IF(L462=Meses!$A$3,"Por revisar",
IF(H462="","Sin registro","En programación Frcst."))),"En programación")))),
"Error")</f>
        <v>Por revisar</v>
      </c>
      <c r="Q462" s="9" t="str">
        <f t="shared" si="21"/>
        <v>programación de act. NO, estado: Facturando, Comercializador: ENEL, Etapa: Instalado y Activado</v>
      </c>
      <c r="R462" s="25" t="str">
        <f>IF(P462="En programación Frcst.",VLOOKUP(L462,Meses!$A$1:$H$14,3+HLOOKUP(Cronograma!J462,Meses!$D$1:$G$2,2,FALSE),FALSE),
IF(P462="En programación",M462,""))</f>
        <v/>
      </c>
      <c r="S462" s="25" t="str">
        <f t="shared" si="23"/>
        <v/>
      </c>
      <c r="T462" s="21" t="str">
        <f>IFERROR(
(VLOOKUP(MONTH(R462),Meses!$B$3:$C$14,2,FALSE)-DAY(R462))/VLOOKUP(MONTH(R462),Meses!$B$3:$C$14,2,FALSE)*U462,
"")</f>
        <v/>
      </c>
      <c r="U462" s="22">
        <f t="shared" si="22"/>
        <v>274</v>
      </c>
    </row>
    <row r="463" spans="1:21" ht="32.4" hidden="1" thickBot="1" x14ac:dyDescent="0.6">
      <c r="A463" s="10" t="s">
        <v>580</v>
      </c>
      <c r="B463" s="10" t="s">
        <v>606</v>
      </c>
      <c r="C463" s="12">
        <v>45134</v>
      </c>
      <c r="D463" s="10" t="s">
        <v>14</v>
      </c>
      <c r="E463" s="10" t="s">
        <v>14</v>
      </c>
      <c r="F463" s="10">
        <v>206</v>
      </c>
      <c r="G463" s="10" t="s">
        <v>15</v>
      </c>
      <c r="H463" s="10" t="s">
        <v>17</v>
      </c>
      <c r="I463" s="10" t="s">
        <v>18</v>
      </c>
      <c r="J463" s="10" t="s">
        <v>19</v>
      </c>
      <c r="K463" s="10" t="s">
        <v>19</v>
      </c>
      <c r="L463" s="10" t="s">
        <v>19</v>
      </c>
      <c r="M463" s="12"/>
      <c r="N463" s="10" t="s">
        <v>20</v>
      </c>
      <c r="O463" s="10" t="s">
        <v>2054</v>
      </c>
      <c r="P463" s="25" t="str">
        <f>IFERROR(
IF(OR(O463="anulado",O463="stand by"),CONCATENATE(O463,": ",H463),
IF(OR(YEAR(M463)=2022,YEAR(M463)=2023),CONCATENATE("Se activó en ",YEAR(M463)),
IF(AND(OR(O463="En proceso",O463="facturando"),AND(J463="-",M463="")),"Por revisar",
IF(M463="",IF(J463="NUEVAS",CONCATENATE("Estado: ",O463,", ",J463),
IF(L463=Meses!$A$3,"Por revisar",
IF(H463="","Sin registro","En programación Frcst."))),"En programación")))),
"Error")</f>
        <v>Por revisar</v>
      </c>
      <c r="Q463" s="9" t="str">
        <f t="shared" si="21"/>
        <v>programación de act. NO, estado: Facturando, Comercializador: ENEL, Etapa: Instalado y Activado</v>
      </c>
      <c r="R463" s="25" t="str">
        <f>IF(P463="En programación Frcst.",VLOOKUP(L463,Meses!$A$1:$H$14,3+HLOOKUP(Cronograma!J463,Meses!$D$1:$G$2,2,FALSE),FALSE),
IF(P463="En programación",M463,""))</f>
        <v/>
      </c>
      <c r="S463" s="25" t="str">
        <f t="shared" si="23"/>
        <v/>
      </c>
      <c r="T463" s="21" t="str">
        <f>IFERROR(
(VLOOKUP(MONTH(R463),Meses!$B$3:$C$14,2,FALSE)-DAY(R463))/VLOOKUP(MONTH(R463),Meses!$B$3:$C$14,2,FALSE)*U463,
"")</f>
        <v/>
      </c>
      <c r="U463" s="22">
        <f t="shared" si="22"/>
        <v>206</v>
      </c>
    </row>
    <row r="464" spans="1:21" ht="32.4" hidden="1" thickBot="1" x14ac:dyDescent="0.6">
      <c r="A464" s="10" t="s">
        <v>580</v>
      </c>
      <c r="B464" s="10" t="s">
        <v>607</v>
      </c>
      <c r="C464" s="12">
        <v>45134</v>
      </c>
      <c r="D464" s="10" t="s">
        <v>14</v>
      </c>
      <c r="E464" s="10" t="s">
        <v>14</v>
      </c>
      <c r="F464" s="10">
        <v>124</v>
      </c>
      <c r="G464" s="10" t="s">
        <v>15</v>
      </c>
      <c r="H464" s="10" t="s">
        <v>17</v>
      </c>
      <c r="I464" s="10" t="s">
        <v>18</v>
      </c>
      <c r="J464" s="10" t="s">
        <v>19</v>
      </c>
      <c r="K464" s="10" t="s">
        <v>19</v>
      </c>
      <c r="L464" s="10" t="s">
        <v>19</v>
      </c>
      <c r="M464" s="12"/>
      <c r="N464" s="10" t="s">
        <v>20</v>
      </c>
      <c r="O464" s="10" t="s">
        <v>2054</v>
      </c>
      <c r="P464" s="25" t="str">
        <f>IFERROR(
IF(OR(O464="anulado",O464="stand by"),CONCATENATE(O464,": ",H464),
IF(OR(YEAR(M464)=2022,YEAR(M464)=2023),CONCATENATE("Se activó en ",YEAR(M464)),
IF(AND(OR(O464="En proceso",O464="facturando"),AND(J464="-",M464="")),"Por revisar",
IF(M464="",IF(J464="NUEVAS",CONCATENATE("Estado: ",O464,", ",J464),
IF(L464=Meses!$A$3,"Por revisar",
IF(H464="","Sin registro","En programación Frcst."))),"En programación")))),
"Error")</f>
        <v>Por revisar</v>
      </c>
      <c r="Q464" s="9" t="str">
        <f t="shared" si="21"/>
        <v>programación de act. NO, estado: Facturando, Comercializador: ENEL, Etapa: Instalado y Activado</v>
      </c>
      <c r="R464" s="25" t="str">
        <f>IF(P464="En programación Frcst.",VLOOKUP(L464,Meses!$A$1:$H$14,3+HLOOKUP(Cronograma!J464,Meses!$D$1:$G$2,2,FALSE),FALSE),
IF(P464="En programación",M464,""))</f>
        <v/>
      </c>
      <c r="S464" s="25" t="str">
        <f t="shared" si="23"/>
        <v/>
      </c>
      <c r="T464" s="21" t="str">
        <f>IFERROR(
(VLOOKUP(MONTH(R464),Meses!$B$3:$C$14,2,FALSE)-DAY(R464))/VLOOKUP(MONTH(R464),Meses!$B$3:$C$14,2,FALSE)*U464,
"")</f>
        <v/>
      </c>
      <c r="U464" s="22">
        <f t="shared" si="22"/>
        <v>124</v>
      </c>
    </row>
    <row r="465" spans="1:21" ht="32.4" hidden="1" thickBot="1" x14ac:dyDescent="0.6">
      <c r="A465" s="10" t="s">
        <v>580</v>
      </c>
      <c r="B465" s="10" t="s">
        <v>608</v>
      </c>
      <c r="C465" s="12">
        <v>45134</v>
      </c>
      <c r="D465" s="10" t="s">
        <v>14</v>
      </c>
      <c r="E465" s="10" t="s">
        <v>14</v>
      </c>
      <c r="F465" s="10">
        <v>142</v>
      </c>
      <c r="G465" s="10" t="s">
        <v>15</v>
      </c>
      <c r="H465" s="10" t="s">
        <v>17</v>
      </c>
      <c r="I465" s="10" t="s">
        <v>18</v>
      </c>
      <c r="J465" s="10" t="s">
        <v>19</v>
      </c>
      <c r="K465" s="10" t="s">
        <v>19</v>
      </c>
      <c r="L465" s="10" t="s">
        <v>19</v>
      </c>
      <c r="M465" s="12"/>
      <c r="N465" s="10" t="s">
        <v>20</v>
      </c>
      <c r="O465" s="10" t="s">
        <v>2054</v>
      </c>
      <c r="P465" s="25" t="str">
        <f>IFERROR(
IF(OR(O465="anulado",O465="stand by"),CONCATENATE(O465,": ",H465),
IF(OR(YEAR(M465)=2022,YEAR(M465)=2023),CONCATENATE("Se activó en ",YEAR(M465)),
IF(AND(OR(O465="En proceso",O465="facturando"),AND(J465="-",M465="")),"Por revisar",
IF(M465="",IF(J465="NUEVAS",CONCATENATE("Estado: ",O465,", ",J465),
IF(L465=Meses!$A$3,"Por revisar",
IF(H465="","Sin registro","En programación Frcst."))),"En programación")))),
"Error")</f>
        <v>Por revisar</v>
      </c>
      <c r="Q465" s="9" t="str">
        <f t="shared" si="21"/>
        <v>programación de act. NO, estado: Facturando, Comercializador: ENEL, Etapa: Instalado y Activado</v>
      </c>
      <c r="R465" s="25" t="str">
        <f>IF(P465="En programación Frcst.",VLOOKUP(L465,Meses!$A$1:$H$14,3+HLOOKUP(Cronograma!J465,Meses!$D$1:$G$2,2,FALSE),FALSE),
IF(P465="En programación",M465,""))</f>
        <v/>
      </c>
      <c r="S465" s="25" t="str">
        <f t="shared" si="23"/>
        <v/>
      </c>
      <c r="T465" s="21" t="str">
        <f>IFERROR(
(VLOOKUP(MONTH(R465),Meses!$B$3:$C$14,2,FALSE)-DAY(R465))/VLOOKUP(MONTH(R465),Meses!$B$3:$C$14,2,FALSE)*U465,
"")</f>
        <v/>
      </c>
      <c r="U465" s="22">
        <f t="shared" si="22"/>
        <v>142</v>
      </c>
    </row>
    <row r="466" spans="1:21" ht="32.4" hidden="1" thickBot="1" x14ac:dyDescent="0.6">
      <c r="A466" s="10" t="s">
        <v>580</v>
      </c>
      <c r="B466" s="10" t="s">
        <v>609</v>
      </c>
      <c r="C466" s="12">
        <v>45134</v>
      </c>
      <c r="D466" s="10" t="s">
        <v>14</v>
      </c>
      <c r="E466" s="10" t="s">
        <v>14</v>
      </c>
      <c r="F466" s="10">
        <v>256</v>
      </c>
      <c r="G466" s="10" t="s">
        <v>15</v>
      </c>
      <c r="H466" s="10" t="s">
        <v>17</v>
      </c>
      <c r="I466" s="10" t="s">
        <v>18</v>
      </c>
      <c r="J466" s="10" t="s">
        <v>19</v>
      </c>
      <c r="K466" s="10" t="s">
        <v>19</v>
      </c>
      <c r="L466" s="10" t="s">
        <v>19</v>
      </c>
      <c r="M466" s="12"/>
      <c r="N466" s="10" t="s">
        <v>20</v>
      </c>
      <c r="O466" s="10" t="s">
        <v>2054</v>
      </c>
      <c r="P466" s="25" t="str">
        <f>IFERROR(
IF(OR(O466="anulado",O466="stand by"),CONCATENATE(O466,": ",H466),
IF(OR(YEAR(M466)=2022,YEAR(M466)=2023),CONCATENATE("Se activó en ",YEAR(M466)),
IF(AND(OR(O466="En proceso",O466="facturando"),AND(J466="-",M466="")),"Por revisar",
IF(M466="",IF(J466="NUEVAS",CONCATENATE("Estado: ",O466,", ",J466),
IF(L466=Meses!$A$3,"Por revisar",
IF(H466="","Sin registro","En programación Frcst."))),"En programación")))),
"Error")</f>
        <v>Por revisar</v>
      </c>
      <c r="Q466" s="9" t="str">
        <f t="shared" si="21"/>
        <v>programación de act. NO, estado: Facturando, Comercializador: ENEL, Etapa: Instalado y Activado</v>
      </c>
      <c r="R466" s="25" t="str">
        <f>IF(P466="En programación Frcst.",VLOOKUP(L466,Meses!$A$1:$H$14,3+HLOOKUP(Cronograma!J466,Meses!$D$1:$G$2,2,FALSE),FALSE),
IF(P466="En programación",M466,""))</f>
        <v/>
      </c>
      <c r="S466" s="25" t="str">
        <f t="shared" si="23"/>
        <v/>
      </c>
      <c r="T466" s="21" t="str">
        <f>IFERROR(
(VLOOKUP(MONTH(R466),Meses!$B$3:$C$14,2,FALSE)-DAY(R466))/VLOOKUP(MONTH(R466),Meses!$B$3:$C$14,2,FALSE)*U466,
"")</f>
        <v/>
      </c>
      <c r="U466" s="22">
        <f t="shared" si="22"/>
        <v>256</v>
      </c>
    </row>
    <row r="467" spans="1:21" ht="32.4" hidden="1" thickBot="1" x14ac:dyDescent="0.6">
      <c r="A467" s="10" t="s">
        <v>580</v>
      </c>
      <c r="B467" s="10" t="s">
        <v>610</v>
      </c>
      <c r="C467" s="12">
        <v>45134</v>
      </c>
      <c r="D467" s="10" t="s">
        <v>14</v>
      </c>
      <c r="E467" s="10" t="s">
        <v>14</v>
      </c>
      <c r="F467" s="10">
        <v>253</v>
      </c>
      <c r="G467" s="10" t="s">
        <v>15</v>
      </c>
      <c r="H467" s="10" t="s">
        <v>17</v>
      </c>
      <c r="I467" s="10" t="s">
        <v>18</v>
      </c>
      <c r="J467" s="10" t="s">
        <v>19</v>
      </c>
      <c r="K467" s="10" t="s">
        <v>19</v>
      </c>
      <c r="L467" s="10" t="s">
        <v>19</v>
      </c>
      <c r="M467" s="12"/>
      <c r="N467" s="10" t="s">
        <v>20</v>
      </c>
      <c r="O467" s="10" t="s">
        <v>2054</v>
      </c>
      <c r="P467" s="25" t="str">
        <f>IFERROR(
IF(OR(O467="anulado",O467="stand by"),CONCATENATE(O467,": ",H467),
IF(OR(YEAR(M467)=2022,YEAR(M467)=2023),CONCATENATE("Se activó en ",YEAR(M467)),
IF(AND(OR(O467="En proceso",O467="facturando"),AND(J467="-",M467="")),"Por revisar",
IF(M467="",IF(J467="NUEVAS",CONCATENATE("Estado: ",O467,", ",J467),
IF(L467=Meses!$A$3,"Por revisar",
IF(H467="","Sin registro","En programación Frcst."))),"En programación")))),
"Error")</f>
        <v>Por revisar</v>
      </c>
      <c r="Q467" s="9" t="str">
        <f t="shared" si="21"/>
        <v>programación de act. NO, estado: Facturando, Comercializador: ENEL, Etapa: Instalado y Activado</v>
      </c>
      <c r="R467" s="25" t="str">
        <f>IF(P467="En programación Frcst.",VLOOKUP(L467,Meses!$A$1:$H$14,3+HLOOKUP(Cronograma!J467,Meses!$D$1:$G$2,2,FALSE),FALSE),
IF(P467="En programación",M467,""))</f>
        <v/>
      </c>
      <c r="S467" s="25" t="str">
        <f t="shared" si="23"/>
        <v/>
      </c>
      <c r="T467" s="21" t="str">
        <f>IFERROR(
(VLOOKUP(MONTH(R467),Meses!$B$3:$C$14,2,FALSE)-DAY(R467))/VLOOKUP(MONTH(R467),Meses!$B$3:$C$14,2,FALSE)*U467,
"")</f>
        <v/>
      </c>
      <c r="U467" s="22">
        <f t="shared" si="22"/>
        <v>253</v>
      </c>
    </row>
    <row r="468" spans="1:21" ht="32.4" hidden="1" thickBot="1" x14ac:dyDescent="0.6">
      <c r="A468" s="10" t="s">
        <v>580</v>
      </c>
      <c r="B468" s="10" t="s">
        <v>611</v>
      </c>
      <c r="C468" s="12">
        <v>45134</v>
      </c>
      <c r="D468" s="10" t="s">
        <v>14</v>
      </c>
      <c r="E468" s="10" t="s">
        <v>14</v>
      </c>
      <c r="F468" s="10">
        <v>124</v>
      </c>
      <c r="G468" s="10" t="s">
        <v>15</v>
      </c>
      <c r="H468" s="10" t="s">
        <v>17</v>
      </c>
      <c r="I468" s="10" t="s">
        <v>18</v>
      </c>
      <c r="J468" s="10" t="s">
        <v>19</v>
      </c>
      <c r="K468" s="10" t="s">
        <v>19</v>
      </c>
      <c r="L468" s="10" t="s">
        <v>19</v>
      </c>
      <c r="M468" s="12"/>
      <c r="N468" s="10" t="s">
        <v>20</v>
      </c>
      <c r="O468" s="10" t="s">
        <v>2054</v>
      </c>
      <c r="P468" s="25" t="str">
        <f>IFERROR(
IF(OR(O468="anulado",O468="stand by"),CONCATENATE(O468,": ",H468),
IF(OR(YEAR(M468)=2022,YEAR(M468)=2023),CONCATENATE("Se activó en ",YEAR(M468)),
IF(AND(OR(O468="En proceso",O468="facturando"),AND(J468="-",M468="")),"Por revisar",
IF(M468="",IF(J468="NUEVAS",CONCATENATE("Estado: ",O468,", ",J468),
IF(L468=Meses!$A$3,"Por revisar",
IF(H468="","Sin registro","En programación Frcst."))),"En programación")))),
"Error")</f>
        <v>Por revisar</v>
      </c>
      <c r="Q468" s="9" t="str">
        <f t="shared" si="21"/>
        <v>programación de act. NO, estado: Facturando, Comercializador: ENEL, Etapa: Instalado y Activado</v>
      </c>
      <c r="R468" s="25" t="str">
        <f>IF(P468="En programación Frcst.",VLOOKUP(L468,Meses!$A$1:$H$14,3+HLOOKUP(Cronograma!J468,Meses!$D$1:$G$2,2,FALSE),FALSE),
IF(P468="En programación",M468,""))</f>
        <v/>
      </c>
      <c r="S468" s="25" t="str">
        <f t="shared" si="23"/>
        <v/>
      </c>
      <c r="T468" s="21" t="str">
        <f>IFERROR(
(VLOOKUP(MONTH(R468),Meses!$B$3:$C$14,2,FALSE)-DAY(R468))/VLOOKUP(MONTH(R468),Meses!$B$3:$C$14,2,FALSE)*U468,
"")</f>
        <v/>
      </c>
      <c r="U468" s="22">
        <f t="shared" si="22"/>
        <v>124</v>
      </c>
    </row>
    <row r="469" spans="1:21" ht="32.4" hidden="1" thickBot="1" x14ac:dyDescent="0.6">
      <c r="A469" s="10" t="s">
        <v>580</v>
      </c>
      <c r="B469" s="10" t="s">
        <v>612</v>
      </c>
      <c r="C469" s="12">
        <v>45127</v>
      </c>
      <c r="D469" s="10" t="s">
        <v>14</v>
      </c>
      <c r="E469" s="10" t="s">
        <v>14</v>
      </c>
      <c r="F469" s="10">
        <v>146</v>
      </c>
      <c r="G469" s="10" t="s">
        <v>15</v>
      </c>
      <c r="H469" s="10" t="s">
        <v>17</v>
      </c>
      <c r="I469" s="10" t="s">
        <v>18</v>
      </c>
      <c r="J469" s="10" t="s">
        <v>19</v>
      </c>
      <c r="K469" s="10" t="s">
        <v>19</v>
      </c>
      <c r="L469" s="10" t="s">
        <v>19</v>
      </c>
      <c r="M469" s="12"/>
      <c r="N469" s="10" t="s">
        <v>20</v>
      </c>
      <c r="O469" s="10" t="s">
        <v>2054</v>
      </c>
      <c r="P469" s="25" t="str">
        <f>IFERROR(
IF(OR(O469="anulado",O469="stand by"),CONCATENATE(O469,": ",H469),
IF(OR(YEAR(M469)=2022,YEAR(M469)=2023),CONCATENATE("Se activó en ",YEAR(M469)),
IF(AND(OR(O469="En proceso",O469="facturando"),AND(J469="-",M469="")),"Por revisar",
IF(M469="",IF(J469="NUEVAS",CONCATENATE("Estado: ",O469,", ",J469),
IF(L469=Meses!$A$3,"Por revisar",
IF(H469="","Sin registro","En programación Frcst."))),"En programación")))),
"Error")</f>
        <v>Por revisar</v>
      </c>
      <c r="Q469" s="9" t="str">
        <f t="shared" si="21"/>
        <v>programación de act. NO, estado: Facturando, Comercializador: ENEL, Etapa: Instalado y Activado</v>
      </c>
      <c r="R469" s="25" t="str">
        <f>IF(P469="En programación Frcst.",VLOOKUP(L469,Meses!$A$1:$H$14,3+HLOOKUP(Cronograma!J469,Meses!$D$1:$G$2,2,FALSE),FALSE),
IF(P469="En programación",M469,""))</f>
        <v/>
      </c>
      <c r="S469" s="25" t="str">
        <f t="shared" si="23"/>
        <v/>
      </c>
      <c r="T469" s="21" t="str">
        <f>IFERROR(
(VLOOKUP(MONTH(R469),Meses!$B$3:$C$14,2,FALSE)-DAY(R469))/VLOOKUP(MONTH(R469),Meses!$B$3:$C$14,2,FALSE)*U469,
"")</f>
        <v/>
      </c>
      <c r="U469" s="22">
        <f t="shared" si="22"/>
        <v>146</v>
      </c>
    </row>
    <row r="470" spans="1:21" ht="32.4" hidden="1" thickBot="1" x14ac:dyDescent="0.6">
      <c r="A470" s="10" t="s">
        <v>580</v>
      </c>
      <c r="B470" s="10" t="s">
        <v>613</v>
      </c>
      <c r="C470" s="12">
        <v>45127</v>
      </c>
      <c r="D470" s="10" t="s">
        <v>14</v>
      </c>
      <c r="E470" s="10" t="s">
        <v>14</v>
      </c>
      <c r="F470" s="10">
        <v>231</v>
      </c>
      <c r="G470" s="10" t="s">
        <v>15</v>
      </c>
      <c r="H470" s="10" t="s">
        <v>17</v>
      </c>
      <c r="I470" s="10" t="s">
        <v>18</v>
      </c>
      <c r="J470" s="10" t="s">
        <v>19</v>
      </c>
      <c r="K470" s="10" t="s">
        <v>19</v>
      </c>
      <c r="L470" s="10" t="s">
        <v>19</v>
      </c>
      <c r="M470" s="12"/>
      <c r="N470" s="10" t="s">
        <v>20</v>
      </c>
      <c r="O470" s="10" t="s">
        <v>2054</v>
      </c>
      <c r="P470" s="25" t="str">
        <f>IFERROR(
IF(OR(O470="anulado",O470="stand by"),CONCATENATE(O470,": ",H470),
IF(OR(YEAR(M470)=2022,YEAR(M470)=2023),CONCATENATE("Se activó en ",YEAR(M470)),
IF(AND(OR(O470="En proceso",O470="facturando"),AND(J470="-",M470="")),"Por revisar",
IF(M470="",IF(J470="NUEVAS",CONCATENATE("Estado: ",O470,", ",J470),
IF(L470=Meses!$A$3,"Por revisar",
IF(H470="","Sin registro","En programación Frcst."))),"En programación")))),
"Error")</f>
        <v>Por revisar</v>
      </c>
      <c r="Q470" s="9" t="str">
        <f t="shared" si="21"/>
        <v>programación de act. NO, estado: Facturando, Comercializador: ENEL, Etapa: Instalado y Activado</v>
      </c>
      <c r="R470" s="25" t="str">
        <f>IF(P470="En programación Frcst.",VLOOKUP(L470,Meses!$A$1:$H$14,3+HLOOKUP(Cronograma!J470,Meses!$D$1:$G$2,2,FALSE),FALSE),
IF(P470="En programación",M470,""))</f>
        <v/>
      </c>
      <c r="S470" s="25" t="str">
        <f t="shared" si="23"/>
        <v/>
      </c>
      <c r="T470" s="21" t="str">
        <f>IFERROR(
(VLOOKUP(MONTH(R470),Meses!$B$3:$C$14,2,FALSE)-DAY(R470))/VLOOKUP(MONTH(R470),Meses!$B$3:$C$14,2,FALSE)*U470,
"")</f>
        <v/>
      </c>
      <c r="U470" s="22">
        <f t="shared" si="22"/>
        <v>231</v>
      </c>
    </row>
    <row r="471" spans="1:21" ht="32.4" hidden="1" thickBot="1" x14ac:dyDescent="0.6">
      <c r="A471" s="10" t="s">
        <v>580</v>
      </c>
      <c r="B471" s="10" t="s">
        <v>614</v>
      </c>
      <c r="C471" s="12">
        <v>45134</v>
      </c>
      <c r="D471" s="10" t="s">
        <v>14</v>
      </c>
      <c r="E471" s="10" t="s">
        <v>14</v>
      </c>
      <c r="F471" s="10">
        <v>53</v>
      </c>
      <c r="G471" s="10" t="s">
        <v>15</v>
      </c>
      <c r="H471" s="10" t="s">
        <v>17</v>
      </c>
      <c r="I471" s="10" t="s">
        <v>18</v>
      </c>
      <c r="J471" s="10" t="s">
        <v>19</v>
      </c>
      <c r="K471" s="10" t="s">
        <v>19</v>
      </c>
      <c r="L471" s="10" t="s">
        <v>19</v>
      </c>
      <c r="M471" s="12"/>
      <c r="N471" s="10" t="s">
        <v>20</v>
      </c>
      <c r="O471" s="10" t="s">
        <v>2054</v>
      </c>
      <c r="P471" s="25" t="str">
        <f>IFERROR(
IF(OR(O471="anulado",O471="stand by"),CONCATENATE(O471,": ",H471),
IF(OR(YEAR(M471)=2022,YEAR(M471)=2023),CONCATENATE("Se activó en ",YEAR(M471)),
IF(AND(OR(O471="En proceso",O471="facturando"),AND(J471="-",M471="")),"Por revisar",
IF(M471="",IF(J471="NUEVAS",CONCATENATE("Estado: ",O471,", ",J471),
IF(L471=Meses!$A$3,"Por revisar",
IF(H471="","Sin registro","En programación Frcst."))),"En programación")))),
"Error")</f>
        <v>Por revisar</v>
      </c>
      <c r="Q471" s="9" t="str">
        <f t="shared" si="21"/>
        <v>programación de act. NO, estado: Facturando, Comercializador: ENEL, Etapa: Instalado y Activado</v>
      </c>
      <c r="R471" s="25" t="str">
        <f>IF(P471="En programación Frcst.",VLOOKUP(L471,Meses!$A$1:$H$14,3+HLOOKUP(Cronograma!J471,Meses!$D$1:$G$2,2,FALSE),FALSE),
IF(P471="En programación",M471,""))</f>
        <v/>
      </c>
      <c r="S471" s="25" t="str">
        <f t="shared" si="23"/>
        <v/>
      </c>
      <c r="T471" s="21" t="str">
        <f>IFERROR(
(VLOOKUP(MONTH(R471),Meses!$B$3:$C$14,2,FALSE)-DAY(R471))/VLOOKUP(MONTH(R471),Meses!$B$3:$C$14,2,FALSE)*U471,
"")</f>
        <v/>
      </c>
      <c r="U471" s="22">
        <f t="shared" si="22"/>
        <v>53</v>
      </c>
    </row>
    <row r="472" spans="1:21" ht="32.4" hidden="1" thickBot="1" x14ac:dyDescent="0.6">
      <c r="A472" s="10" t="s">
        <v>580</v>
      </c>
      <c r="B472" s="10" t="s">
        <v>615</v>
      </c>
      <c r="C472" s="12">
        <v>45134</v>
      </c>
      <c r="D472" s="10" t="s">
        <v>14</v>
      </c>
      <c r="E472" s="10" t="s">
        <v>14</v>
      </c>
      <c r="F472" s="10">
        <v>594</v>
      </c>
      <c r="G472" s="10" t="s">
        <v>15</v>
      </c>
      <c r="H472" s="10" t="s">
        <v>17</v>
      </c>
      <c r="I472" s="10" t="s">
        <v>18</v>
      </c>
      <c r="J472" s="10" t="s">
        <v>19</v>
      </c>
      <c r="K472" s="10" t="s">
        <v>19</v>
      </c>
      <c r="L472" s="10" t="s">
        <v>19</v>
      </c>
      <c r="M472" s="12"/>
      <c r="N472" s="10" t="s">
        <v>20</v>
      </c>
      <c r="O472" s="10" t="s">
        <v>2054</v>
      </c>
      <c r="P472" s="25" t="str">
        <f>IFERROR(
IF(OR(O472="anulado",O472="stand by"),CONCATENATE(O472,": ",H472),
IF(OR(YEAR(M472)=2022,YEAR(M472)=2023),CONCATENATE("Se activó en ",YEAR(M472)),
IF(AND(OR(O472="En proceso",O472="facturando"),AND(J472="-",M472="")),"Por revisar",
IF(M472="",IF(J472="NUEVAS",CONCATENATE("Estado: ",O472,", ",J472),
IF(L472=Meses!$A$3,"Por revisar",
IF(H472="","Sin registro","En programación Frcst."))),"En programación")))),
"Error")</f>
        <v>Por revisar</v>
      </c>
      <c r="Q472" s="9" t="str">
        <f t="shared" si="21"/>
        <v>programación de act. NO, estado: Facturando, Comercializador: ENEL, Etapa: Instalado y Activado</v>
      </c>
      <c r="R472" s="25" t="str">
        <f>IF(P472="En programación Frcst.",VLOOKUP(L472,Meses!$A$1:$H$14,3+HLOOKUP(Cronograma!J472,Meses!$D$1:$G$2,2,FALSE),FALSE),
IF(P472="En programación",M472,""))</f>
        <v/>
      </c>
      <c r="S472" s="25" t="str">
        <f t="shared" si="23"/>
        <v/>
      </c>
      <c r="T472" s="21" t="str">
        <f>IFERROR(
(VLOOKUP(MONTH(R472),Meses!$B$3:$C$14,2,FALSE)-DAY(R472))/VLOOKUP(MONTH(R472),Meses!$B$3:$C$14,2,FALSE)*U472,
"")</f>
        <v/>
      </c>
      <c r="U472" s="22">
        <f t="shared" si="22"/>
        <v>594</v>
      </c>
    </row>
    <row r="473" spans="1:21" ht="32.4" hidden="1" thickBot="1" x14ac:dyDescent="0.6">
      <c r="A473" s="10" t="s">
        <v>580</v>
      </c>
      <c r="B473" s="10" t="s">
        <v>616</v>
      </c>
      <c r="C473" s="12">
        <v>45134</v>
      </c>
      <c r="D473" s="10" t="s">
        <v>14</v>
      </c>
      <c r="E473" s="10" t="s">
        <v>14</v>
      </c>
      <c r="F473" s="10">
        <v>231</v>
      </c>
      <c r="G473" s="10" t="s">
        <v>15</v>
      </c>
      <c r="H473" s="10" t="s">
        <v>17</v>
      </c>
      <c r="I473" s="10" t="s">
        <v>18</v>
      </c>
      <c r="J473" s="10" t="s">
        <v>19</v>
      </c>
      <c r="K473" s="10" t="s">
        <v>19</v>
      </c>
      <c r="L473" s="10" t="s">
        <v>19</v>
      </c>
      <c r="M473" s="12"/>
      <c r="N473" s="10" t="s">
        <v>20</v>
      </c>
      <c r="O473" s="10" t="s">
        <v>2054</v>
      </c>
      <c r="P473" s="25" t="str">
        <f>IFERROR(
IF(OR(O473="anulado",O473="stand by"),CONCATENATE(O473,": ",H473),
IF(OR(YEAR(M473)=2022,YEAR(M473)=2023),CONCATENATE("Se activó en ",YEAR(M473)),
IF(AND(OR(O473="En proceso",O473="facturando"),AND(J473="-",M473="")),"Por revisar",
IF(M473="",IF(J473="NUEVAS",CONCATENATE("Estado: ",O473,", ",J473),
IF(L473=Meses!$A$3,"Por revisar",
IF(H473="","Sin registro","En programación Frcst."))),"En programación")))),
"Error")</f>
        <v>Por revisar</v>
      </c>
      <c r="Q473" s="9" t="str">
        <f t="shared" si="21"/>
        <v>programación de act. NO, estado: Facturando, Comercializador: ENEL, Etapa: Instalado y Activado</v>
      </c>
      <c r="R473" s="25" t="str">
        <f>IF(P473="En programación Frcst.",VLOOKUP(L473,Meses!$A$1:$H$14,3+HLOOKUP(Cronograma!J473,Meses!$D$1:$G$2,2,FALSE),FALSE),
IF(P473="En programación",M473,""))</f>
        <v/>
      </c>
      <c r="S473" s="25" t="str">
        <f t="shared" si="23"/>
        <v/>
      </c>
      <c r="T473" s="21" t="str">
        <f>IFERROR(
(VLOOKUP(MONTH(R473),Meses!$B$3:$C$14,2,FALSE)-DAY(R473))/VLOOKUP(MONTH(R473),Meses!$B$3:$C$14,2,FALSE)*U473,
"")</f>
        <v/>
      </c>
      <c r="U473" s="22">
        <f t="shared" si="22"/>
        <v>231</v>
      </c>
    </row>
    <row r="474" spans="1:21" ht="32.4" hidden="1" thickBot="1" x14ac:dyDescent="0.6">
      <c r="A474" s="10" t="s">
        <v>580</v>
      </c>
      <c r="B474" s="10" t="s">
        <v>617</v>
      </c>
      <c r="C474" s="12">
        <v>45134</v>
      </c>
      <c r="D474" s="10" t="s">
        <v>14</v>
      </c>
      <c r="E474" s="10" t="s">
        <v>14</v>
      </c>
      <c r="F474" s="10">
        <v>107</v>
      </c>
      <c r="G474" s="10" t="s">
        <v>15</v>
      </c>
      <c r="H474" s="10" t="s">
        <v>17</v>
      </c>
      <c r="I474" s="10" t="s">
        <v>18</v>
      </c>
      <c r="J474" s="10" t="s">
        <v>19</v>
      </c>
      <c r="K474" s="10" t="s">
        <v>19</v>
      </c>
      <c r="L474" s="10" t="s">
        <v>19</v>
      </c>
      <c r="M474" s="12"/>
      <c r="N474" s="10" t="s">
        <v>20</v>
      </c>
      <c r="O474" s="10" t="s">
        <v>2054</v>
      </c>
      <c r="P474" s="25" t="str">
        <f>IFERROR(
IF(OR(O474="anulado",O474="stand by"),CONCATENATE(O474,": ",H474),
IF(OR(YEAR(M474)=2022,YEAR(M474)=2023),CONCATENATE("Se activó en ",YEAR(M474)),
IF(AND(OR(O474="En proceso",O474="facturando"),AND(J474="-",M474="")),"Por revisar",
IF(M474="",IF(J474="NUEVAS",CONCATENATE("Estado: ",O474,", ",J474),
IF(L474=Meses!$A$3,"Por revisar",
IF(H474="","Sin registro","En programación Frcst."))),"En programación")))),
"Error")</f>
        <v>Por revisar</v>
      </c>
      <c r="Q474" s="9" t="str">
        <f t="shared" si="21"/>
        <v>programación de act. NO, estado: Facturando, Comercializador: ENEL, Etapa: Instalado y Activado</v>
      </c>
      <c r="R474" s="25" t="str">
        <f>IF(P474="En programación Frcst.",VLOOKUP(L474,Meses!$A$1:$H$14,3+HLOOKUP(Cronograma!J474,Meses!$D$1:$G$2,2,FALSE),FALSE),
IF(P474="En programación",M474,""))</f>
        <v/>
      </c>
      <c r="S474" s="25" t="str">
        <f t="shared" si="23"/>
        <v/>
      </c>
      <c r="T474" s="21" t="str">
        <f>IFERROR(
(VLOOKUP(MONTH(R474),Meses!$B$3:$C$14,2,FALSE)-DAY(R474))/VLOOKUP(MONTH(R474),Meses!$B$3:$C$14,2,FALSE)*U474,
"")</f>
        <v/>
      </c>
      <c r="U474" s="22">
        <f t="shared" si="22"/>
        <v>107</v>
      </c>
    </row>
    <row r="475" spans="1:21" ht="32.4" hidden="1" thickBot="1" x14ac:dyDescent="0.6">
      <c r="A475" s="10" t="s">
        <v>580</v>
      </c>
      <c r="B475" s="10" t="s">
        <v>618</v>
      </c>
      <c r="C475" s="12">
        <v>45134</v>
      </c>
      <c r="D475" s="10" t="s">
        <v>14</v>
      </c>
      <c r="E475" s="10" t="s">
        <v>14</v>
      </c>
      <c r="F475" s="10">
        <v>73</v>
      </c>
      <c r="G475" s="10" t="s">
        <v>15</v>
      </c>
      <c r="H475" s="10" t="s">
        <v>17</v>
      </c>
      <c r="I475" s="10" t="s">
        <v>18</v>
      </c>
      <c r="J475" s="10" t="s">
        <v>19</v>
      </c>
      <c r="K475" s="10" t="s">
        <v>19</v>
      </c>
      <c r="L475" s="10" t="s">
        <v>19</v>
      </c>
      <c r="M475" s="12"/>
      <c r="N475" s="10" t="s">
        <v>20</v>
      </c>
      <c r="O475" s="10" t="s">
        <v>2054</v>
      </c>
      <c r="P475" s="25" t="str">
        <f>IFERROR(
IF(OR(O475="anulado",O475="stand by"),CONCATENATE(O475,": ",H475),
IF(OR(YEAR(M475)=2022,YEAR(M475)=2023),CONCATENATE("Se activó en ",YEAR(M475)),
IF(AND(OR(O475="En proceso",O475="facturando"),AND(J475="-",M475="")),"Por revisar",
IF(M475="",IF(J475="NUEVAS",CONCATENATE("Estado: ",O475,", ",J475),
IF(L475=Meses!$A$3,"Por revisar",
IF(H475="","Sin registro","En programación Frcst."))),"En programación")))),
"Error")</f>
        <v>Por revisar</v>
      </c>
      <c r="Q475" s="9" t="str">
        <f t="shared" si="21"/>
        <v>programación de act. NO, estado: Facturando, Comercializador: ENEL, Etapa: Instalado y Activado</v>
      </c>
      <c r="R475" s="25" t="str">
        <f>IF(P475="En programación Frcst.",VLOOKUP(L475,Meses!$A$1:$H$14,3+HLOOKUP(Cronograma!J475,Meses!$D$1:$G$2,2,FALSE),FALSE),
IF(P475="En programación",M475,""))</f>
        <v/>
      </c>
      <c r="S475" s="25" t="str">
        <f t="shared" si="23"/>
        <v/>
      </c>
      <c r="T475" s="21" t="str">
        <f>IFERROR(
(VLOOKUP(MONTH(R475),Meses!$B$3:$C$14,2,FALSE)-DAY(R475))/VLOOKUP(MONTH(R475),Meses!$B$3:$C$14,2,FALSE)*U475,
"")</f>
        <v/>
      </c>
      <c r="U475" s="22">
        <f t="shared" si="22"/>
        <v>73</v>
      </c>
    </row>
    <row r="476" spans="1:21" ht="32.4" hidden="1" thickBot="1" x14ac:dyDescent="0.6">
      <c r="A476" s="10" t="s">
        <v>580</v>
      </c>
      <c r="B476" s="10" t="s">
        <v>619</v>
      </c>
      <c r="C476" s="12">
        <v>45134</v>
      </c>
      <c r="D476" s="10" t="s">
        <v>14</v>
      </c>
      <c r="E476" s="10" t="s">
        <v>14</v>
      </c>
      <c r="F476" s="10">
        <v>135</v>
      </c>
      <c r="G476" s="10" t="s">
        <v>15</v>
      </c>
      <c r="H476" s="10" t="s">
        <v>17</v>
      </c>
      <c r="I476" s="10" t="s">
        <v>18</v>
      </c>
      <c r="J476" s="10" t="s">
        <v>19</v>
      </c>
      <c r="K476" s="10" t="s">
        <v>19</v>
      </c>
      <c r="L476" s="10" t="s">
        <v>19</v>
      </c>
      <c r="M476" s="12"/>
      <c r="N476" s="10" t="s">
        <v>20</v>
      </c>
      <c r="O476" s="10" t="s">
        <v>2054</v>
      </c>
      <c r="P476" s="25" t="str">
        <f>IFERROR(
IF(OR(O476="anulado",O476="stand by"),CONCATENATE(O476,": ",H476),
IF(OR(YEAR(M476)=2022,YEAR(M476)=2023),CONCATENATE("Se activó en ",YEAR(M476)),
IF(AND(OR(O476="En proceso",O476="facturando"),AND(J476="-",M476="")),"Por revisar",
IF(M476="",IF(J476="NUEVAS",CONCATENATE("Estado: ",O476,", ",J476),
IF(L476=Meses!$A$3,"Por revisar",
IF(H476="","Sin registro","En programación Frcst."))),"En programación")))),
"Error")</f>
        <v>Por revisar</v>
      </c>
      <c r="Q476" s="9" t="str">
        <f t="shared" si="21"/>
        <v>programación de act. NO, estado: Facturando, Comercializador: ENEL, Etapa: Instalado y Activado</v>
      </c>
      <c r="R476" s="25" t="str">
        <f>IF(P476="En programación Frcst.",VLOOKUP(L476,Meses!$A$1:$H$14,3+HLOOKUP(Cronograma!J476,Meses!$D$1:$G$2,2,FALSE),FALSE),
IF(P476="En programación",M476,""))</f>
        <v/>
      </c>
      <c r="S476" s="25" t="str">
        <f t="shared" si="23"/>
        <v/>
      </c>
      <c r="T476" s="21" t="str">
        <f>IFERROR(
(VLOOKUP(MONTH(R476),Meses!$B$3:$C$14,2,FALSE)-DAY(R476))/VLOOKUP(MONTH(R476),Meses!$B$3:$C$14,2,FALSE)*U476,
"")</f>
        <v/>
      </c>
      <c r="U476" s="22">
        <f t="shared" si="22"/>
        <v>135</v>
      </c>
    </row>
    <row r="477" spans="1:21" ht="32.4" hidden="1" thickBot="1" x14ac:dyDescent="0.6">
      <c r="A477" s="10" t="s">
        <v>580</v>
      </c>
      <c r="B477" s="10" t="s">
        <v>620</v>
      </c>
      <c r="C477" s="12">
        <v>45134</v>
      </c>
      <c r="D477" s="10" t="s">
        <v>14</v>
      </c>
      <c r="E477" s="10" t="s">
        <v>14</v>
      </c>
      <c r="F477" s="10">
        <v>222</v>
      </c>
      <c r="G477" s="10" t="s">
        <v>15</v>
      </c>
      <c r="H477" s="10" t="s">
        <v>17</v>
      </c>
      <c r="I477" s="10" t="s">
        <v>18</v>
      </c>
      <c r="J477" s="10" t="s">
        <v>19</v>
      </c>
      <c r="K477" s="10" t="s">
        <v>19</v>
      </c>
      <c r="L477" s="10" t="s">
        <v>19</v>
      </c>
      <c r="M477" s="12"/>
      <c r="N477" s="10" t="s">
        <v>20</v>
      </c>
      <c r="O477" s="10" t="s">
        <v>2054</v>
      </c>
      <c r="P477" s="25" t="str">
        <f>IFERROR(
IF(OR(O477="anulado",O477="stand by"),CONCATENATE(O477,": ",H477),
IF(OR(YEAR(M477)=2022,YEAR(M477)=2023),CONCATENATE("Se activó en ",YEAR(M477)),
IF(AND(OR(O477="En proceso",O477="facturando"),AND(J477="-",M477="")),"Por revisar",
IF(M477="",IF(J477="NUEVAS",CONCATENATE("Estado: ",O477,", ",J477),
IF(L477=Meses!$A$3,"Por revisar",
IF(H477="","Sin registro","En programación Frcst."))),"En programación")))),
"Error")</f>
        <v>Por revisar</v>
      </c>
      <c r="Q477" s="9" t="str">
        <f t="shared" si="21"/>
        <v>programación de act. NO, estado: Facturando, Comercializador: ENEL, Etapa: Instalado y Activado</v>
      </c>
      <c r="R477" s="25" t="str">
        <f>IF(P477="En programación Frcst.",VLOOKUP(L477,Meses!$A$1:$H$14,3+HLOOKUP(Cronograma!J477,Meses!$D$1:$G$2,2,FALSE),FALSE),
IF(P477="En programación",M477,""))</f>
        <v/>
      </c>
      <c r="S477" s="25" t="str">
        <f t="shared" si="23"/>
        <v/>
      </c>
      <c r="T477" s="21" t="str">
        <f>IFERROR(
(VLOOKUP(MONTH(R477),Meses!$B$3:$C$14,2,FALSE)-DAY(R477))/VLOOKUP(MONTH(R477),Meses!$B$3:$C$14,2,FALSE)*U477,
"")</f>
        <v/>
      </c>
      <c r="U477" s="22">
        <f t="shared" si="22"/>
        <v>222</v>
      </c>
    </row>
    <row r="478" spans="1:21" ht="32.4" hidden="1" thickBot="1" x14ac:dyDescent="0.6">
      <c r="A478" s="10" t="s">
        <v>580</v>
      </c>
      <c r="B478" s="10" t="s">
        <v>621</v>
      </c>
      <c r="C478" s="12">
        <v>45134</v>
      </c>
      <c r="D478" s="10" t="s">
        <v>14</v>
      </c>
      <c r="E478" s="10" t="s">
        <v>14</v>
      </c>
      <c r="F478" s="10">
        <v>124</v>
      </c>
      <c r="G478" s="10" t="s">
        <v>15</v>
      </c>
      <c r="H478" s="10" t="s">
        <v>17</v>
      </c>
      <c r="I478" s="10" t="s">
        <v>18</v>
      </c>
      <c r="J478" s="10" t="s">
        <v>19</v>
      </c>
      <c r="K478" s="10" t="s">
        <v>19</v>
      </c>
      <c r="L478" s="10" t="s">
        <v>19</v>
      </c>
      <c r="M478" s="12"/>
      <c r="N478" s="10" t="s">
        <v>20</v>
      </c>
      <c r="O478" s="10" t="s">
        <v>2054</v>
      </c>
      <c r="P478" s="25" t="str">
        <f>IFERROR(
IF(OR(O478="anulado",O478="stand by"),CONCATENATE(O478,": ",H478),
IF(OR(YEAR(M478)=2022,YEAR(M478)=2023),CONCATENATE("Se activó en ",YEAR(M478)),
IF(AND(OR(O478="En proceso",O478="facturando"),AND(J478="-",M478="")),"Por revisar",
IF(M478="",IF(J478="NUEVAS",CONCATENATE("Estado: ",O478,", ",J478),
IF(L478=Meses!$A$3,"Por revisar",
IF(H478="","Sin registro","En programación Frcst."))),"En programación")))),
"Error")</f>
        <v>Por revisar</v>
      </c>
      <c r="Q478" s="9" t="str">
        <f t="shared" si="21"/>
        <v>programación de act. NO, estado: Facturando, Comercializador: ENEL, Etapa: Instalado y Activado</v>
      </c>
      <c r="R478" s="25" t="str">
        <f>IF(P478="En programación Frcst.",VLOOKUP(L478,Meses!$A$1:$H$14,3+HLOOKUP(Cronograma!J478,Meses!$D$1:$G$2,2,FALSE),FALSE),
IF(P478="En programación",M478,""))</f>
        <v/>
      </c>
      <c r="S478" s="25" t="str">
        <f t="shared" si="23"/>
        <v/>
      </c>
      <c r="T478" s="21" t="str">
        <f>IFERROR(
(VLOOKUP(MONTH(R478),Meses!$B$3:$C$14,2,FALSE)-DAY(R478))/VLOOKUP(MONTH(R478),Meses!$B$3:$C$14,2,FALSE)*U478,
"")</f>
        <v/>
      </c>
      <c r="U478" s="22">
        <f t="shared" si="22"/>
        <v>124</v>
      </c>
    </row>
    <row r="479" spans="1:21" ht="32.4" hidden="1" thickBot="1" x14ac:dyDescent="0.6">
      <c r="A479" s="10" t="s">
        <v>580</v>
      </c>
      <c r="B479" s="10" t="s">
        <v>622</v>
      </c>
      <c r="C479" s="12">
        <v>45134</v>
      </c>
      <c r="D479" s="10" t="s">
        <v>14</v>
      </c>
      <c r="E479" s="10" t="s">
        <v>14</v>
      </c>
      <c r="F479" s="10">
        <v>149</v>
      </c>
      <c r="G479" s="10" t="s">
        <v>15</v>
      </c>
      <c r="H479" s="10" t="s">
        <v>17</v>
      </c>
      <c r="I479" s="10" t="s">
        <v>18</v>
      </c>
      <c r="J479" s="10" t="s">
        <v>19</v>
      </c>
      <c r="K479" s="10" t="s">
        <v>19</v>
      </c>
      <c r="L479" s="10" t="s">
        <v>19</v>
      </c>
      <c r="M479" s="12"/>
      <c r="N479" s="10" t="s">
        <v>20</v>
      </c>
      <c r="O479" s="10" t="s">
        <v>2054</v>
      </c>
      <c r="P479" s="25" t="str">
        <f>IFERROR(
IF(OR(O479="anulado",O479="stand by"),CONCATENATE(O479,": ",H479),
IF(OR(YEAR(M479)=2022,YEAR(M479)=2023),CONCATENATE("Se activó en ",YEAR(M479)),
IF(AND(OR(O479="En proceso",O479="facturando"),AND(J479="-",M479="")),"Por revisar",
IF(M479="",IF(J479="NUEVAS",CONCATENATE("Estado: ",O479,", ",J479),
IF(L479=Meses!$A$3,"Por revisar",
IF(H479="","Sin registro","En programación Frcst."))),"En programación")))),
"Error")</f>
        <v>Por revisar</v>
      </c>
      <c r="Q479" s="9" t="str">
        <f t="shared" si="21"/>
        <v>programación de act. NO, estado: Facturando, Comercializador: ENEL, Etapa: Instalado y Activado</v>
      </c>
      <c r="R479" s="25" t="str">
        <f>IF(P479="En programación Frcst.",VLOOKUP(L479,Meses!$A$1:$H$14,3+HLOOKUP(Cronograma!J479,Meses!$D$1:$G$2,2,FALSE),FALSE),
IF(P479="En programación",M479,""))</f>
        <v/>
      </c>
      <c r="S479" s="25" t="str">
        <f t="shared" si="23"/>
        <v/>
      </c>
      <c r="T479" s="21" t="str">
        <f>IFERROR(
(VLOOKUP(MONTH(R479),Meses!$B$3:$C$14,2,FALSE)-DAY(R479))/VLOOKUP(MONTH(R479),Meses!$B$3:$C$14,2,FALSE)*U479,
"")</f>
        <v/>
      </c>
      <c r="U479" s="22">
        <f t="shared" si="22"/>
        <v>149</v>
      </c>
    </row>
    <row r="480" spans="1:21" ht="32.4" hidden="1" thickBot="1" x14ac:dyDescent="0.6">
      <c r="A480" s="10" t="s">
        <v>580</v>
      </c>
      <c r="B480" s="10" t="s">
        <v>623</v>
      </c>
      <c r="C480" s="12">
        <v>45134</v>
      </c>
      <c r="D480" s="10" t="s">
        <v>14</v>
      </c>
      <c r="E480" s="10" t="s">
        <v>14</v>
      </c>
      <c r="F480" s="10">
        <v>124</v>
      </c>
      <c r="G480" s="10" t="s">
        <v>15</v>
      </c>
      <c r="H480" s="10" t="s">
        <v>17</v>
      </c>
      <c r="I480" s="10" t="s">
        <v>18</v>
      </c>
      <c r="J480" s="10" t="s">
        <v>19</v>
      </c>
      <c r="K480" s="10" t="s">
        <v>19</v>
      </c>
      <c r="L480" s="10" t="s">
        <v>19</v>
      </c>
      <c r="M480" s="12"/>
      <c r="N480" s="10" t="s">
        <v>20</v>
      </c>
      <c r="O480" s="10" t="s">
        <v>2054</v>
      </c>
      <c r="P480" s="25" t="str">
        <f>IFERROR(
IF(OR(O480="anulado",O480="stand by"),CONCATENATE(O480,": ",H480),
IF(OR(YEAR(M480)=2022,YEAR(M480)=2023),CONCATENATE("Se activó en ",YEAR(M480)),
IF(AND(OR(O480="En proceso",O480="facturando"),AND(J480="-",M480="")),"Por revisar",
IF(M480="",IF(J480="NUEVAS",CONCATENATE("Estado: ",O480,", ",J480),
IF(L480=Meses!$A$3,"Por revisar",
IF(H480="","Sin registro","En programación Frcst."))),"En programación")))),
"Error")</f>
        <v>Por revisar</v>
      </c>
      <c r="Q480" s="9" t="str">
        <f t="shared" si="21"/>
        <v>programación de act. NO, estado: Facturando, Comercializador: ENEL, Etapa: Instalado y Activado</v>
      </c>
      <c r="R480" s="25" t="str">
        <f>IF(P480="En programación Frcst.",VLOOKUP(L480,Meses!$A$1:$H$14,3+HLOOKUP(Cronograma!J480,Meses!$D$1:$G$2,2,FALSE),FALSE),
IF(P480="En programación",M480,""))</f>
        <v/>
      </c>
      <c r="S480" s="25" t="str">
        <f t="shared" si="23"/>
        <v/>
      </c>
      <c r="T480" s="21" t="str">
        <f>IFERROR(
(VLOOKUP(MONTH(R480),Meses!$B$3:$C$14,2,FALSE)-DAY(R480))/VLOOKUP(MONTH(R480),Meses!$B$3:$C$14,2,FALSE)*U480,
"")</f>
        <v/>
      </c>
      <c r="U480" s="22">
        <f t="shared" si="22"/>
        <v>124</v>
      </c>
    </row>
    <row r="481" spans="1:21" ht="32.4" hidden="1" thickBot="1" x14ac:dyDescent="0.6">
      <c r="A481" s="10" t="s">
        <v>580</v>
      </c>
      <c r="B481" s="10" t="s">
        <v>624</v>
      </c>
      <c r="C481" s="12">
        <v>45134</v>
      </c>
      <c r="D481" s="10" t="s">
        <v>14</v>
      </c>
      <c r="E481" s="10" t="s">
        <v>14</v>
      </c>
      <c r="F481" s="10">
        <v>309</v>
      </c>
      <c r="G481" s="10" t="s">
        <v>15</v>
      </c>
      <c r="H481" s="10" t="s">
        <v>17</v>
      </c>
      <c r="I481" s="10" t="s">
        <v>18</v>
      </c>
      <c r="J481" s="10" t="s">
        <v>19</v>
      </c>
      <c r="K481" s="10" t="s">
        <v>19</v>
      </c>
      <c r="L481" s="10" t="s">
        <v>19</v>
      </c>
      <c r="M481" s="12"/>
      <c r="N481" s="10" t="s">
        <v>20</v>
      </c>
      <c r="O481" s="10" t="s">
        <v>2054</v>
      </c>
      <c r="P481" s="25" t="str">
        <f>IFERROR(
IF(OR(O481="anulado",O481="stand by"),CONCATENATE(O481,": ",H481),
IF(OR(YEAR(M481)=2022,YEAR(M481)=2023),CONCATENATE("Se activó en ",YEAR(M481)),
IF(AND(OR(O481="En proceso",O481="facturando"),AND(J481="-",M481="")),"Por revisar",
IF(M481="",IF(J481="NUEVAS",CONCATENATE("Estado: ",O481,", ",J481),
IF(L481=Meses!$A$3,"Por revisar",
IF(H481="","Sin registro","En programación Frcst."))),"En programación")))),
"Error")</f>
        <v>Por revisar</v>
      </c>
      <c r="Q481" s="9" t="str">
        <f t="shared" si="21"/>
        <v>programación de act. NO, estado: Facturando, Comercializador: ENEL, Etapa: Instalado y Activado</v>
      </c>
      <c r="R481" s="25" t="str">
        <f>IF(P481="En programación Frcst.",VLOOKUP(L481,Meses!$A$1:$H$14,3+HLOOKUP(Cronograma!J481,Meses!$D$1:$G$2,2,FALSE),FALSE),
IF(P481="En programación",M481,""))</f>
        <v/>
      </c>
      <c r="S481" s="25" t="str">
        <f t="shared" si="23"/>
        <v/>
      </c>
      <c r="T481" s="21" t="str">
        <f>IFERROR(
(VLOOKUP(MONTH(R481),Meses!$B$3:$C$14,2,FALSE)-DAY(R481))/VLOOKUP(MONTH(R481),Meses!$B$3:$C$14,2,FALSE)*U481,
"")</f>
        <v/>
      </c>
      <c r="U481" s="22">
        <f t="shared" si="22"/>
        <v>309</v>
      </c>
    </row>
    <row r="482" spans="1:21" ht="32.4" hidden="1" thickBot="1" x14ac:dyDescent="0.6">
      <c r="A482" s="10" t="s">
        <v>580</v>
      </c>
      <c r="B482" s="10" t="s">
        <v>625</v>
      </c>
      <c r="C482" s="12">
        <v>45134</v>
      </c>
      <c r="D482" s="10" t="s">
        <v>14</v>
      </c>
      <c r="E482" s="10" t="s">
        <v>14</v>
      </c>
      <c r="F482" s="10">
        <v>217</v>
      </c>
      <c r="G482" s="10" t="s">
        <v>15</v>
      </c>
      <c r="H482" s="10" t="s">
        <v>17</v>
      </c>
      <c r="I482" s="10" t="s">
        <v>18</v>
      </c>
      <c r="J482" s="10" t="s">
        <v>19</v>
      </c>
      <c r="K482" s="10" t="s">
        <v>19</v>
      </c>
      <c r="L482" s="10" t="s">
        <v>19</v>
      </c>
      <c r="M482" s="12"/>
      <c r="N482" s="10" t="s">
        <v>20</v>
      </c>
      <c r="O482" s="10" t="s">
        <v>2054</v>
      </c>
      <c r="P482" s="25" t="str">
        <f>IFERROR(
IF(OR(O482="anulado",O482="stand by"),CONCATENATE(O482,": ",H482),
IF(OR(YEAR(M482)=2022,YEAR(M482)=2023),CONCATENATE("Se activó en ",YEAR(M482)),
IF(AND(OR(O482="En proceso",O482="facturando"),AND(J482="-",M482="")),"Por revisar",
IF(M482="",IF(J482="NUEVAS",CONCATENATE("Estado: ",O482,", ",J482),
IF(L482=Meses!$A$3,"Por revisar",
IF(H482="","Sin registro","En programación Frcst."))),"En programación")))),
"Error")</f>
        <v>Por revisar</v>
      </c>
      <c r="Q482" s="9" t="str">
        <f t="shared" si="21"/>
        <v>programación de act. NO, estado: Facturando, Comercializador: ENEL, Etapa: Instalado y Activado</v>
      </c>
      <c r="R482" s="25" t="str">
        <f>IF(P482="En programación Frcst.",VLOOKUP(L482,Meses!$A$1:$H$14,3+HLOOKUP(Cronograma!J482,Meses!$D$1:$G$2,2,FALSE),FALSE),
IF(P482="En programación",M482,""))</f>
        <v/>
      </c>
      <c r="S482" s="25" t="str">
        <f t="shared" si="23"/>
        <v/>
      </c>
      <c r="T482" s="21" t="str">
        <f>IFERROR(
(VLOOKUP(MONTH(R482),Meses!$B$3:$C$14,2,FALSE)-DAY(R482))/VLOOKUP(MONTH(R482),Meses!$B$3:$C$14,2,FALSE)*U482,
"")</f>
        <v/>
      </c>
      <c r="U482" s="22">
        <f t="shared" si="22"/>
        <v>217</v>
      </c>
    </row>
    <row r="483" spans="1:21" ht="32.4" hidden="1" thickBot="1" x14ac:dyDescent="0.6">
      <c r="A483" s="10" t="s">
        <v>580</v>
      </c>
      <c r="B483" s="10" t="s">
        <v>626</v>
      </c>
      <c r="C483" s="12">
        <v>45134</v>
      </c>
      <c r="D483" s="10" t="s">
        <v>14</v>
      </c>
      <c r="E483" s="10" t="s">
        <v>14</v>
      </c>
      <c r="F483" s="10">
        <v>143</v>
      </c>
      <c r="G483" s="10" t="s">
        <v>15</v>
      </c>
      <c r="H483" s="10" t="s">
        <v>17</v>
      </c>
      <c r="I483" s="10" t="s">
        <v>18</v>
      </c>
      <c r="J483" s="10" t="s">
        <v>19</v>
      </c>
      <c r="K483" s="10" t="s">
        <v>19</v>
      </c>
      <c r="L483" s="10" t="s">
        <v>19</v>
      </c>
      <c r="M483" s="12"/>
      <c r="N483" s="10" t="s">
        <v>20</v>
      </c>
      <c r="O483" s="10" t="s">
        <v>2054</v>
      </c>
      <c r="P483" s="25" t="str">
        <f>IFERROR(
IF(OR(O483="anulado",O483="stand by"),CONCATENATE(O483,": ",H483),
IF(OR(YEAR(M483)=2022,YEAR(M483)=2023),CONCATENATE("Se activó en ",YEAR(M483)),
IF(AND(OR(O483="En proceso",O483="facturando"),AND(J483="-",M483="")),"Por revisar",
IF(M483="",IF(J483="NUEVAS",CONCATENATE("Estado: ",O483,", ",J483),
IF(L483=Meses!$A$3,"Por revisar",
IF(H483="","Sin registro","En programación Frcst."))),"En programación")))),
"Error")</f>
        <v>Por revisar</v>
      </c>
      <c r="Q483" s="9" t="str">
        <f t="shared" si="21"/>
        <v>programación de act. NO, estado: Facturando, Comercializador: ENEL, Etapa: Instalado y Activado</v>
      </c>
      <c r="R483" s="25" t="str">
        <f>IF(P483="En programación Frcst.",VLOOKUP(L483,Meses!$A$1:$H$14,3+HLOOKUP(Cronograma!J483,Meses!$D$1:$G$2,2,FALSE),FALSE),
IF(P483="En programación",M483,""))</f>
        <v/>
      </c>
      <c r="S483" s="25" t="str">
        <f t="shared" si="23"/>
        <v/>
      </c>
      <c r="T483" s="21" t="str">
        <f>IFERROR(
(VLOOKUP(MONTH(R483),Meses!$B$3:$C$14,2,FALSE)-DAY(R483))/VLOOKUP(MONTH(R483),Meses!$B$3:$C$14,2,FALSE)*U483,
"")</f>
        <v/>
      </c>
      <c r="U483" s="22">
        <f t="shared" si="22"/>
        <v>143</v>
      </c>
    </row>
    <row r="484" spans="1:21" ht="32.4" hidden="1" thickBot="1" x14ac:dyDescent="0.6">
      <c r="A484" s="10" t="s">
        <v>580</v>
      </c>
      <c r="B484" s="10" t="s">
        <v>627</v>
      </c>
      <c r="C484" s="12">
        <v>45134</v>
      </c>
      <c r="D484" s="10" t="s">
        <v>14</v>
      </c>
      <c r="E484" s="10" t="s">
        <v>14</v>
      </c>
      <c r="F484" s="10">
        <v>160</v>
      </c>
      <c r="G484" s="10" t="s">
        <v>15</v>
      </c>
      <c r="H484" s="10" t="s">
        <v>17</v>
      </c>
      <c r="I484" s="10" t="s">
        <v>18</v>
      </c>
      <c r="J484" s="10" t="s">
        <v>19</v>
      </c>
      <c r="K484" s="10" t="s">
        <v>19</v>
      </c>
      <c r="L484" s="10" t="s">
        <v>19</v>
      </c>
      <c r="M484" s="12"/>
      <c r="N484" s="10" t="s">
        <v>20</v>
      </c>
      <c r="O484" s="10" t="s">
        <v>2054</v>
      </c>
      <c r="P484" s="25" t="str">
        <f>IFERROR(
IF(OR(O484="anulado",O484="stand by"),CONCATENATE(O484,": ",H484),
IF(OR(YEAR(M484)=2022,YEAR(M484)=2023),CONCATENATE("Se activó en ",YEAR(M484)),
IF(AND(OR(O484="En proceso",O484="facturando"),AND(J484="-",M484="")),"Por revisar",
IF(M484="",IF(J484="NUEVAS",CONCATENATE("Estado: ",O484,", ",J484),
IF(L484=Meses!$A$3,"Por revisar",
IF(H484="","Sin registro","En programación Frcst."))),"En programación")))),
"Error")</f>
        <v>Por revisar</v>
      </c>
      <c r="Q484" s="9" t="str">
        <f t="shared" si="21"/>
        <v>programación de act. NO, estado: Facturando, Comercializador: ENEL, Etapa: Instalado y Activado</v>
      </c>
      <c r="R484" s="25" t="str">
        <f>IF(P484="En programación Frcst.",VLOOKUP(L484,Meses!$A$1:$H$14,3+HLOOKUP(Cronograma!J484,Meses!$D$1:$G$2,2,FALSE),FALSE),
IF(P484="En programación",M484,""))</f>
        <v/>
      </c>
      <c r="S484" s="25" t="str">
        <f t="shared" si="23"/>
        <v/>
      </c>
      <c r="T484" s="21" t="str">
        <f>IFERROR(
(VLOOKUP(MONTH(R484),Meses!$B$3:$C$14,2,FALSE)-DAY(R484))/VLOOKUP(MONTH(R484),Meses!$B$3:$C$14,2,FALSE)*U484,
"")</f>
        <v/>
      </c>
      <c r="U484" s="22">
        <f t="shared" si="22"/>
        <v>160</v>
      </c>
    </row>
    <row r="485" spans="1:21" ht="32.4" hidden="1" thickBot="1" x14ac:dyDescent="0.6">
      <c r="A485" s="10" t="s">
        <v>580</v>
      </c>
      <c r="B485" s="10" t="s">
        <v>628</v>
      </c>
      <c r="C485" s="12">
        <v>45134</v>
      </c>
      <c r="D485" s="10" t="s">
        <v>14</v>
      </c>
      <c r="E485" s="10" t="s">
        <v>14</v>
      </c>
      <c r="F485" s="10">
        <v>191</v>
      </c>
      <c r="G485" s="10" t="s">
        <v>15</v>
      </c>
      <c r="H485" s="10" t="s">
        <v>17</v>
      </c>
      <c r="I485" s="10" t="s">
        <v>18</v>
      </c>
      <c r="J485" s="10" t="s">
        <v>19</v>
      </c>
      <c r="K485" s="10" t="s">
        <v>19</v>
      </c>
      <c r="L485" s="10" t="s">
        <v>19</v>
      </c>
      <c r="M485" s="12"/>
      <c r="N485" s="10" t="s">
        <v>20</v>
      </c>
      <c r="O485" s="10" t="s">
        <v>2054</v>
      </c>
      <c r="P485" s="25" t="str">
        <f>IFERROR(
IF(OR(O485="anulado",O485="stand by"),CONCATENATE(O485,": ",H485),
IF(OR(YEAR(M485)=2022,YEAR(M485)=2023),CONCATENATE("Se activó en ",YEAR(M485)),
IF(AND(OR(O485="En proceso",O485="facturando"),AND(J485="-",M485="")),"Por revisar",
IF(M485="",IF(J485="NUEVAS",CONCATENATE("Estado: ",O485,", ",J485),
IF(L485=Meses!$A$3,"Por revisar",
IF(H485="","Sin registro","En programación Frcst."))),"En programación")))),
"Error")</f>
        <v>Por revisar</v>
      </c>
      <c r="Q485" s="9" t="str">
        <f t="shared" si="21"/>
        <v>programación de act. NO, estado: Facturando, Comercializador: ENEL, Etapa: Instalado y Activado</v>
      </c>
      <c r="R485" s="25" t="str">
        <f>IF(P485="En programación Frcst.",VLOOKUP(L485,Meses!$A$1:$H$14,3+HLOOKUP(Cronograma!J485,Meses!$D$1:$G$2,2,FALSE),FALSE),
IF(P485="En programación",M485,""))</f>
        <v/>
      </c>
      <c r="S485" s="25" t="str">
        <f t="shared" si="23"/>
        <v/>
      </c>
      <c r="T485" s="21" t="str">
        <f>IFERROR(
(VLOOKUP(MONTH(R485),Meses!$B$3:$C$14,2,FALSE)-DAY(R485))/VLOOKUP(MONTH(R485),Meses!$B$3:$C$14,2,FALSE)*U485,
"")</f>
        <v/>
      </c>
      <c r="U485" s="22">
        <f t="shared" si="22"/>
        <v>191</v>
      </c>
    </row>
    <row r="486" spans="1:21" ht="32.4" hidden="1" thickBot="1" x14ac:dyDescent="0.6">
      <c r="A486" s="10" t="s">
        <v>580</v>
      </c>
      <c r="B486" s="10" t="s">
        <v>629</v>
      </c>
      <c r="C486" s="12">
        <v>45134</v>
      </c>
      <c r="D486" s="10" t="s">
        <v>14</v>
      </c>
      <c r="E486" s="10" t="s">
        <v>14</v>
      </c>
      <c r="F486" s="10">
        <v>437</v>
      </c>
      <c r="G486" s="10" t="s">
        <v>15</v>
      </c>
      <c r="H486" s="10" t="s">
        <v>17</v>
      </c>
      <c r="I486" s="10" t="s">
        <v>18</v>
      </c>
      <c r="J486" s="10" t="s">
        <v>19</v>
      </c>
      <c r="K486" s="10" t="s">
        <v>19</v>
      </c>
      <c r="L486" s="10" t="s">
        <v>19</v>
      </c>
      <c r="M486" s="12"/>
      <c r="N486" s="10" t="s">
        <v>20</v>
      </c>
      <c r="O486" s="10" t="s">
        <v>2054</v>
      </c>
      <c r="P486" s="25" t="str">
        <f>IFERROR(
IF(OR(O486="anulado",O486="stand by"),CONCATENATE(O486,": ",H486),
IF(OR(YEAR(M486)=2022,YEAR(M486)=2023),CONCATENATE("Se activó en ",YEAR(M486)),
IF(AND(OR(O486="En proceso",O486="facturando"),AND(J486="-",M486="")),"Por revisar",
IF(M486="",IF(J486="NUEVAS",CONCATENATE("Estado: ",O486,", ",J486),
IF(L486=Meses!$A$3,"Por revisar",
IF(H486="","Sin registro","En programación Frcst."))),"En programación")))),
"Error")</f>
        <v>Por revisar</v>
      </c>
      <c r="Q486" s="9" t="str">
        <f t="shared" si="21"/>
        <v>programación de act. NO, estado: Facturando, Comercializador: ENEL, Etapa: Instalado y Activado</v>
      </c>
      <c r="R486" s="25" t="str">
        <f>IF(P486="En programación Frcst.",VLOOKUP(L486,Meses!$A$1:$H$14,3+HLOOKUP(Cronograma!J486,Meses!$D$1:$G$2,2,FALSE),FALSE),
IF(P486="En programación",M486,""))</f>
        <v/>
      </c>
      <c r="S486" s="25" t="str">
        <f t="shared" si="23"/>
        <v/>
      </c>
      <c r="T486" s="21" t="str">
        <f>IFERROR(
(VLOOKUP(MONTH(R486),Meses!$B$3:$C$14,2,FALSE)-DAY(R486))/VLOOKUP(MONTH(R486),Meses!$B$3:$C$14,2,FALSE)*U486,
"")</f>
        <v/>
      </c>
      <c r="U486" s="22">
        <f t="shared" si="22"/>
        <v>437</v>
      </c>
    </row>
    <row r="487" spans="1:21" ht="32.4" hidden="1" thickBot="1" x14ac:dyDescent="0.6">
      <c r="A487" s="10" t="s">
        <v>580</v>
      </c>
      <c r="B487" s="10" t="s">
        <v>630</v>
      </c>
      <c r="C487" s="12">
        <v>45134</v>
      </c>
      <c r="D487" s="10" t="s">
        <v>14</v>
      </c>
      <c r="E487" s="10" t="s">
        <v>14</v>
      </c>
      <c r="F487" s="10">
        <v>125</v>
      </c>
      <c r="G487" s="10" t="s">
        <v>15</v>
      </c>
      <c r="H487" s="10" t="s">
        <v>17</v>
      </c>
      <c r="I487" s="10" t="s">
        <v>18</v>
      </c>
      <c r="J487" s="10" t="s">
        <v>19</v>
      </c>
      <c r="K487" s="10" t="s">
        <v>19</v>
      </c>
      <c r="L487" s="10" t="s">
        <v>19</v>
      </c>
      <c r="M487" s="12"/>
      <c r="N487" s="10" t="s">
        <v>20</v>
      </c>
      <c r="O487" s="10" t="s">
        <v>2054</v>
      </c>
      <c r="P487" s="25" t="str">
        <f>IFERROR(
IF(OR(O487="anulado",O487="stand by"),CONCATENATE(O487,": ",H487),
IF(OR(YEAR(M487)=2022,YEAR(M487)=2023),CONCATENATE("Se activó en ",YEAR(M487)),
IF(AND(OR(O487="En proceso",O487="facturando"),AND(J487="-",M487="")),"Por revisar",
IF(M487="",IF(J487="NUEVAS",CONCATENATE("Estado: ",O487,", ",J487),
IF(L487=Meses!$A$3,"Por revisar",
IF(H487="","Sin registro","En programación Frcst."))),"En programación")))),
"Error")</f>
        <v>Por revisar</v>
      </c>
      <c r="Q487" s="9" t="str">
        <f t="shared" si="21"/>
        <v>programación de act. NO, estado: Facturando, Comercializador: ENEL, Etapa: Instalado y Activado</v>
      </c>
      <c r="R487" s="25" t="str">
        <f>IF(P487="En programación Frcst.",VLOOKUP(L487,Meses!$A$1:$H$14,3+HLOOKUP(Cronograma!J487,Meses!$D$1:$G$2,2,FALSE),FALSE),
IF(P487="En programación",M487,""))</f>
        <v/>
      </c>
      <c r="S487" s="25" t="str">
        <f t="shared" si="23"/>
        <v/>
      </c>
      <c r="T487" s="21" t="str">
        <f>IFERROR(
(VLOOKUP(MONTH(R487),Meses!$B$3:$C$14,2,FALSE)-DAY(R487))/VLOOKUP(MONTH(R487),Meses!$B$3:$C$14,2,FALSE)*U487,
"")</f>
        <v/>
      </c>
      <c r="U487" s="22">
        <f t="shared" si="22"/>
        <v>125</v>
      </c>
    </row>
    <row r="488" spans="1:21" ht="32.4" hidden="1" thickBot="1" x14ac:dyDescent="0.6">
      <c r="A488" s="10" t="s">
        <v>580</v>
      </c>
      <c r="B488" s="10" t="s">
        <v>631</v>
      </c>
      <c r="C488" s="12">
        <v>45134</v>
      </c>
      <c r="D488" s="10" t="s">
        <v>14</v>
      </c>
      <c r="E488" s="10" t="s">
        <v>14</v>
      </c>
      <c r="F488" s="10">
        <v>4660</v>
      </c>
      <c r="G488" s="10" t="s">
        <v>15</v>
      </c>
      <c r="H488" s="10" t="s">
        <v>17</v>
      </c>
      <c r="I488" s="10" t="s">
        <v>18</v>
      </c>
      <c r="J488" s="10" t="s">
        <v>19</v>
      </c>
      <c r="K488" s="10" t="s">
        <v>19</v>
      </c>
      <c r="L488" s="10" t="s">
        <v>19</v>
      </c>
      <c r="M488" s="12"/>
      <c r="N488" s="10" t="s">
        <v>20</v>
      </c>
      <c r="O488" s="10" t="s">
        <v>2054</v>
      </c>
      <c r="P488" s="25" t="str">
        <f>IFERROR(
IF(OR(O488="anulado",O488="stand by"),CONCATENATE(O488,": ",H488),
IF(OR(YEAR(M488)=2022,YEAR(M488)=2023),CONCATENATE("Se activó en ",YEAR(M488)),
IF(AND(OR(O488="En proceso",O488="facturando"),AND(J488="-",M488="")),"Por revisar",
IF(M488="",IF(J488="NUEVAS",CONCATENATE("Estado: ",O488,", ",J488),
IF(L488=Meses!$A$3,"Por revisar",
IF(H488="","Sin registro","En programación Frcst."))),"En programación")))),
"Error")</f>
        <v>Por revisar</v>
      </c>
      <c r="Q488" s="9" t="str">
        <f t="shared" si="21"/>
        <v>programación de act. NO, estado: Facturando, Comercializador: ENEL, Etapa: Instalado y Activado</v>
      </c>
      <c r="R488" s="25" t="str">
        <f>IF(P488="En programación Frcst.",VLOOKUP(L488,Meses!$A$1:$H$14,3+HLOOKUP(Cronograma!J488,Meses!$D$1:$G$2,2,FALSE),FALSE),
IF(P488="En programación",M488,""))</f>
        <v/>
      </c>
      <c r="S488" s="25" t="str">
        <f t="shared" si="23"/>
        <v/>
      </c>
      <c r="T488" s="21" t="str">
        <f>IFERROR(
(VLOOKUP(MONTH(R488),Meses!$B$3:$C$14,2,FALSE)-DAY(R488))/VLOOKUP(MONTH(R488),Meses!$B$3:$C$14,2,FALSE)*U488,
"")</f>
        <v/>
      </c>
      <c r="U488" s="22">
        <f t="shared" si="22"/>
        <v>4660</v>
      </c>
    </row>
    <row r="489" spans="1:21" ht="32.4" hidden="1" thickBot="1" x14ac:dyDescent="0.6">
      <c r="A489" s="10" t="s">
        <v>580</v>
      </c>
      <c r="B489" s="10" t="s">
        <v>632</v>
      </c>
      <c r="C489" s="12">
        <v>45134</v>
      </c>
      <c r="D489" s="10" t="s">
        <v>14</v>
      </c>
      <c r="E489" s="10" t="s">
        <v>14</v>
      </c>
      <c r="F489" s="10">
        <v>1626</v>
      </c>
      <c r="G489" s="10" t="s">
        <v>15</v>
      </c>
      <c r="H489" s="10" t="s">
        <v>17</v>
      </c>
      <c r="I489" s="10" t="s">
        <v>18</v>
      </c>
      <c r="J489" s="10" t="s">
        <v>19</v>
      </c>
      <c r="K489" s="10" t="s">
        <v>19</v>
      </c>
      <c r="L489" s="10" t="s">
        <v>19</v>
      </c>
      <c r="M489" s="12"/>
      <c r="N489" s="10" t="s">
        <v>20</v>
      </c>
      <c r="O489" s="10" t="s">
        <v>2054</v>
      </c>
      <c r="P489" s="25" t="str">
        <f>IFERROR(
IF(OR(O489="anulado",O489="stand by"),CONCATENATE(O489,": ",H489),
IF(OR(YEAR(M489)=2022,YEAR(M489)=2023),CONCATENATE("Se activó en ",YEAR(M489)),
IF(AND(OR(O489="En proceso",O489="facturando"),AND(J489="-",M489="")),"Por revisar",
IF(M489="",IF(J489="NUEVAS",CONCATENATE("Estado: ",O489,", ",J489),
IF(L489=Meses!$A$3,"Por revisar",
IF(H489="","Sin registro","En programación Frcst."))),"En programación")))),
"Error")</f>
        <v>Por revisar</v>
      </c>
      <c r="Q489" s="9" t="str">
        <f t="shared" si="21"/>
        <v>programación de act. NO, estado: Facturando, Comercializador: ENEL, Etapa: Instalado y Activado</v>
      </c>
      <c r="R489" s="25" t="str">
        <f>IF(P489="En programación Frcst.",VLOOKUP(L489,Meses!$A$1:$H$14,3+HLOOKUP(Cronograma!J489,Meses!$D$1:$G$2,2,FALSE),FALSE),
IF(P489="En programación",M489,""))</f>
        <v/>
      </c>
      <c r="S489" s="25" t="str">
        <f t="shared" si="23"/>
        <v/>
      </c>
      <c r="T489" s="21" t="str">
        <f>IFERROR(
(VLOOKUP(MONTH(R489),Meses!$B$3:$C$14,2,FALSE)-DAY(R489))/VLOOKUP(MONTH(R489),Meses!$B$3:$C$14,2,FALSE)*U489,
"")</f>
        <v/>
      </c>
      <c r="U489" s="22">
        <f t="shared" si="22"/>
        <v>1626</v>
      </c>
    </row>
    <row r="490" spans="1:21" ht="32.4" hidden="1" thickBot="1" x14ac:dyDescent="0.6">
      <c r="A490" s="10" t="s">
        <v>580</v>
      </c>
      <c r="B490" s="10" t="s">
        <v>633</v>
      </c>
      <c r="C490" s="12">
        <v>45134</v>
      </c>
      <c r="D490" s="10" t="s">
        <v>14</v>
      </c>
      <c r="E490" s="10" t="s">
        <v>14</v>
      </c>
      <c r="F490" s="10">
        <v>13400</v>
      </c>
      <c r="G490" s="10" t="s">
        <v>15</v>
      </c>
      <c r="H490" s="10" t="s">
        <v>17</v>
      </c>
      <c r="I490" s="10" t="s">
        <v>18</v>
      </c>
      <c r="J490" s="10" t="s">
        <v>19</v>
      </c>
      <c r="K490" s="10" t="s">
        <v>19</v>
      </c>
      <c r="L490" s="10" t="s">
        <v>19</v>
      </c>
      <c r="M490" s="12"/>
      <c r="N490" s="10" t="s">
        <v>20</v>
      </c>
      <c r="O490" s="10" t="s">
        <v>2054</v>
      </c>
      <c r="P490" s="25" t="str">
        <f>IFERROR(
IF(OR(O490="anulado",O490="stand by"),CONCATENATE(O490,": ",H490),
IF(OR(YEAR(M490)=2022,YEAR(M490)=2023),CONCATENATE("Se activó en ",YEAR(M490)),
IF(AND(OR(O490="En proceso",O490="facturando"),AND(J490="-",M490="")),"Por revisar",
IF(M490="",IF(J490="NUEVAS",CONCATENATE("Estado: ",O490,", ",J490),
IF(L490=Meses!$A$3,"Por revisar",
IF(H490="","Sin registro","En programación Frcst."))),"En programación")))),
"Error")</f>
        <v>Por revisar</v>
      </c>
      <c r="Q490" s="9" t="str">
        <f t="shared" si="21"/>
        <v>programación de act. NO, estado: Facturando, Comercializador: ENEL, Etapa: Instalado y Activado</v>
      </c>
      <c r="R490" s="25" t="str">
        <f>IF(P490="En programación Frcst.",VLOOKUP(L490,Meses!$A$1:$H$14,3+HLOOKUP(Cronograma!J490,Meses!$D$1:$G$2,2,FALSE),FALSE),
IF(P490="En programación",M490,""))</f>
        <v/>
      </c>
      <c r="S490" s="25" t="str">
        <f t="shared" si="23"/>
        <v/>
      </c>
      <c r="T490" s="21" t="str">
        <f>IFERROR(
(VLOOKUP(MONTH(R490),Meses!$B$3:$C$14,2,FALSE)-DAY(R490))/VLOOKUP(MONTH(R490),Meses!$B$3:$C$14,2,FALSE)*U490,
"")</f>
        <v/>
      </c>
      <c r="U490" s="22">
        <f t="shared" si="22"/>
        <v>13400</v>
      </c>
    </row>
    <row r="491" spans="1:21" ht="32.4" hidden="1" thickBot="1" x14ac:dyDescent="0.6">
      <c r="A491" s="10" t="s">
        <v>580</v>
      </c>
      <c r="B491" s="10" t="s">
        <v>634</v>
      </c>
      <c r="C491" s="12">
        <v>45134</v>
      </c>
      <c r="D491" s="10" t="s">
        <v>14</v>
      </c>
      <c r="E491" s="10" t="s">
        <v>14</v>
      </c>
      <c r="F491" s="10">
        <v>700</v>
      </c>
      <c r="G491" s="10" t="s">
        <v>15</v>
      </c>
      <c r="H491" s="10" t="s">
        <v>17</v>
      </c>
      <c r="I491" s="10" t="s">
        <v>18</v>
      </c>
      <c r="J491" s="10" t="s">
        <v>19</v>
      </c>
      <c r="K491" s="10" t="s">
        <v>19</v>
      </c>
      <c r="L491" s="10" t="s">
        <v>19</v>
      </c>
      <c r="M491" s="12"/>
      <c r="N491" s="10" t="s">
        <v>20</v>
      </c>
      <c r="O491" s="10" t="s">
        <v>2054</v>
      </c>
      <c r="P491" s="25" t="str">
        <f>IFERROR(
IF(OR(O491="anulado",O491="stand by"),CONCATENATE(O491,": ",H491),
IF(OR(YEAR(M491)=2022,YEAR(M491)=2023),CONCATENATE("Se activó en ",YEAR(M491)),
IF(AND(OR(O491="En proceso",O491="facturando"),AND(J491="-",M491="")),"Por revisar",
IF(M491="",IF(J491="NUEVAS",CONCATENATE("Estado: ",O491,", ",J491),
IF(L491=Meses!$A$3,"Por revisar",
IF(H491="","Sin registro","En programación Frcst."))),"En programación")))),
"Error")</f>
        <v>Por revisar</v>
      </c>
      <c r="Q491" s="9" t="str">
        <f t="shared" si="21"/>
        <v>programación de act. NO, estado: Facturando, Comercializador: ENEL, Etapa: Instalado y Activado</v>
      </c>
      <c r="R491" s="25" t="str">
        <f>IF(P491="En programación Frcst.",VLOOKUP(L491,Meses!$A$1:$H$14,3+HLOOKUP(Cronograma!J491,Meses!$D$1:$G$2,2,FALSE),FALSE),
IF(P491="En programación",M491,""))</f>
        <v/>
      </c>
      <c r="S491" s="25" t="str">
        <f t="shared" si="23"/>
        <v/>
      </c>
      <c r="T491" s="21" t="str">
        <f>IFERROR(
(VLOOKUP(MONTH(R491),Meses!$B$3:$C$14,2,FALSE)-DAY(R491))/VLOOKUP(MONTH(R491),Meses!$B$3:$C$14,2,FALSE)*U491,
"")</f>
        <v/>
      </c>
      <c r="U491" s="22">
        <f t="shared" si="22"/>
        <v>700</v>
      </c>
    </row>
    <row r="492" spans="1:21" ht="32.4" hidden="1" thickBot="1" x14ac:dyDescent="0.6">
      <c r="A492" s="10" t="s">
        <v>580</v>
      </c>
      <c r="B492" s="10" t="s">
        <v>635</v>
      </c>
      <c r="C492" s="12">
        <v>45134</v>
      </c>
      <c r="D492" s="10" t="s">
        <v>14</v>
      </c>
      <c r="E492" s="10" t="s">
        <v>14</v>
      </c>
      <c r="F492" s="10">
        <v>10600</v>
      </c>
      <c r="G492" s="10" t="s">
        <v>15</v>
      </c>
      <c r="H492" s="10" t="s">
        <v>17</v>
      </c>
      <c r="I492" s="10" t="s">
        <v>18</v>
      </c>
      <c r="J492" s="10" t="s">
        <v>19</v>
      </c>
      <c r="K492" s="10" t="s">
        <v>19</v>
      </c>
      <c r="L492" s="10" t="s">
        <v>19</v>
      </c>
      <c r="M492" s="12"/>
      <c r="N492" s="10" t="s">
        <v>20</v>
      </c>
      <c r="O492" s="10" t="s">
        <v>2054</v>
      </c>
      <c r="P492" s="25" t="str">
        <f>IFERROR(
IF(OR(O492="anulado",O492="stand by"),CONCATENATE(O492,": ",H492),
IF(OR(YEAR(M492)=2022,YEAR(M492)=2023),CONCATENATE("Se activó en ",YEAR(M492)),
IF(AND(OR(O492="En proceso",O492="facturando"),AND(J492="-",M492="")),"Por revisar",
IF(M492="",IF(J492="NUEVAS",CONCATENATE("Estado: ",O492,", ",J492),
IF(L492=Meses!$A$3,"Por revisar",
IF(H492="","Sin registro","En programación Frcst."))),"En programación")))),
"Error")</f>
        <v>Por revisar</v>
      </c>
      <c r="Q492" s="9" t="str">
        <f t="shared" si="21"/>
        <v>programación de act. NO, estado: Facturando, Comercializador: ENEL, Etapa: Instalado y Activado</v>
      </c>
      <c r="R492" s="25" t="str">
        <f>IF(P492="En programación Frcst.",VLOOKUP(L492,Meses!$A$1:$H$14,3+HLOOKUP(Cronograma!J492,Meses!$D$1:$G$2,2,FALSE),FALSE),
IF(P492="En programación",M492,""))</f>
        <v/>
      </c>
      <c r="S492" s="25" t="str">
        <f t="shared" si="23"/>
        <v/>
      </c>
      <c r="T492" s="21" t="str">
        <f>IFERROR(
(VLOOKUP(MONTH(R492),Meses!$B$3:$C$14,2,FALSE)-DAY(R492))/VLOOKUP(MONTH(R492),Meses!$B$3:$C$14,2,FALSE)*U492,
"")</f>
        <v/>
      </c>
      <c r="U492" s="22">
        <f t="shared" si="22"/>
        <v>10600</v>
      </c>
    </row>
    <row r="493" spans="1:21" ht="32.4" hidden="1" thickBot="1" x14ac:dyDescent="0.6">
      <c r="A493" s="10" t="s">
        <v>580</v>
      </c>
      <c r="B493" s="10" t="s">
        <v>636</v>
      </c>
      <c r="C493" s="12">
        <v>45134</v>
      </c>
      <c r="D493" s="10" t="s">
        <v>14</v>
      </c>
      <c r="E493" s="10" t="s">
        <v>14</v>
      </c>
      <c r="F493" s="10">
        <v>6580</v>
      </c>
      <c r="G493" s="10" t="s">
        <v>15</v>
      </c>
      <c r="H493" s="10" t="s">
        <v>17</v>
      </c>
      <c r="I493" s="10" t="s">
        <v>18</v>
      </c>
      <c r="J493" s="10" t="s">
        <v>19</v>
      </c>
      <c r="K493" s="10" t="s">
        <v>19</v>
      </c>
      <c r="L493" s="10" t="s">
        <v>19</v>
      </c>
      <c r="M493" s="12"/>
      <c r="N493" s="10" t="s">
        <v>20</v>
      </c>
      <c r="O493" s="10" t="s">
        <v>2054</v>
      </c>
      <c r="P493" s="25" t="str">
        <f>IFERROR(
IF(OR(O493="anulado",O493="stand by"),CONCATENATE(O493,": ",H493),
IF(OR(YEAR(M493)=2022,YEAR(M493)=2023),CONCATENATE("Se activó en ",YEAR(M493)),
IF(AND(OR(O493="En proceso",O493="facturando"),AND(J493="-",M493="")),"Por revisar",
IF(M493="",IF(J493="NUEVAS",CONCATENATE("Estado: ",O493,", ",J493),
IF(L493=Meses!$A$3,"Por revisar",
IF(H493="","Sin registro","En programación Frcst."))),"En programación")))),
"Error")</f>
        <v>Por revisar</v>
      </c>
      <c r="Q493" s="9" t="str">
        <f t="shared" si="21"/>
        <v>programación de act. NO, estado: Facturando, Comercializador: ENEL, Etapa: Instalado y Activado</v>
      </c>
      <c r="R493" s="25" t="str">
        <f>IF(P493="En programación Frcst.",VLOOKUP(L493,Meses!$A$1:$H$14,3+HLOOKUP(Cronograma!J493,Meses!$D$1:$G$2,2,FALSE),FALSE),
IF(P493="En programación",M493,""))</f>
        <v/>
      </c>
      <c r="S493" s="25" t="str">
        <f t="shared" si="23"/>
        <v/>
      </c>
      <c r="T493" s="21" t="str">
        <f>IFERROR(
(VLOOKUP(MONTH(R493),Meses!$B$3:$C$14,2,FALSE)-DAY(R493))/VLOOKUP(MONTH(R493),Meses!$B$3:$C$14,2,FALSE)*U493,
"")</f>
        <v/>
      </c>
      <c r="U493" s="22">
        <f t="shared" si="22"/>
        <v>6580</v>
      </c>
    </row>
    <row r="494" spans="1:21" ht="32.4" hidden="1" thickBot="1" x14ac:dyDescent="0.6">
      <c r="A494" s="10" t="s">
        <v>580</v>
      </c>
      <c r="B494" s="10" t="s">
        <v>637</v>
      </c>
      <c r="C494" s="12">
        <v>45134</v>
      </c>
      <c r="D494" s="10" t="s">
        <v>14</v>
      </c>
      <c r="E494" s="10" t="s">
        <v>14</v>
      </c>
      <c r="F494" s="10">
        <v>409</v>
      </c>
      <c r="G494" s="10" t="s">
        <v>15</v>
      </c>
      <c r="H494" s="10" t="s">
        <v>17</v>
      </c>
      <c r="I494" s="10" t="s">
        <v>18</v>
      </c>
      <c r="J494" s="10" t="s">
        <v>19</v>
      </c>
      <c r="K494" s="10" t="s">
        <v>19</v>
      </c>
      <c r="L494" s="10" t="s">
        <v>19</v>
      </c>
      <c r="M494" s="12"/>
      <c r="N494" s="10" t="s">
        <v>20</v>
      </c>
      <c r="O494" s="10" t="s">
        <v>2054</v>
      </c>
      <c r="P494" s="25" t="str">
        <f>IFERROR(
IF(OR(O494="anulado",O494="stand by"),CONCATENATE(O494,": ",H494),
IF(OR(YEAR(M494)=2022,YEAR(M494)=2023),CONCATENATE("Se activó en ",YEAR(M494)),
IF(AND(OR(O494="En proceso",O494="facturando"),AND(J494="-",M494="")),"Por revisar",
IF(M494="",IF(J494="NUEVAS",CONCATENATE("Estado: ",O494,", ",J494),
IF(L494=Meses!$A$3,"Por revisar",
IF(H494="","Sin registro","En programación Frcst."))),"En programación")))),
"Error")</f>
        <v>Por revisar</v>
      </c>
      <c r="Q494" s="9" t="str">
        <f t="shared" si="21"/>
        <v>programación de act. NO, estado: Facturando, Comercializador: ENEL, Etapa: Instalado y Activado</v>
      </c>
      <c r="R494" s="25" t="str">
        <f>IF(P494="En programación Frcst.",VLOOKUP(L494,Meses!$A$1:$H$14,3+HLOOKUP(Cronograma!J494,Meses!$D$1:$G$2,2,FALSE),FALSE),
IF(P494="En programación",M494,""))</f>
        <v/>
      </c>
      <c r="S494" s="25" t="str">
        <f t="shared" si="23"/>
        <v/>
      </c>
      <c r="T494" s="21" t="str">
        <f>IFERROR(
(VLOOKUP(MONTH(R494),Meses!$B$3:$C$14,2,FALSE)-DAY(R494))/VLOOKUP(MONTH(R494),Meses!$B$3:$C$14,2,FALSE)*U494,
"")</f>
        <v/>
      </c>
      <c r="U494" s="22">
        <f t="shared" si="22"/>
        <v>409</v>
      </c>
    </row>
    <row r="495" spans="1:21" ht="32.4" hidden="1" thickBot="1" x14ac:dyDescent="0.6">
      <c r="A495" s="10" t="s">
        <v>580</v>
      </c>
      <c r="B495" s="10" t="s">
        <v>638</v>
      </c>
      <c r="C495" s="12">
        <v>45134</v>
      </c>
      <c r="D495" s="10" t="s">
        <v>14</v>
      </c>
      <c r="E495" s="10" t="s">
        <v>14</v>
      </c>
      <c r="F495" s="10">
        <v>18</v>
      </c>
      <c r="G495" s="10" t="s">
        <v>15</v>
      </c>
      <c r="H495" s="10" t="s">
        <v>17</v>
      </c>
      <c r="I495" s="10" t="s">
        <v>18</v>
      </c>
      <c r="J495" s="10" t="s">
        <v>19</v>
      </c>
      <c r="K495" s="10" t="s">
        <v>19</v>
      </c>
      <c r="L495" s="10" t="s">
        <v>19</v>
      </c>
      <c r="M495" s="12"/>
      <c r="N495" s="10" t="s">
        <v>20</v>
      </c>
      <c r="O495" s="10" t="s">
        <v>2054</v>
      </c>
      <c r="P495" s="25" t="str">
        <f>IFERROR(
IF(OR(O495="anulado",O495="stand by"),CONCATENATE(O495,": ",H495),
IF(OR(YEAR(M495)=2022,YEAR(M495)=2023),CONCATENATE("Se activó en ",YEAR(M495)),
IF(AND(OR(O495="En proceso",O495="facturando"),AND(J495="-",M495="")),"Por revisar",
IF(M495="",IF(J495="NUEVAS",CONCATENATE("Estado: ",O495,", ",J495),
IF(L495=Meses!$A$3,"Por revisar",
IF(H495="","Sin registro","En programación Frcst."))),"En programación")))),
"Error")</f>
        <v>Por revisar</v>
      </c>
      <c r="Q495" s="9" t="str">
        <f t="shared" si="21"/>
        <v>programación de act. NO, estado: Facturando, Comercializador: ENEL, Etapa: Instalado y Activado</v>
      </c>
      <c r="R495" s="25" t="str">
        <f>IF(P495="En programación Frcst.",VLOOKUP(L495,Meses!$A$1:$H$14,3+HLOOKUP(Cronograma!J495,Meses!$D$1:$G$2,2,FALSE),FALSE),
IF(P495="En programación",M495,""))</f>
        <v/>
      </c>
      <c r="S495" s="25" t="str">
        <f t="shared" si="23"/>
        <v/>
      </c>
      <c r="T495" s="21" t="str">
        <f>IFERROR(
(VLOOKUP(MONTH(R495),Meses!$B$3:$C$14,2,FALSE)-DAY(R495))/VLOOKUP(MONTH(R495),Meses!$B$3:$C$14,2,FALSE)*U495,
"")</f>
        <v/>
      </c>
      <c r="U495" s="22">
        <f t="shared" si="22"/>
        <v>18</v>
      </c>
    </row>
    <row r="496" spans="1:21" ht="32.4" hidden="1" thickBot="1" x14ac:dyDescent="0.6">
      <c r="A496" s="10" t="s">
        <v>580</v>
      </c>
      <c r="B496" s="10" t="s">
        <v>639</v>
      </c>
      <c r="C496" s="12">
        <v>45134</v>
      </c>
      <c r="D496" s="10" t="s">
        <v>14</v>
      </c>
      <c r="E496" s="10" t="s">
        <v>14</v>
      </c>
      <c r="F496" s="10">
        <v>3</v>
      </c>
      <c r="G496" s="10" t="s">
        <v>15</v>
      </c>
      <c r="H496" s="10" t="s">
        <v>17</v>
      </c>
      <c r="I496" s="10" t="s">
        <v>18</v>
      </c>
      <c r="J496" s="10" t="s">
        <v>19</v>
      </c>
      <c r="K496" s="10" t="s">
        <v>19</v>
      </c>
      <c r="L496" s="10" t="s">
        <v>19</v>
      </c>
      <c r="M496" s="12"/>
      <c r="N496" s="10" t="s">
        <v>20</v>
      </c>
      <c r="O496" s="10" t="s">
        <v>2054</v>
      </c>
      <c r="P496" s="25" t="str">
        <f>IFERROR(
IF(OR(O496="anulado",O496="stand by"),CONCATENATE(O496,": ",H496),
IF(OR(YEAR(M496)=2022,YEAR(M496)=2023),CONCATENATE("Se activó en ",YEAR(M496)),
IF(AND(OR(O496="En proceso",O496="facturando"),AND(J496="-",M496="")),"Por revisar",
IF(M496="",IF(J496="NUEVAS",CONCATENATE("Estado: ",O496,", ",J496),
IF(L496=Meses!$A$3,"Por revisar",
IF(H496="","Sin registro","En programación Frcst."))),"En programación")))),
"Error")</f>
        <v>Por revisar</v>
      </c>
      <c r="Q496" s="9" t="str">
        <f t="shared" si="21"/>
        <v>programación de act. NO, estado: Facturando, Comercializador: ENEL, Etapa: Instalado y Activado</v>
      </c>
      <c r="R496" s="25" t="str">
        <f>IF(P496="En programación Frcst.",VLOOKUP(L496,Meses!$A$1:$H$14,3+HLOOKUP(Cronograma!J496,Meses!$D$1:$G$2,2,FALSE),FALSE),
IF(P496="En programación",M496,""))</f>
        <v/>
      </c>
      <c r="S496" s="25" t="str">
        <f t="shared" si="23"/>
        <v/>
      </c>
      <c r="T496" s="21" t="str">
        <f>IFERROR(
(VLOOKUP(MONTH(R496),Meses!$B$3:$C$14,2,FALSE)-DAY(R496))/VLOOKUP(MONTH(R496),Meses!$B$3:$C$14,2,FALSE)*U496,
"")</f>
        <v/>
      </c>
      <c r="U496" s="22">
        <f t="shared" si="22"/>
        <v>3</v>
      </c>
    </row>
    <row r="497" spans="1:21" ht="32.4" hidden="1" thickBot="1" x14ac:dyDescent="0.6">
      <c r="A497" s="10" t="s">
        <v>580</v>
      </c>
      <c r="B497" s="10" t="s">
        <v>640</v>
      </c>
      <c r="C497" s="12">
        <v>45134</v>
      </c>
      <c r="D497" s="10" t="s">
        <v>14</v>
      </c>
      <c r="E497" s="10" t="s">
        <v>14</v>
      </c>
      <c r="F497" s="10">
        <v>19</v>
      </c>
      <c r="G497" s="10" t="s">
        <v>15</v>
      </c>
      <c r="H497" s="10" t="s">
        <v>17</v>
      </c>
      <c r="I497" s="10" t="s">
        <v>18</v>
      </c>
      <c r="J497" s="10" t="s">
        <v>19</v>
      </c>
      <c r="K497" s="10" t="s">
        <v>19</v>
      </c>
      <c r="L497" s="10" t="s">
        <v>19</v>
      </c>
      <c r="M497" s="12"/>
      <c r="N497" s="10" t="s">
        <v>20</v>
      </c>
      <c r="O497" s="10" t="s">
        <v>2054</v>
      </c>
      <c r="P497" s="25" t="str">
        <f>IFERROR(
IF(OR(O497="anulado",O497="stand by"),CONCATENATE(O497,": ",H497),
IF(OR(YEAR(M497)=2022,YEAR(M497)=2023),CONCATENATE("Se activó en ",YEAR(M497)),
IF(AND(OR(O497="En proceso",O497="facturando"),AND(J497="-",M497="")),"Por revisar",
IF(M497="",IF(J497="NUEVAS",CONCATENATE("Estado: ",O497,", ",J497),
IF(L497=Meses!$A$3,"Por revisar",
IF(H497="","Sin registro","En programación Frcst."))),"En programación")))),
"Error")</f>
        <v>Por revisar</v>
      </c>
      <c r="Q497" s="9" t="str">
        <f t="shared" si="21"/>
        <v>programación de act. NO, estado: Facturando, Comercializador: ENEL, Etapa: Instalado y Activado</v>
      </c>
      <c r="R497" s="25" t="str">
        <f>IF(P497="En programación Frcst.",VLOOKUP(L497,Meses!$A$1:$H$14,3+HLOOKUP(Cronograma!J497,Meses!$D$1:$G$2,2,FALSE),FALSE),
IF(P497="En programación",M497,""))</f>
        <v/>
      </c>
      <c r="S497" s="25" t="str">
        <f t="shared" si="23"/>
        <v/>
      </c>
      <c r="T497" s="21" t="str">
        <f>IFERROR(
(VLOOKUP(MONTH(R497),Meses!$B$3:$C$14,2,FALSE)-DAY(R497))/VLOOKUP(MONTH(R497),Meses!$B$3:$C$14,2,FALSE)*U497,
"")</f>
        <v/>
      </c>
      <c r="U497" s="22">
        <f t="shared" si="22"/>
        <v>19</v>
      </c>
    </row>
    <row r="498" spans="1:21" ht="32.4" hidden="1" thickBot="1" x14ac:dyDescent="0.6">
      <c r="A498" s="10" t="s">
        <v>580</v>
      </c>
      <c r="B498" s="10" t="s">
        <v>641</v>
      </c>
      <c r="C498" s="12">
        <v>45134</v>
      </c>
      <c r="D498" s="10" t="s">
        <v>14</v>
      </c>
      <c r="E498" s="10" t="s">
        <v>14</v>
      </c>
      <c r="F498" s="10">
        <v>0</v>
      </c>
      <c r="G498" s="10" t="s">
        <v>15</v>
      </c>
      <c r="H498" s="10" t="s">
        <v>17</v>
      </c>
      <c r="I498" s="10" t="s">
        <v>18</v>
      </c>
      <c r="J498" s="10" t="s">
        <v>19</v>
      </c>
      <c r="K498" s="10" t="s">
        <v>19</v>
      </c>
      <c r="L498" s="10" t="s">
        <v>19</v>
      </c>
      <c r="M498" s="12"/>
      <c r="N498" s="10" t="s">
        <v>20</v>
      </c>
      <c r="O498" s="10" t="s">
        <v>2054</v>
      </c>
      <c r="P498" s="25" t="str">
        <f>IFERROR(
IF(OR(O498="anulado",O498="stand by"),CONCATENATE(O498,": ",H498),
IF(OR(YEAR(M498)=2022,YEAR(M498)=2023),CONCATENATE("Se activó en ",YEAR(M498)),
IF(AND(OR(O498="En proceso",O498="facturando"),AND(J498="-",M498="")),"Por revisar",
IF(M498="",IF(J498="NUEVAS",CONCATENATE("Estado: ",O498,", ",J498),
IF(L498=Meses!$A$3,"Por revisar",
IF(H498="","Sin registro","En programación Frcst."))),"En programación")))),
"Error")</f>
        <v>Por revisar</v>
      </c>
      <c r="Q498" s="9" t="str">
        <f t="shared" si="21"/>
        <v>programación de act. NO, estado: Facturando, Comercializador: ENEL, Etapa: Instalado y Activado</v>
      </c>
      <c r="R498" s="25" t="str">
        <f>IF(P498="En programación Frcst.",VLOOKUP(L498,Meses!$A$1:$H$14,3+HLOOKUP(Cronograma!J498,Meses!$D$1:$G$2,2,FALSE),FALSE),
IF(P498="En programación",M498,""))</f>
        <v/>
      </c>
      <c r="S498" s="25" t="str">
        <f t="shared" si="23"/>
        <v/>
      </c>
      <c r="T498" s="21" t="str">
        <f>IFERROR(
(VLOOKUP(MONTH(R498),Meses!$B$3:$C$14,2,FALSE)-DAY(R498))/VLOOKUP(MONTH(R498),Meses!$B$3:$C$14,2,FALSE)*U498,
"")</f>
        <v/>
      </c>
      <c r="U498" s="22">
        <f t="shared" si="22"/>
        <v>0</v>
      </c>
    </row>
    <row r="499" spans="1:21" ht="32.4" hidden="1" thickBot="1" x14ac:dyDescent="0.6">
      <c r="A499" s="10" t="s">
        <v>580</v>
      </c>
      <c r="B499" s="10" t="s">
        <v>642</v>
      </c>
      <c r="C499" s="12">
        <v>45134</v>
      </c>
      <c r="D499" s="10" t="s">
        <v>14</v>
      </c>
      <c r="E499" s="10" t="s">
        <v>14</v>
      </c>
      <c r="F499" s="10">
        <v>598</v>
      </c>
      <c r="G499" s="10" t="s">
        <v>15</v>
      </c>
      <c r="H499" s="10" t="s">
        <v>17</v>
      </c>
      <c r="I499" s="10" t="s">
        <v>18</v>
      </c>
      <c r="J499" s="10" t="s">
        <v>19</v>
      </c>
      <c r="K499" s="10" t="s">
        <v>19</v>
      </c>
      <c r="L499" s="10" t="s">
        <v>19</v>
      </c>
      <c r="M499" s="12"/>
      <c r="N499" s="10" t="s">
        <v>20</v>
      </c>
      <c r="O499" s="10" t="s">
        <v>2054</v>
      </c>
      <c r="P499" s="25" t="str">
        <f>IFERROR(
IF(OR(O499="anulado",O499="stand by"),CONCATENATE(O499,": ",H499),
IF(OR(YEAR(M499)=2022,YEAR(M499)=2023),CONCATENATE("Se activó en ",YEAR(M499)),
IF(AND(OR(O499="En proceso",O499="facturando"),AND(J499="-",M499="")),"Por revisar",
IF(M499="",IF(J499="NUEVAS",CONCATENATE("Estado: ",O499,", ",J499),
IF(L499=Meses!$A$3,"Por revisar",
IF(H499="","Sin registro","En programación Frcst."))),"En programación")))),
"Error")</f>
        <v>Por revisar</v>
      </c>
      <c r="Q499" s="9" t="str">
        <f t="shared" si="21"/>
        <v>programación de act. NO, estado: Facturando, Comercializador: ENEL, Etapa: Instalado y Activado</v>
      </c>
      <c r="R499" s="25" t="str">
        <f>IF(P499="En programación Frcst.",VLOOKUP(L499,Meses!$A$1:$H$14,3+HLOOKUP(Cronograma!J499,Meses!$D$1:$G$2,2,FALSE),FALSE),
IF(P499="En programación",M499,""))</f>
        <v/>
      </c>
      <c r="S499" s="25" t="str">
        <f t="shared" si="23"/>
        <v/>
      </c>
      <c r="T499" s="21" t="str">
        <f>IFERROR(
(VLOOKUP(MONTH(R499),Meses!$B$3:$C$14,2,FALSE)-DAY(R499))/VLOOKUP(MONTH(R499),Meses!$B$3:$C$14,2,FALSE)*U499,
"")</f>
        <v/>
      </c>
      <c r="U499" s="22">
        <f t="shared" si="22"/>
        <v>598</v>
      </c>
    </row>
    <row r="500" spans="1:21" ht="32.4" hidden="1" thickBot="1" x14ac:dyDescent="0.6">
      <c r="A500" s="10" t="s">
        <v>580</v>
      </c>
      <c r="B500" s="10" t="s">
        <v>643</v>
      </c>
      <c r="C500" s="12">
        <v>45134</v>
      </c>
      <c r="D500" s="10" t="s">
        <v>14</v>
      </c>
      <c r="E500" s="10" t="s">
        <v>14</v>
      </c>
      <c r="F500" s="10">
        <v>2947</v>
      </c>
      <c r="G500" s="10" t="s">
        <v>15</v>
      </c>
      <c r="H500" s="10" t="s">
        <v>17</v>
      </c>
      <c r="I500" s="10" t="s">
        <v>18</v>
      </c>
      <c r="J500" s="10" t="s">
        <v>19</v>
      </c>
      <c r="K500" s="10" t="s">
        <v>19</v>
      </c>
      <c r="L500" s="10" t="s">
        <v>19</v>
      </c>
      <c r="M500" s="12"/>
      <c r="N500" s="10" t="s">
        <v>20</v>
      </c>
      <c r="O500" s="10" t="s">
        <v>2054</v>
      </c>
      <c r="P500" s="25" t="str">
        <f>IFERROR(
IF(OR(O500="anulado",O500="stand by"),CONCATENATE(O500,": ",H500),
IF(OR(YEAR(M500)=2022,YEAR(M500)=2023),CONCATENATE("Se activó en ",YEAR(M500)),
IF(AND(OR(O500="En proceso",O500="facturando"),AND(J500="-",M500="")),"Por revisar",
IF(M500="",IF(J500="NUEVAS",CONCATENATE("Estado: ",O500,", ",J500),
IF(L500=Meses!$A$3,"Por revisar",
IF(H500="","Sin registro","En programación Frcst."))),"En programación")))),
"Error")</f>
        <v>Por revisar</v>
      </c>
      <c r="Q500" s="9" t="str">
        <f t="shared" si="21"/>
        <v>programación de act. NO, estado: Facturando, Comercializador: ENEL, Etapa: Instalado y Activado</v>
      </c>
      <c r="R500" s="25" t="str">
        <f>IF(P500="En programación Frcst.",VLOOKUP(L500,Meses!$A$1:$H$14,3+HLOOKUP(Cronograma!J500,Meses!$D$1:$G$2,2,FALSE),FALSE),
IF(P500="En programación",M500,""))</f>
        <v/>
      </c>
      <c r="S500" s="25" t="str">
        <f t="shared" si="23"/>
        <v/>
      </c>
      <c r="T500" s="21" t="str">
        <f>IFERROR(
(VLOOKUP(MONTH(R500),Meses!$B$3:$C$14,2,FALSE)-DAY(R500))/VLOOKUP(MONTH(R500),Meses!$B$3:$C$14,2,FALSE)*U500,
"")</f>
        <v/>
      </c>
      <c r="U500" s="22">
        <f t="shared" si="22"/>
        <v>2947</v>
      </c>
    </row>
    <row r="501" spans="1:21" ht="32.4" hidden="1" thickBot="1" x14ac:dyDescent="0.6">
      <c r="A501" s="10" t="s">
        <v>580</v>
      </c>
      <c r="B501" s="10" t="s">
        <v>644</v>
      </c>
      <c r="C501" s="12">
        <v>45134</v>
      </c>
      <c r="D501" s="10" t="s">
        <v>14</v>
      </c>
      <c r="E501" s="10" t="s">
        <v>14</v>
      </c>
      <c r="F501" s="10">
        <v>1265</v>
      </c>
      <c r="G501" s="10" t="s">
        <v>15</v>
      </c>
      <c r="H501" s="10" t="s">
        <v>17</v>
      </c>
      <c r="I501" s="10" t="s">
        <v>18</v>
      </c>
      <c r="J501" s="10" t="s">
        <v>19</v>
      </c>
      <c r="K501" s="10" t="s">
        <v>19</v>
      </c>
      <c r="L501" s="10" t="s">
        <v>19</v>
      </c>
      <c r="M501" s="12"/>
      <c r="N501" s="10" t="s">
        <v>20</v>
      </c>
      <c r="O501" s="10" t="s">
        <v>2054</v>
      </c>
      <c r="P501" s="25" t="str">
        <f>IFERROR(
IF(OR(O501="anulado",O501="stand by"),CONCATENATE(O501,": ",H501),
IF(OR(YEAR(M501)=2022,YEAR(M501)=2023),CONCATENATE("Se activó en ",YEAR(M501)),
IF(AND(OR(O501="En proceso",O501="facturando"),AND(J501="-",M501="")),"Por revisar",
IF(M501="",IF(J501="NUEVAS",CONCATENATE("Estado: ",O501,", ",J501),
IF(L501=Meses!$A$3,"Por revisar",
IF(H501="","Sin registro","En programación Frcst."))),"En programación")))),
"Error")</f>
        <v>Por revisar</v>
      </c>
      <c r="Q501" s="9" t="str">
        <f t="shared" si="21"/>
        <v>programación de act. NO, estado: Facturando, Comercializador: ENEL, Etapa: Instalado y Activado</v>
      </c>
      <c r="R501" s="25" t="str">
        <f>IF(P501="En programación Frcst.",VLOOKUP(L501,Meses!$A$1:$H$14,3+HLOOKUP(Cronograma!J501,Meses!$D$1:$G$2,2,FALSE),FALSE),
IF(P501="En programación",M501,""))</f>
        <v/>
      </c>
      <c r="S501" s="25" t="str">
        <f t="shared" si="23"/>
        <v/>
      </c>
      <c r="T501" s="21" t="str">
        <f>IFERROR(
(VLOOKUP(MONTH(R501),Meses!$B$3:$C$14,2,FALSE)-DAY(R501))/VLOOKUP(MONTH(R501),Meses!$B$3:$C$14,2,FALSE)*U501,
"")</f>
        <v/>
      </c>
      <c r="U501" s="22">
        <f t="shared" si="22"/>
        <v>1265</v>
      </c>
    </row>
    <row r="502" spans="1:21" ht="32.4" hidden="1" thickBot="1" x14ac:dyDescent="0.6">
      <c r="A502" s="10" t="s">
        <v>580</v>
      </c>
      <c r="B502" s="10" t="s">
        <v>645</v>
      </c>
      <c r="C502" s="12">
        <v>45134</v>
      </c>
      <c r="D502" s="10" t="s">
        <v>14</v>
      </c>
      <c r="E502" s="10" t="s">
        <v>14</v>
      </c>
      <c r="F502" s="10">
        <v>2690</v>
      </c>
      <c r="G502" s="10" t="s">
        <v>15</v>
      </c>
      <c r="H502" s="10" t="s">
        <v>17</v>
      </c>
      <c r="I502" s="10" t="s">
        <v>18</v>
      </c>
      <c r="J502" s="10" t="s">
        <v>19</v>
      </c>
      <c r="K502" s="10" t="s">
        <v>19</v>
      </c>
      <c r="L502" s="10" t="s">
        <v>19</v>
      </c>
      <c r="M502" s="12"/>
      <c r="N502" s="10" t="s">
        <v>20</v>
      </c>
      <c r="O502" s="10" t="s">
        <v>2054</v>
      </c>
      <c r="P502" s="25" t="str">
        <f>IFERROR(
IF(OR(O502="anulado",O502="stand by"),CONCATENATE(O502,": ",H502),
IF(OR(YEAR(M502)=2022,YEAR(M502)=2023),CONCATENATE("Se activó en ",YEAR(M502)),
IF(AND(OR(O502="En proceso",O502="facturando"),AND(J502="-",M502="")),"Por revisar",
IF(M502="",IF(J502="NUEVAS",CONCATENATE("Estado: ",O502,", ",J502),
IF(L502=Meses!$A$3,"Por revisar",
IF(H502="","Sin registro","En programación Frcst."))),"En programación")))),
"Error")</f>
        <v>Por revisar</v>
      </c>
      <c r="Q502" s="9" t="str">
        <f t="shared" si="21"/>
        <v>programación de act. NO, estado: Facturando, Comercializador: ENEL, Etapa: Instalado y Activado</v>
      </c>
      <c r="R502" s="25" t="str">
        <f>IF(P502="En programación Frcst.",VLOOKUP(L502,Meses!$A$1:$H$14,3+HLOOKUP(Cronograma!J502,Meses!$D$1:$G$2,2,FALSE),FALSE),
IF(P502="En programación",M502,""))</f>
        <v/>
      </c>
      <c r="S502" s="25" t="str">
        <f t="shared" si="23"/>
        <v/>
      </c>
      <c r="T502" s="21" t="str">
        <f>IFERROR(
(VLOOKUP(MONTH(R502),Meses!$B$3:$C$14,2,FALSE)-DAY(R502))/VLOOKUP(MONTH(R502),Meses!$B$3:$C$14,2,FALSE)*U502,
"")</f>
        <v/>
      </c>
      <c r="U502" s="22">
        <f t="shared" si="22"/>
        <v>2690</v>
      </c>
    </row>
    <row r="503" spans="1:21" ht="32.4" hidden="1" thickBot="1" x14ac:dyDescent="0.6">
      <c r="A503" s="10" t="s">
        <v>580</v>
      </c>
      <c r="B503" s="10" t="s">
        <v>646</v>
      </c>
      <c r="C503" s="12">
        <v>45134</v>
      </c>
      <c r="D503" s="10" t="s">
        <v>14</v>
      </c>
      <c r="E503" s="10" t="s">
        <v>14</v>
      </c>
      <c r="F503" s="10">
        <v>5340</v>
      </c>
      <c r="G503" s="10" t="s">
        <v>15</v>
      </c>
      <c r="H503" s="10" t="s">
        <v>17</v>
      </c>
      <c r="I503" s="10" t="s">
        <v>18</v>
      </c>
      <c r="J503" s="10" t="s">
        <v>19</v>
      </c>
      <c r="K503" s="10" t="s">
        <v>19</v>
      </c>
      <c r="L503" s="10" t="s">
        <v>19</v>
      </c>
      <c r="M503" s="12"/>
      <c r="N503" s="10" t="s">
        <v>20</v>
      </c>
      <c r="O503" s="10" t="s">
        <v>2054</v>
      </c>
      <c r="P503" s="25" t="str">
        <f>IFERROR(
IF(OR(O503="anulado",O503="stand by"),CONCATENATE(O503,": ",H503),
IF(OR(YEAR(M503)=2022,YEAR(M503)=2023),CONCATENATE("Se activó en ",YEAR(M503)),
IF(AND(OR(O503="En proceso",O503="facturando"),AND(J503="-",M503="")),"Por revisar",
IF(M503="",IF(J503="NUEVAS",CONCATENATE("Estado: ",O503,", ",J503),
IF(L503=Meses!$A$3,"Por revisar",
IF(H503="","Sin registro","En programación Frcst."))),"En programación")))),
"Error")</f>
        <v>Por revisar</v>
      </c>
      <c r="Q503" s="9" t="str">
        <f t="shared" si="21"/>
        <v>programación de act. NO, estado: Facturando, Comercializador: ENEL, Etapa: Instalado y Activado</v>
      </c>
      <c r="R503" s="25" t="str">
        <f>IF(P503="En programación Frcst.",VLOOKUP(L503,Meses!$A$1:$H$14,3+HLOOKUP(Cronograma!J503,Meses!$D$1:$G$2,2,FALSE),FALSE),
IF(P503="En programación",M503,""))</f>
        <v/>
      </c>
      <c r="S503" s="25" t="str">
        <f t="shared" si="23"/>
        <v/>
      </c>
      <c r="T503" s="21" t="str">
        <f>IFERROR(
(VLOOKUP(MONTH(R503),Meses!$B$3:$C$14,2,FALSE)-DAY(R503))/VLOOKUP(MONTH(R503),Meses!$B$3:$C$14,2,FALSE)*U503,
"")</f>
        <v/>
      </c>
      <c r="U503" s="22">
        <f t="shared" si="22"/>
        <v>5340</v>
      </c>
    </row>
    <row r="504" spans="1:21" ht="32.4" hidden="1" thickBot="1" x14ac:dyDescent="0.6">
      <c r="A504" s="10" t="s">
        <v>580</v>
      </c>
      <c r="B504" s="10" t="s">
        <v>647</v>
      </c>
      <c r="C504" s="12">
        <v>45148</v>
      </c>
      <c r="D504" s="10" t="s">
        <v>14</v>
      </c>
      <c r="E504" s="10" t="s">
        <v>14</v>
      </c>
      <c r="F504" s="10">
        <v>390</v>
      </c>
      <c r="G504" s="10" t="s">
        <v>15</v>
      </c>
      <c r="H504" s="10" t="s">
        <v>17</v>
      </c>
      <c r="I504" s="10" t="s">
        <v>18</v>
      </c>
      <c r="J504" s="10" t="s">
        <v>19</v>
      </c>
      <c r="K504" s="10" t="s">
        <v>19</v>
      </c>
      <c r="L504" s="10" t="s">
        <v>19</v>
      </c>
      <c r="M504" s="12"/>
      <c r="N504" s="10" t="s">
        <v>20</v>
      </c>
      <c r="O504" s="10" t="s">
        <v>2054</v>
      </c>
      <c r="P504" s="25" t="str">
        <f>IFERROR(
IF(OR(O504="anulado",O504="stand by"),CONCATENATE(O504,": ",H504),
IF(OR(YEAR(M504)=2022,YEAR(M504)=2023),CONCATENATE("Se activó en ",YEAR(M504)),
IF(AND(OR(O504="En proceso",O504="facturando"),AND(J504="-",M504="")),"Por revisar",
IF(M504="",IF(J504="NUEVAS",CONCATENATE("Estado: ",O504,", ",J504),
IF(L504=Meses!$A$3,"Por revisar",
IF(H504="","Sin registro","En programación Frcst."))),"En programación")))),
"Error")</f>
        <v>Por revisar</v>
      </c>
      <c r="Q504" s="9" t="str">
        <f t="shared" si="21"/>
        <v>programación de act. NO, estado: Facturando, Comercializador: ENEL, Etapa: Instalado y Activado</v>
      </c>
      <c r="R504" s="25" t="str">
        <f>IF(P504="En programación Frcst.",VLOOKUP(L504,Meses!$A$1:$H$14,3+HLOOKUP(Cronograma!J504,Meses!$D$1:$G$2,2,FALSE),FALSE),
IF(P504="En programación",M504,""))</f>
        <v/>
      </c>
      <c r="S504" s="25" t="str">
        <f t="shared" si="23"/>
        <v/>
      </c>
      <c r="T504" s="21" t="str">
        <f>IFERROR(
(VLOOKUP(MONTH(R504),Meses!$B$3:$C$14,2,FALSE)-DAY(R504))/VLOOKUP(MONTH(R504),Meses!$B$3:$C$14,2,FALSE)*U504,
"")</f>
        <v/>
      </c>
      <c r="U504" s="22">
        <f t="shared" si="22"/>
        <v>390</v>
      </c>
    </row>
    <row r="505" spans="1:21" ht="32.4" hidden="1" thickBot="1" x14ac:dyDescent="0.6">
      <c r="A505" s="10" t="s">
        <v>580</v>
      </c>
      <c r="B505" s="10" t="s">
        <v>648</v>
      </c>
      <c r="C505" s="12">
        <v>45134</v>
      </c>
      <c r="D505" s="10" t="s">
        <v>14</v>
      </c>
      <c r="E505" s="10" t="s">
        <v>14</v>
      </c>
      <c r="F505" s="10">
        <v>4260</v>
      </c>
      <c r="G505" s="10" t="s">
        <v>15</v>
      </c>
      <c r="H505" s="10" t="s">
        <v>17</v>
      </c>
      <c r="I505" s="10" t="s">
        <v>18</v>
      </c>
      <c r="J505" s="10" t="s">
        <v>19</v>
      </c>
      <c r="K505" s="10" t="s">
        <v>19</v>
      </c>
      <c r="L505" s="10" t="s">
        <v>19</v>
      </c>
      <c r="M505" s="12"/>
      <c r="N505" s="10" t="s">
        <v>20</v>
      </c>
      <c r="O505" s="10" t="s">
        <v>2054</v>
      </c>
      <c r="P505" s="25" t="str">
        <f>IFERROR(
IF(OR(O505="anulado",O505="stand by"),CONCATENATE(O505,": ",H505),
IF(OR(YEAR(M505)=2022,YEAR(M505)=2023),CONCATENATE("Se activó en ",YEAR(M505)),
IF(AND(OR(O505="En proceso",O505="facturando"),AND(J505="-",M505="")),"Por revisar",
IF(M505="",IF(J505="NUEVAS",CONCATENATE("Estado: ",O505,", ",J505),
IF(L505=Meses!$A$3,"Por revisar",
IF(H505="","Sin registro","En programación Frcst."))),"En programación")))),
"Error")</f>
        <v>Por revisar</v>
      </c>
      <c r="Q505" s="9" t="str">
        <f t="shared" si="21"/>
        <v>programación de act. NO, estado: Facturando, Comercializador: ENEL, Etapa: Instalado y Activado</v>
      </c>
      <c r="R505" s="25" t="str">
        <f>IF(P505="En programación Frcst.",VLOOKUP(L505,Meses!$A$1:$H$14,3+HLOOKUP(Cronograma!J505,Meses!$D$1:$G$2,2,FALSE),FALSE),
IF(P505="En programación",M505,""))</f>
        <v/>
      </c>
      <c r="S505" s="25" t="str">
        <f t="shared" si="23"/>
        <v/>
      </c>
      <c r="T505" s="21" t="str">
        <f>IFERROR(
(VLOOKUP(MONTH(R505),Meses!$B$3:$C$14,2,FALSE)-DAY(R505))/VLOOKUP(MONTH(R505),Meses!$B$3:$C$14,2,FALSE)*U505,
"")</f>
        <v/>
      </c>
      <c r="U505" s="22">
        <f t="shared" si="22"/>
        <v>4260</v>
      </c>
    </row>
    <row r="506" spans="1:21" ht="32.4" hidden="1" thickBot="1" x14ac:dyDescent="0.6">
      <c r="A506" s="10" t="s">
        <v>580</v>
      </c>
      <c r="B506" s="10" t="s">
        <v>649</v>
      </c>
      <c r="C506" s="12">
        <v>45134</v>
      </c>
      <c r="D506" s="10" t="s">
        <v>14</v>
      </c>
      <c r="E506" s="10" t="s">
        <v>14</v>
      </c>
      <c r="F506" s="10">
        <v>77520</v>
      </c>
      <c r="G506" s="10" t="s">
        <v>15</v>
      </c>
      <c r="H506" s="10" t="s">
        <v>17</v>
      </c>
      <c r="I506" s="10" t="s">
        <v>18</v>
      </c>
      <c r="J506" s="10" t="s">
        <v>19</v>
      </c>
      <c r="K506" s="10" t="s">
        <v>19</v>
      </c>
      <c r="L506" s="10" t="s">
        <v>19</v>
      </c>
      <c r="M506" s="12"/>
      <c r="N506" s="10" t="s">
        <v>20</v>
      </c>
      <c r="O506" s="10" t="s">
        <v>2054</v>
      </c>
      <c r="P506" s="25" t="str">
        <f>IFERROR(
IF(OR(O506="anulado",O506="stand by"),CONCATENATE(O506,": ",H506),
IF(OR(YEAR(M506)=2022,YEAR(M506)=2023),CONCATENATE("Se activó en ",YEAR(M506)),
IF(AND(OR(O506="En proceso",O506="facturando"),AND(J506="-",M506="")),"Por revisar",
IF(M506="",IF(J506="NUEVAS",CONCATENATE("Estado: ",O506,", ",J506),
IF(L506=Meses!$A$3,"Por revisar",
IF(H506="","Sin registro","En programación Frcst."))),"En programación")))),
"Error")</f>
        <v>Por revisar</v>
      </c>
      <c r="Q506" s="9" t="str">
        <f t="shared" si="21"/>
        <v>programación de act. NO, estado: Facturando, Comercializador: ENEL, Etapa: Instalado y Activado</v>
      </c>
      <c r="R506" s="25" t="str">
        <f>IF(P506="En programación Frcst.",VLOOKUP(L506,Meses!$A$1:$H$14,3+HLOOKUP(Cronograma!J506,Meses!$D$1:$G$2,2,FALSE),FALSE),
IF(P506="En programación",M506,""))</f>
        <v/>
      </c>
      <c r="S506" s="25" t="str">
        <f t="shared" si="23"/>
        <v/>
      </c>
      <c r="T506" s="21" t="str">
        <f>IFERROR(
(VLOOKUP(MONTH(R506),Meses!$B$3:$C$14,2,FALSE)-DAY(R506))/VLOOKUP(MONTH(R506),Meses!$B$3:$C$14,2,FALSE)*U506,
"")</f>
        <v/>
      </c>
      <c r="U506" s="22">
        <f t="shared" si="22"/>
        <v>77520</v>
      </c>
    </row>
    <row r="507" spans="1:21" ht="32.4" hidden="1" thickBot="1" x14ac:dyDescent="0.6">
      <c r="A507" s="10" t="s">
        <v>650</v>
      </c>
      <c r="B507" s="10" t="s">
        <v>651</v>
      </c>
      <c r="C507" s="12">
        <v>45113</v>
      </c>
      <c r="D507" s="10" t="s">
        <v>14</v>
      </c>
      <c r="E507" s="10" t="s">
        <v>14</v>
      </c>
      <c r="F507" s="10">
        <v>2773</v>
      </c>
      <c r="G507" s="10" t="s">
        <v>15</v>
      </c>
      <c r="H507" s="10" t="s">
        <v>17</v>
      </c>
      <c r="I507" s="10" t="s">
        <v>18</v>
      </c>
      <c r="J507" s="10" t="s">
        <v>19</v>
      </c>
      <c r="K507" s="10" t="s">
        <v>19</v>
      </c>
      <c r="L507" s="10" t="s">
        <v>19</v>
      </c>
      <c r="M507" s="12"/>
      <c r="N507" s="10" t="s">
        <v>20</v>
      </c>
      <c r="O507" s="10" t="s">
        <v>2054</v>
      </c>
      <c r="P507" s="25" t="str">
        <f>IFERROR(
IF(OR(O507="anulado",O507="stand by"),CONCATENATE(O507,": ",H507),
IF(OR(YEAR(M507)=2022,YEAR(M507)=2023),CONCATENATE("Se activó en ",YEAR(M507)),
IF(AND(OR(O507="En proceso",O507="facturando"),AND(J507="-",M507="")),"Por revisar",
IF(M507="",IF(J507="NUEVAS",CONCATENATE("Estado: ",O507,", ",J507),
IF(L507=Meses!$A$3,"Por revisar",
IF(H507="","Sin registro","En programación Frcst."))),"En programación")))),
"Error")</f>
        <v>Por revisar</v>
      </c>
      <c r="Q507" s="9" t="str">
        <f t="shared" si="21"/>
        <v>programación de act. NO, estado: Facturando, Comercializador: ENEL, Etapa: Instalado y Activado</v>
      </c>
      <c r="R507" s="25" t="str">
        <f>IF(P507="En programación Frcst.",VLOOKUP(L507,Meses!$A$1:$H$14,3+HLOOKUP(Cronograma!J507,Meses!$D$1:$G$2,2,FALSE),FALSE),
IF(P507="En programación",M507,""))</f>
        <v/>
      </c>
      <c r="S507" s="25" t="str">
        <f t="shared" si="23"/>
        <v/>
      </c>
      <c r="T507" s="21" t="str">
        <f>IFERROR(
(VLOOKUP(MONTH(R507),Meses!$B$3:$C$14,2,FALSE)-DAY(R507))/VLOOKUP(MONTH(R507),Meses!$B$3:$C$14,2,FALSE)*U507,
"")</f>
        <v/>
      </c>
      <c r="U507" s="22">
        <f t="shared" si="22"/>
        <v>2773</v>
      </c>
    </row>
    <row r="508" spans="1:21" ht="125.4" hidden="1" thickBot="1" x14ac:dyDescent="0.6">
      <c r="A508" s="10" t="s">
        <v>652</v>
      </c>
      <c r="B508" s="10" t="s">
        <v>653</v>
      </c>
      <c r="C508" s="12">
        <v>45085</v>
      </c>
      <c r="D508" s="10" t="s">
        <v>654</v>
      </c>
      <c r="E508" s="10" t="s">
        <v>298</v>
      </c>
      <c r="F508" s="10">
        <v>0</v>
      </c>
      <c r="G508" s="10" t="s">
        <v>61</v>
      </c>
      <c r="H508" s="10" t="s">
        <v>17</v>
      </c>
      <c r="I508" s="10" t="s">
        <v>66</v>
      </c>
      <c r="J508" s="10" t="s">
        <v>19</v>
      </c>
      <c r="K508" s="10" t="s">
        <v>19</v>
      </c>
      <c r="L508" s="10" t="s">
        <v>19</v>
      </c>
      <c r="M508" s="12"/>
      <c r="N508" s="10" t="s">
        <v>20</v>
      </c>
      <c r="O508" s="10" t="s">
        <v>2054</v>
      </c>
      <c r="P508" s="25" t="str">
        <f>IFERROR(
IF(OR(O508="anulado",O508="stand by"),CONCATENATE(O508,": ",H508),
IF(OR(YEAR(M508)=2022,YEAR(M508)=2023),CONCATENATE("Se activó en ",YEAR(M508)),
IF(AND(OR(O508="En proceso",O508="facturando"),AND(J508="-",M508="")),"Por revisar",
IF(M508="",IF(J508="NUEVAS",CONCATENATE("Estado: ",O508,", ",J508),
IF(L508=Meses!$A$3,"Por revisar",
IF(H508="","Sin registro","En programación Frcst."))),"En programación")))),
"Error")</f>
        <v>Por revisar</v>
      </c>
      <c r="Q508" s="9" t="str">
        <f t="shared" si="21"/>
        <v>programación de act. NO, estado: Facturando, Comercializador: QI ENERGY, Etapa: Instalado y Activado</v>
      </c>
      <c r="R508" s="25" t="str">
        <f>IF(P508="En programación Frcst.",VLOOKUP(L508,Meses!$A$1:$H$14,3+HLOOKUP(Cronograma!J508,Meses!$D$1:$G$2,2,FALSE),FALSE),
IF(P508="En programación",M508,""))</f>
        <v/>
      </c>
      <c r="S508" s="25" t="str">
        <f t="shared" si="23"/>
        <v/>
      </c>
      <c r="T508" s="21" t="str">
        <f>IFERROR(
(VLOOKUP(MONTH(R508),Meses!$B$3:$C$14,2,FALSE)-DAY(R508))/VLOOKUP(MONTH(R508),Meses!$B$3:$C$14,2,FALSE)*U508,
"")</f>
        <v/>
      </c>
      <c r="U508" s="22">
        <f t="shared" si="22"/>
        <v>0</v>
      </c>
    </row>
    <row r="509" spans="1:21" ht="32.4" hidden="1" thickBot="1" x14ac:dyDescent="0.6">
      <c r="A509" s="10" t="s">
        <v>655</v>
      </c>
      <c r="B509" s="10" t="s">
        <v>656</v>
      </c>
      <c r="C509" s="12">
        <v>45085</v>
      </c>
      <c r="D509" s="10" t="s">
        <v>657</v>
      </c>
      <c r="E509" s="10" t="s">
        <v>657</v>
      </c>
      <c r="F509" s="10">
        <v>2346</v>
      </c>
      <c r="G509" s="10" t="s">
        <v>15</v>
      </c>
      <c r="H509" s="10" t="s">
        <v>17</v>
      </c>
      <c r="I509" s="10" t="s">
        <v>18</v>
      </c>
      <c r="J509" s="10" t="s">
        <v>19</v>
      </c>
      <c r="K509" s="10" t="s">
        <v>19</v>
      </c>
      <c r="L509" s="10" t="s">
        <v>19</v>
      </c>
      <c r="M509" s="12"/>
      <c r="N509" s="10" t="s">
        <v>20</v>
      </c>
      <c r="O509" s="10" t="s">
        <v>2054</v>
      </c>
      <c r="P509" s="25" t="str">
        <f>IFERROR(
IF(OR(O509="anulado",O509="stand by"),CONCATENATE(O509,": ",H509),
IF(OR(YEAR(M509)=2022,YEAR(M509)=2023),CONCATENATE("Se activó en ",YEAR(M509)),
IF(AND(OR(O509="En proceso",O509="facturando"),AND(J509="-",M509="")),"Por revisar",
IF(M509="",IF(J509="NUEVAS",CONCATENATE("Estado: ",O509,", ",J509),
IF(L509=Meses!$A$3,"Por revisar",
IF(H509="","Sin registro","En programación Frcst."))),"En programación")))),
"Error")</f>
        <v>Por revisar</v>
      </c>
      <c r="Q509" s="9" t="str">
        <f t="shared" si="21"/>
        <v>programación de act. NO, estado: Facturando, Comercializador: EDEQ, Etapa: Instalado y Activado</v>
      </c>
      <c r="R509" s="25" t="str">
        <f>IF(P509="En programación Frcst.",VLOOKUP(L509,Meses!$A$1:$H$14,3+HLOOKUP(Cronograma!J509,Meses!$D$1:$G$2,2,FALSE),FALSE),
IF(P509="En programación",M509,""))</f>
        <v/>
      </c>
      <c r="S509" s="25" t="str">
        <f t="shared" si="23"/>
        <v/>
      </c>
      <c r="T509" s="21" t="str">
        <f>IFERROR(
(VLOOKUP(MONTH(R509),Meses!$B$3:$C$14,2,FALSE)-DAY(R509))/VLOOKUP(MONTH(R509),Meses!$B$3:$C$14,2,FALSE)*U509,
"")</f>
        <v/>
      </c>
      <c r="U509" s="22">
        <f t="shared" si="22"/>
        <v>2346</v>
      </c>
    </row>
    <row r="510" spans="1:21" ht="32.4" hidden="1" thickBot="1" x14ac:dyDescent="0.6">
      <c r="A510" s="10" t="s">
        <v>655</v>
      </c>
      <c r="B510" s="10" t="s">
        <v>658</v>
      </c>
      <c r="C510" s="12">
        <v>45085</v>
      </c>
      <c r="D510" s="10" t="s">
        <v>188</v>
      </c>
      <c r="E510" s="10" t="s">
        <v>188</v>
      </c>
      <c r="F510" s="10">
        <v>482</v>
      </c>
      <c r="G510" s="10" t="s">
        <v>15</v>
      </c>
      <c r="H510" s="10" t="s">
        <v>17</v>
      </c>
      <c r="I510" s="10" t="s">
        <v>43</v>
      </c>
      <c r="J510" s="10" t="s">
        <v>19</v>
      </c>
      <c r="K510" s="10" t="s">
        <v>19</v>
      </c>
      <c r="L510" s="10" t="s">
        <v>19</v>
      </c>
      <c r="M510" s="12"/>
      <c r="N510" s="10" t="s">
        <v>20</v>
      </c>
      <c r="O510" s="10" t="s">
        <v>2054</v>
      </c>
      <c r="P510" s="25" t="str">
        <f>IFERROR(
IF(OR(O510="anulado",O510="stand by"),CONCATENATE(O510,": ",H510),
IF(OR(YEAR(M510)=2022,YEAR(M510)=2023),CONCATENATE("Se activó en ",YEAR(M510)),
IF(AND(OR(O510="En proceso",O510="facturando"),AND(J510="-",M510="")),"Por revisar",
IF(M510="",IF(J510="NUEVAS",CONCATENATE("Estado: ",O510,", ",J510),
IF(L510=Meses!$A$3,"Por revisar",
IF(H510="","Sin registro","En programación Frcst."))),"En programación")))),
"Error")</f>
        <v>Por revisar</v>
      </c>
      <c r="Q510" s="9" t="str">
        <f t="shared" si="21"/>
        <v>programación de act. NO, estado: Facturando, Comercializador: CHEC, Etapa: Instalado y Activado</v>
      </c>
      <c r="R510" s="25" t="str">
        <f>IF(P510="En programación Frcst.",VLOOKUP(L510,Meses!$A$1:$H$14,3+HLOOKUP(Cronograma!J510,Meses!$D$1:$G$2,2,FALSE),FALSE),
IF(P510="En programación",M510,""))</f>
        <v/>
      </c>
      <c r="S510" s="25" t="str">
        <f t="shared" si="23"/>
        <v/>
      </c>
      <c r="T510" s="21" t="str">
        <f>IFERROR(
(VLOOKUP(MONTH(R510),Meses!$B$3:$C$14,2,FALSE)-DAY(R510))/VLOOKUP(MONTH(R510),Meses!$B$3:$C$14,2,FALSE)*U510,
"")</f>
        <v/>
      </c>
      <c r="U510" s="22">
        <f t="shared" si="22"/>
        <v>482</v>
      </c>
    </row>
    <row r="511" spans="1:21" ht="32.4" hidden="1" thickBot="1" x14ac:dyDescent="0.6">
      <c r="A511" s="10" t="s">
        <v>655</v>
      </c>
      <c r="B511" s="10" t="s">
        <v>659</v>
      </c>
      <c r="C511" s="12">
        <v>45085</v>
      </c>
      <c r="D511" s="10" t="s">
        <v>188</v>
      </c>
      <c r="E511" s="10" t="s">
        <v>188</v>
      </c>
      <c r="F511" s="10">
        <v>1289</v>
      </c>
      <c r="G511" s="10" t="s">
        <v>15</v>
      </c>
      <c r="H511" s="10" t="s">
        <v>17</v>
      </c>
      <c r="I511" s="10" t="s">
        <v>43</v>
      </c>
      <c r="J511" s="10" t="s">
        <v>19</v>
      </c>
      <c r="K511" s="10" t="s">
        <v>19</v>
      </c>
      <c r="L511" s="10" t="s">
        <v>19</v>
      </c>
      <c r="M511" s="12"/>
      <c r="N511" s="10" t="s">
        <v>20</v>
      </c>
      <c r="O511" s="10" t="s">
        <v>2054</v>
      </c>
      <c r="P511" s="25" t="str">
        <f>IFERROR(
IF(OR(O511="anulado",O511="stand by"),CONCATENATE(O511,": ",H511),
IF(OR(YEAR(M511)=2022,YEAR(M511)=2023),CONCATENATE("Se activó en ",YEAR(M511)),
IF(AND(OR(O511="En proceso",O511="facturando"),AND(J511="-",M511="")),"Por revisar",
IF(M511="",IF(J511="NUEVAS",CONCATENATE("Estado: ",O511,", ",J511),
IF(L511=Meses!$A$3,"Por revisar",
IF(H511="","Sin registro","En programación Frcst."))),"En programación")))),
"Error")</f>
        <v>Por revisar</v>
      </c>
      <c r="Q511" s="9" t="str">
        <f t="shared" si="21"/>
        <v>programación de act. NO, estado: Facturando, Comercializador: CHEC, Etapa: Instalado y Activado</v>
      </c>
      <c r="R511" s="25" t="str">
        <f>IF(P511="En programación Frcst.",VLOOKUP(L511,Meses!$A$1:$H$14,3+HLOOKUP(Cronograma!J511,Meses!$D$1:$G$2,2,FALSE),FALSE),
IF(P511="En programación",M511,""))</f>
        <v/>
      </c>
      <c r="S511" s="25" t="str">
        <f t="shared" si="23"/>
        <v/>
      </c>
      <c r="T511" s="21" t="str">
        <f>IFERROR(
(VLOOKUP(MONTH(R511),Meses!$B$3:$C$14,2,FALSE)-DAY(R511))/VLOOKUP(MONTH(R511),Meses!$B$3:$C$14,2,FALSE)*U511,
"")</f>
        <v/>
      </c>
      <c r="U511" s="22">
        <f t="shared" si="22"/>
        <v>1289</v>
      </c>
    </row>
    <row r="512" spans="1:21" ht="32.4" hidden="1" thickBot="1" x14ac:dyDescent="0.6">
      <c r="A512" s="10" t="s">
        <v>655</v>
      </c>
      <c r="B512" s="10" t="s">
        <v>660</v>
      </c>
      <c r="C512" s="12">
        <v>45085</v>
      </c>
      <c r="D512" s="10" t="s">
        <v>188</v>
      </c>
      <c r="E512" s="10" t="s">
        <v>188</v>
      </c>
      <c r="F512" s="10">
        <v>1522</v>
      </c>
      <c r="G512" s="10" t="s">
        <v>15</v>
      </c>
      <c r="H512" s="10" t="s">
        <v>17</v>
      </c>
      <c r="I512" s="10" t="s">
        <v>43</v>
      </c>
      <c r="J512" s="10" t="s">
        <v>19</v>
      </c>
      <c r="K512" s="10" t="s">
        <v>19</v>
      </c>
      <c r="L512" s="10" t="s">
        <v>19</v>
      </c>
      <c r="M512" s="12"/>
      <c r="N512" s="10" t="s">
        <v>20</v>
      </c>
      <c r="O512" s="10" t="s">
        <v>2054</v>
      </c>
      <c r="P512" s="25" t="str">
        <f>IFERROR(
IF(OR(O512="anulado",O512="stand by"),CONCATENATE(O512,": ",H512),
IF(OR(YEAR(M512)=2022,YEAR(M512)=2023),CONCATENATE("Se activó en ",YEAR(M512)),
IF(AND(OR(O512="En proceso",O512="facturando"),AND(J512="-",M512="")),"Por revisar",
IF(M512="",IF(J512="NUEVAS",CONCATENATE("Estado: ",O512,", ",J512),
IF(L512=Meses!$A$3,"Por revisar",
IF(H512="","Sin registro","En programación Frcst."))),"En programación")))),
"Error")</f>
        <v>Por revisar</v>
      </c>
      <c r="Q512" s="9" t="str">
        <f t="shared" si="21"/>
        <v>programación de act. NO, estado: Facturando, Comercializador: CHEC, Etapa: Instalado y Activado</v>
      </c>
      <c r="R512" s="25" t="str">
        <f>IF(P512="En programación Frcst.",VLOOKUP(L512,Meses!$A$1:$H$14,3+HLOOKUP(Cronograma!J512,Meses!$D$1:$G$2,2,FALSE),FALSE),
IF(P512="En programación",M512,""))</f>
        <v/>
      </c>
      <c r="S512" s="25" t="str">
        <f t="shared" si="23"/>
        <v/>
      </c>
      <c r="T512" s="21" t="str">
        <f>IFERROR(
(VLOOKUP(MONTH(R512),Meses!$B$3:$C$14,2,FALSE)-DAY(R512))/VLOOKUP(MONTH(R512),Meses!$B$3:$C$14,2,FALSE)*U512,
"")</f>
        <v/>
      </c>
      <c r="U512" s="22">
        <f t="shared" si="22"/>
        <v>1522</v>
      </c>
    </row>
    <row r="513" spans="1:21" ht="32.4" hidden="1" thickBot="1" x14ac:dyDescent="0.6">
      <c r="A513" s="10" t="s">
        <v>655</v>
      </c>
      <c r="B513" s="10" t="s">
        <v>661</v>
      </c>
      <c r="C513" s="12">
        <v>45085</v>
      </c>
      <c r="D513" s="10" t="s">
        <v>23</v>
      </c>
      <c r="E513" s="10" t="s">
        <v>23</v>
      </c>
      <c r="F513" s="10">
        <v>2158</v>
      </c>
      <c r="G513" s="10" t="s">
        <v>15</v>
      </c>
      <c r="H513" s="10" t="s">
        <v>17</v>
      </c>
      <c r="I513" s="10" t="s">
        <v>43</v>
      </c>
      <c r="J513" s="10" t="s">
        <v>19</v>
      </c>
      <c r="K513" s="10" t="s">
        <v>19</v>
      </c>
      <c r="L513" s="10" t="s">
        <v>19</v>
      </c>
      <c r="M513" s="12"/>
      <c r="N513" s="10" t="s">
        <v>20</v>
      </c>
      <c r="O513" s="10" t="s">
        <v>2054</v>
      </c>
      <c r="P513" s="25" t="str">
        <f>IFERROR(
IF(OR(O513="anulado",O513="stand by"),CONCATENATE(O513,": ",H513),
IF(OR(YEAR(M513)=2022,YEAR(M513)=2023),CONCATENATE("Se activó en ",YEAR(M513)),
IF(AND(OR(O513="En proceso",O513="facturando"),AND(J513="-",M513="")),"Por revisar",
IF(M513="",IF(J513="NUEVAS",CONCATENATE("Estado: ",O513,", ",J513),
IF(L513=Meses!$A$3,"Por revisar",
IF(H513="","Sin registro","En programación Frcst."))),"En programación")))),
"Error")</f>
        <v>Por revisar</v>
      </c>
      <c r="Q513" s="9" t="str">
        <f t="shared" si="21"/>
        <v>programación de act. NO, estado: Facturando, Comercializador: EMCALI, Etapa: Instalado y Activado</v>
      </c>
      <c r="R513" s="25" t="str">
        <f>IF(P513="En programación Frcst.",VLOOKUP(L513,Meses!$A$1:$H$14,3+HLOOKUP(Cronograma!J513,Meses!$D$1:$G$2,2,FALSE),FALSE),
IF(P513="En programación",M513,""))</f>
        <v/>
      </c>
      <c r="S513" s="25" t="str">
        <f t="shared" si="23"/>
        <v/>
      </c>
      <c r="T513" s="21" t="str">
        <f>IFERROR(
(VLOOKUP(MONTH(R513),Meses!$B$3:$C$14,2,FALSE)-DAY(R513))/VLOOKUP(MONTH(R513),Meses!$B$3:$C$14,2,FALSE)*U513,
"")</f>
        <v/>
      </c>
      <c r="U513" s="22">
        <f t="shared" si="22"/>
        <v>2158</v>
      </c>
    </row>
    <row r="514" spans="1:21" ht="32.4" hidden="1" thickBot="1" x14ac:dyDescent="0.6">
      <c r="A514" s="10" t="s">
        <v>655</v>
      </c>
      <c r="B514" s="10" t="s">
        <v>662</v>
      </c>
      <c r="C514" s="12">
        <v>45085</v>
      </c>
      <c r="D514" s="10" t="s">
        <v>156</v>
      </c>
      <c r="E514" s="10" t="s">
        <v>156</v>
      </c>
      <c r="F514" s="10">
        <v>3380</v>
      </c>
      <c r="G514" s="10" t="s">
        <v>15</v>
      </c>
      <c r="H514" s="10" t="s">
        <v>17</v>
      </c>
      <c r="I514" s="10" t="s">
        <v>43</v>
      </c>
      <c r="J514" s="10" t="s">
        <v>19</v>
      </c>
      <c r="K514" s="10" t="s">
        <v>19</v>
      </c>
      <c r="L514" s="10" t="s">
        <v>19</v>
      </c>
      <c r="M514" s="12"/>
      <c r="N514" s="10" t="s">
        <v>20</v>
      </c>
      <c r="O514" s="10" t="s">
        <v>2054</v>
      </c>
      <c r="P514" s="25" t="str">
        <f>IFERROR(
IF(OR(O514="anulado",O514="stand by"),CONCATENATE(O514,": ",H514),
IF(OR(YEAR(M514)=2022,YEAR(M514)=2023),CONCATENATE("Se activó en ",YEAR(M514)),
IF(AND(OR(O514="En proceso",O514="facturando"),AND(J514="-",M514="")),"Por revisar",
IF(M514="",IF(J514="NUEVAS",CONCATENATE("Estado: ",O514,", ",J514),
IF(L514=Meses!$A$3,"Por revisar",
IF(H514="","Sin registro","En programación Frcst."))),"En programación")))),
"Error")</f>
        <v>Por revisar</v>
      </c>
      <c r="Q514" s="9" t="str">
        <f t="shared" ref="Q514:Q577" si="24">IF(P514="Por revisar",CONCATENATE("programación de act. ",N514,", estado: ",O514,", Comercializador: ",D514,", Etapa: ",H514),"")</f>
        <v>programación de act. NO, estado: Facturando, Comercializador: ESSA, Etapa: Instalado y Activado</v>
      </c>
      <c r="R514" s="25" t="str">
        <f>IF(P514="En programación Frcst.",VLOOKUP(L514,Meses!$A$1:$H$14,3+HLOOKUP(Cronograma!J514,Meses!$D$1:$G$2,2,FALSE),FALSE),
IF(P514="En programación",M514,""))</f>
        <v/>
      </c>
      <c r="S514" s="25" t="str">
        <f t="shared" si="23"/>
        <v/>
      </c>
      <c r="T514" s="21" t="str">
        <f>IFERROR(
(VLOOKUP(MONTH(R514),Meses!$B$3:$C$14,2,FALSE)-DAY(R514))/VLOOKUP(MONTH(R514),Meses!$B$3:$C$14,2,FALSE)*U514,
"")</f>
        <v/>
      </c>
      <c r="U514" s="22">
        <f t="shared" ref="U514:U577" si="25">F514</f>
        <v>3380</v>
      </c>
    </row>
    <row r="515" spans="1:21" ht="32.4" hidden="1" thickBot="1" x14ac:dyDescent="0.6">
      <c r="A515" s="10" t="s">
        <v>655</v>
      </c>
      <c r="B515" s="10" t="s">
        <v>663</v>
      </c>
      <c r="C515" s="12">
        <v>45085</v>
      </c>
      <c r="D515" s="10" t="s">
        <v>74</v>
      </c>
      <c r="E515" s="10" t="s">
        <v>74</v>
      </c>
      <c r="F515" s="10">
        <v>3300</v>
      </c>
      <c r="G515" s="10" t="s">
        <v>15</v>
      </c>
      <c r="H515" s="10" t="s">
        <v>17</v>
      </c>
      <c r="I515" s="10" t="s">
        <v>43</v>
      </c>
      <c r="J515" s="10" t="s">
        <v>19</v>
      </c>
      <c r="K515" s="10" t="s">
        <v>19</v>
      </c>
      <c r="L515" s="10" t="s">
        <v>19</v>
      </c>
      <c r="M515" s="12"/>
      <c r="N515" s="10" t="s">
        <v>20</v>
      </c>
      <c r="O515" s="10" t="s">
        <v>2054</v>
      </c>
      <c r="P515" s="25" t="str">
        <f>IFERROR(
IF(OR(O515="anulado",O515="stand by"),CONCATENATE(O515,": ",H515),
IF(OR(YEAR(M515)=2022,YEAR(M515)=2023),CONCATENATE("Se activó en ",YEAR(M515)),
IF(AND(OR(O515="En proceso",O515="facturando"),AND(J515="-",M515="")),"Por revisar",
IF(M515="",IF(J515="NUEVAS",CONCATENATE("Estado: ",O515,", ",J515),
IF(L515=Meses!$A$3,"Por revisar",
IF(H515="","Sin registro","En programación Frcst."))),"En programación")))),
"Error")</f>
        <v>Por revisar</v>
      </c>
      <c r="Q515" s="9" t="str">
        <f t="shared" si="24"/>
        <v>programación de act. NO, estado: Facturando, Comercializador: AIR-E, Etapa: Instalado y Activado</v>
      </c>
      <c r="R515" s="25" t="str">
        <f>IF(P515="En programación Frcst.",VLOOKUP(L515,Meses!$A$1:$H$14,3+HLOOKUP(Cronograma!J515,Meses!$D$1:$G$2,2,FALSE),FALSE),
IF(P515="En programación",M515,""))</f>
        <v/>
      </c>
      <c r="S515" s="25" t="str">
        <f t="shared" ref="S515:S578" si="26">IFERROR(CONCATENATE(YEAR(R515),"/",MONTH(R515)),"")</f>
        <v/>
      </c>
      <c r="T515" s="21" t="str">
        <f>IFERROR(
(VLOOKUP(MONTH(R515),Meses!$B$3:$C$14,2,FALSE)-DAY(R515))/VLOOKUP(MONTH(R515),Meses!$B$3:$C$14,2,FALSE)*U515,
"")</f>
        <v/>
      </c>
      <c r="U515" s="22">
        <f t="shared" si="25"/>
        <v>3300</v>
      </c>
    </row>
    <row r="516" spans="1:21" ht="32.4" hidden="1" thickBot="1" x14ac:dyDescent="0.6">
      <c r="A516" s="10" t="s">
        <v>655</v>
      </c>
      <c r="B516" s="10" t="s">
        <v>664</v>
      </c>
      <c r="C516" s="12">
        <v>45085</v>
      </c>
      <c r="D516" s="10" t="s">
        <v>74</v>
      </c>
      <c r="E516" s="10" t="s">
        <v>74</v>
      </c>
      <c r="F516" s="10">
        <v>0</v>
      </c>
      <c r="G516" s="10" t="s">
        <v>15</v>
      </c>
      <c r="H516" s="10" t="s">
        <v>17</v>
      </c>
      <c r="I516" s="10" t="s">
        <v>43</v>
      </c>
      <c r="J516" s="10" t="s">
        <v>19</v>
      </c>
      <c r="K516" s="10" t="s">
        <v>19</v>
      </c>
      <c r="L516" s="10" t="s">
        <v>19</v>
      </c>
      <c r="M516" s="12"/>
      <c r="N516" s="10" t="s">
        <v>20</v>
      </c>
      <c r="O516" s="10" t="s">
        <v>2054</v>
      </c>
      <c r="P516" s="25" t="str">
        <f>IFERROR(
IF(OR(O516="anulado",O516="stand by"),CONCATENATE(O516,": ",H516),
IF(OR(YEAR(M516)=2022,YEAR(M516)=2023),CONCATENATE("Se activó en ",YEAR(M516)),
IF(AND(OR(O516="En proceso",O516="facturando"),AND(J516="-",M516="")),"Por revisar",
IF(M516="",IF(J516="NUEVAS",CONCATENATE("Estado: ",O516,", ",J516),
IF(L516=Meses!$A$3,"Por revisar",
IF(H516="","Sin registro","En programación Frcst."))),"En programación")))),
"Error")</f>
        <v>Por revisar</v>
      </c>
      <c r="Q516" s="9" t="str">
        <f t="shared" si="24"/>
        <v>programación de act. NO, estado: Facturando, Comercializador: AIR-E, Etapa: Instalado y Activado</v>
      </c>
      <c r="R516" s="25" t="str">
        <f>IF(P516="En programación Frcst.",VLOOKUP(L516,Meses!$A$1:$H$14,3+HLOOKUP(Cronograma!J516,Meses!$D$1:$G$2,2,FALSE),FALSE),
IF(P516="En programación",M516,""))</f>
        <v/>
      </c>
      <c r="S516" s="25" t="str">
        <f t="shared" si="26"/>
        <v/>
      </c>
      <c r="T516" s="21" t="str">
        <f>IFERROR(
(VLOOKUP(MONTH(R516),Meses!$B$3:$C$14,2,FALSE)-DAY(R516))/VLOOKUP(MONTH(R516),Meses!$B$3:$C$14,2,FALSE)*U516,
"")</f>
        <v/>
      </c>
      <c r="U516" s="22">
        <f t="shared" si="25"/>
        <v>0</v>
      </c>
    </row>
    <row r="517" spans="1:21" ht="32.4" hidden="1" thickBot="1" x14ac:dyDescent="0.6">
      <c r="A517" s="10" t="s">
        <v>655</v>
      </c>
      <c r="B517" s="10" t="s">
        <v>665</v>
      </c>
      <c r="C517" s="12">
        <v>45085</v>
      </c>
      <c r="D517" s="10" t="s">
        <v>74</v>
      </c>
      <c r="E517" s="10" t="s">
        <v>74</v>
      </c>
      <c r="F517" s="10">
        <v>4183</v>
      </c>
      <c r="G517" s="10" t="s">
        <v>15</v>
      </c>
      <c r="H517" s="10" t="s">
        <v>17</v>
      </c>
      <c r="I517" s="10" t="s">
        <v>43</v>
      </c>
      <c r="J517" s="10" t="s">
        <v>19</v>
      </c>
      <c r="K517" s="10" t="s">
        <v>19</v>
      </c>
      <c r="L517" s="10" t="s">
        <v>19</v>
      </c>
      <c r="M517" s="12"/>
      <c r="N517" s="10" t="s">
        <v>20</v>
      </c>
      <c r="O517" s="10" t="s">
        <v>2054</v>
      </c>
      <c r="P517" s="25" t="str">
        <f>IFERROR(
IF(OR(O517="anulado",O517="stand by"),CONCATENATE(O517,": ",H517),
IF(OR(YEAR(M517)=2022,YEAR(M517)=2023),CONCATENATE("Se activó en ",YEAR(M517)),
IF(AND(OR(O517="En proceso",O517="facturando"),AND(J517="-",M517="")),"Por revisar",
IF(M517="",IF(J517="NUEVAS",CONCATENATE("Estado: ",O517,", ",J517),
IF(L517=Meses!$A$3,"Por revisar",
IF(H517="","Sin registro","En programación Frcst."))),"En programación")))),
"Error")</f>
        <v>Por revisar</v>
      </c>
      <c r="Q517" s="9" t="str">
        <f t="shared" si="24"/>
        <v>programación de act. NO, estado: Facturando, Comercializador: AIR-E, Etapa: Instalado y Activado</v>
      </c>
      <c r="R517" s="25" t="str">
        <f>IF(P517="En programación Frcst.",VLOOKUP(L517,Meses!$A$1:$H$14,3+HLOOKUP(Cronograma!J517,Meses!$D$1:$G$2,2,FALSE),FALSE),
IF(P517="En programación",M517,""))</f>
        <v/>
      </c>
      <c r="S517" s="25" t="str">
        <f t="shared" si="26"/>
        <v/>
      </c>
      <c r="T517" s="21" t="str">
        <f>IFERROR(
(VLOOKUP(MONTH(R517),Meses!$B$3:$C$14,2,FALSE)-DAY(R517))/VLOOKUP(MONTH(R517),Meses!$B$3:$C$14,2,FALSE)*U517,
"")</f>
        <v/>
      </c>
      <c r="U517" s="22">
        <f t="shared" si="25"/>
        <v>4183</v>
      </c>
    </row>
    <row r="518" spans="1:21" ht="32.4" hidden="1" thickBot="1" x14ac:dyDescent="0.6">
      <c r="A518" s="10" t="s">
        <v>655</v>
      </c>
      <c r="B518" s="10" t="s">
        <v>666</v>
      </c>
      <c r="C518" s="12">
        <v>45085</v>
      </c>
      <c r="D518" s="10" t="s">
        <v>44</v>
      </c>
      <c r="E518" s="10" t="s">
        <v>44</v>
      </c>
      <c r="F518" s="10">
        <v>4556</v>
      </c>
      <c r="G518" s="10" t="s">
        <v>15</v>
      </c>
      <c r="H518" s="10" t="s">
        <v>17</v>
      </c>
      <c r="I518" s="10" t="s">
        <v>43</v>
      </c>
      <c r="J518" s="10" t="s">
        <v>19</v>
      </c>
      <c r="K518" s="10" t="s">
        <v>19</v>
      </c>
      <c r="L518" s="10" t="s">
        <v>19</v>
      </c>
      <c r="M518" s="12"/>
      <c r="N518" s="10" t="s">
        <v>20</v>
      </c>
      <c r="O518" s="10" t="s">
        <v>2054</v>
      </c>
      <c r="P518" s="25" t="str">
        <f>IFERROR(
IF(OR(O518="anulado",O518="stand by"),CONCATENATE(O518,": ",H518),
IF(OR(YEAR(M518)=2022,YEAR(M518)=2023),CONCATENATE("Se activó en ",YEAR(M518)),
IF(AND(OR(O518="En proceso",O518="facturando"),AND(J518="-",M518="")),"Por revisar",
IF(M518="",IF(J518="NUEVAS",CONCATENATE("Estado: ",O518,", ",J518),
IF(L518=Meses!$A$3,"Por revisar",
IF(H518="","Sin registro","En programación Frcst."))),"En programación")))),
"Error")</f>
        <v>Por revisar</v>
      </c>
      <c r="Q518" s="9" t="str">
        <f t="shared" si="24"/>
        <v>programación de act. NO, estado: Facturando, Comercializador: AFINIA, Etapa: Instalado y Activado</v>
      </c>
      <c r="R518" s="25" t="str">
        <f>IF(P518="En programación Frcst.",VLOOKUP(L518,Meses!$A$1:$H$14,3+HLOOKUP(Cronograma!J518,Meses!$D$1:$G$2,2,FALSE),FALSE),
IF(P518="En programación",M518,""))</f>
        <v/>
      </c>
      <c r="S518" s="25" t="str">
        <f t="shared" si="26"/>
        <v/>
      </c>
      <c r="T518" s="21" t="str">
        <f>IFERROR(
(VLOOKUP(MONTH(R518),Meses!$B$3:$C$14,2,FALSE)-DAY(R518))/VLOOKUP(MONTH(R518),Meses!$B$3:$C$14,2,FALSE)*U518,
"")</f>
        <v/>
      </c>
      <c r="U518" s="22">
        <f t="shared" si="25"/>
        <v>4556</v>
      </c>
    </row>
    <row r="519" spans="1:21" ht="32.4" hidden="1" thickBot="1" x14ac:dyDescent="0.6">
      <c r="A519" s="10" t="s">
        <v>655</v>
      </c>
      <c r="B519" s="10" t="s">
        <v>667</v>
      </c>
      <c r="C519" s="12">
        <v>45085</v>
      </c>
      <c r="D519" s="10" t="s">
        <v>44</v>
      </c>
      <c r="E519" s="10" t="s">
        <v>44</v>
      </c>
      <c r="F519" s="10">
        <v>3610</v>
      </c>
      <c r="G519" s="10" t="s">
        <v>15</v>
      </c>
      <c r="H519" s="10" t="s">
        <v>17</v>
      </c>
      <c r="I519" s="10" t="s">
        <v>43</v>
      </c>
      <c r="J519" s="10" t="s">
        <v>19</v>
      </c>
      <c r="K519" s="10" t="s">
        <v>19</v>
      </c>
      <c r="L519" s="10" t="s">
        <v>19</v>
      </c>
      <c r="M519" s="12"/>
      <c r="N519" s="10" t="s">
        <v>20</v>
      </c>
      <c r="O519" s="10" t="s">
        <v>2054</v>
      </c>
      <c r="P519" s="25" t="str">
        <f>IFERROR(
IF(OR(O519="anulado",O519="stand by"),CONCATENATE(O519,": ",H519),
IF(OR(YEAR(M519)=2022,YEAR(M519)=2023),CONCATENATE("Se activó en ",YEAR(M519)),
IF(AND(OR(O519="En proceso",O519="facturando"),AND(J519="-",M519="")),"Por revisar",
IF(M519="",IF(J519="NUEVAS",CONCATENATE("Estado: ",O519,", ",J519),
IF(L519=Meses!$A$3,"Por revisar",
IF(H519="","Sin registro","En programación Frcst."))),"En programación")))),
"Error")</f>
        <v>Por revisar</v>
      </c>
      <c r="Q519" s="9" t="str">
        <f t="shared" si="24"/>
        <v>programación de act. NO, estado: Facturando, Comercializador: AFINIA, Etapa: Instalado y Activado</v>
      </c>
      <c r="R519" s="25" t="str">
        <f>IF(P519="En programación Frcst.",VLOOKUP(L519,Meses!$A$1:$H$14,3+HLOOKUP(Cronograma!J519,Meses!$D$1:$G$2,2,FALSE),FALSE),
IF(P519="En programación",M519,""))</f>
        <v/>
      </c>
      <c r="S519" s="25" t="str">
        <f t="shared" si="26"/>
        <v/>
      </c>
      <c r="T519" s="21" t="str">
        <f>IFERROR(
(VLOOKUP(MONTH(R519),Meses!$B$3:$C$14,2,FALSE)-DAY(R519))/VLOOKUP(MONTH(R519),Meses!$B$3:$C$14,2,FALSE)*U519,
"")</f>
        <v/>
      </c>
      <c r="U519" s="22">
        <f t="shared" si="25"/>
        <v>3610</v>
      </c>
    </row>
    <row r="520" spans="1:21" ht="32.4" hidden="1" thickBot="1" x14ac:dyDescent="0.6">
      <c r="A520" s="10" t="s">
        <v>655</v>
      </c>
      <c r="B520" s="10" t="s">
        <v>668</v>
      </c>
      <c r="C520" s="12">
        <v>45085</v>
      </c>
      <c r="D520" s="10" t="s">
        <v>289</v>
      </c>
      <c r="E520" s="10" t="s">
        <v>289</v>
      </c>
      <c r="F520" s="10">
        <v>2635</v>
      </c>
      <c r="G520" s="10" t="s">
        <v>15</v>
      </c>
      <c r="H520" s="10" t="s">
        <v>17</v>
      </c>
      <c r="I520" s="10" t="s">
        <v>18</v>
      </c>
      <c r="J520" s="10" t="s">
        <v>19</v>
      </c>
      <c r="K520" s="10" t="s">
        <v>19</v>
      </c>
      <c r="L520" s="10" t="s">
        <v>19</v>
      </c>
      <c r="M520" s="12"/>
      <c r="N520" s="10" t="s">
        <v>20</v>
      </c>
      <c r="O520" s="10" t="s">
        <v>2054</v>
      </c>
      <c r="P520" s="25" t="str">
        <f>IFERROR(
IF(OR(O520="anulado",O520="stand by"),CONCATENATE(O520,": ",H520),
IF(OR(YEAR(M520)=2022,YEAR(M520)=2023),CONCATENATE("Se activó en ",YEAR(M520)),
IF(AND(OR(O520="En proceso",O520="facturando"),AND(J520="-",M520="")),"Por revisar",
IF(M520="",IF(J520="NUEVAS",CONCATENATE("Estado: ",O520,", ",J520),
IF(L520=Meses!$A$3,"Por revisar",
IF(H520="","Sin registro","En programación Frcst."))),"En programación")))),
"Error")</f>
        <v>Por revisar</v>
      </c>
      <c r="Q520" s="9" t="str">
        <f t="shared" si="24"/>
        <v>programación de act. NO, estado: Facturando, Comercializador: CELSIA, Etapa: Instalado y Activado</v>
      </c>
      <c r="R520" s="25" t="str">
        <f>IF(P520="En programación Frcst.",VLOOKUP(L520,Meses!$A$1:$H$14,3+HLOOKUP(Cronograma!J520,Meses!$D$1:$G$2,2,FALSE),FALSE),
IF(P520="En programación",M520,""))</f>
        <v/>
      </c>
      <c r="S520" s="25" t="str">
        <f t="shared" si="26"/>
        <v/>
      </c>
      <c r="T520" s="21" t="str">
        <f>IFERROR(
(VLOOKUP(MONTH(R520),Meses!$B$3:$C$14,2,FALSE)-DAY(R520))/VLOOKUP(MONTH(R520),Meses!$B$3:$C$14,2,FALSE)*U520,
"")</f>
        <v/>
      </c>
      <c r="U520" s="22">
        <f t="shared" si="25"/>
        <v>2635</v>
      </c>
    </row>
    <row r="521" spans="1:21" ht="32.4" hidden="1" thickBot="1" x14ac:dyDescent="0.6">
      <c r="A521" s="10" t="s">
        <v>655</v>
      </c>
      <c r="B521" s="10" t="s">
        <v>669</v>
      </c>
      <c r="C521" s="12">
        <v>45085</v>
      </c>
      <c r="D521" s="10" t="s">
        <v>289</v>
      </c>
      <c r="E521" s="10" t="s">
        <v>289</v>
      </c>
      <c r="F521" s="10">
        <v>1641</v>
      </c>
      <c r="G521" s="10" t="s">
        <v>15</v>
      </c>
      <c r="H521" s="10" t="s">
        <v>17</v>
      </c>
      <c r="I521" s="10" t="s">
        <v>18</v>
      </c>
      <c r="J521" s="10" t="s">
        <v>19</v>
      </c>
      <c r="K521" s="10" t="s">
        <v>19</v>
      </c>
      <c r="L521" s="10" t="s">
        <v>19</v>
      </c>
      <c r="M521" s="12"/>
      <c r="N521" s="10" t="s">
        <v>20</v>
      </c>
      <c r="O521" s="10" t="s">
        <v>2054</v>
      </c>
      <c r="P521" s="25" t="str">
        <f>IFERROR(
IF(OR(O521="anulado",O521="stand by"),CONCATENATE(O521,": ",H521),
IF(OR(YEAR(M521)=2022,YEAR(M521)=2023),CONCATENATE("Se activó en ",YEAR(M521)),
IF(AND(OR(O521="En proceso",O521="facturando"),AND(J521="-",M521="")),"Por revisar",
IF(M521="",IF(J521="NUEVAS",CONCATENATE("Estado: ",O521,", ",J521),
IF(L521=Meses!$A$3,"Por revisar",
IF(H521="","Sin registro","En programación Frcst."))),"En programación")))),
"Error")</f>
        <v>Por revisar</v>
      </c>
      <c r="Q521" s="9" t="str">
        <f t="shared" si="24"/>
        <v>programación de act. NO, estado: Facturando, Comercializador: CELSIA, Etapa: Instalado y Activado</v>
      </c>
      <c r="R521" s="25" t="str">
        <f>IF(P521="En programación Frcst.",VLOOKUP(L521,Meses!$A$1:$H$14,3+HLOOKUP(Cronograma!J521,Meses!$D$1:$G$2,2,FALSE),FALSE),
IF(P521="En programación",M521,""))</f>
        <v/>
      </c>
      <c r="S521" s="25" t="str">
        <f t="shared" si="26"/>
        <v/>
      </c>
      <c r="T521" s="21" t="str">
        <f>IFERROR(
(VLOOKUP(MONTH(R521),Meses!$B$3:$C$14,2,FALSE)-DAY(R521))/VLOOKUP(MONTH(R521),Meses!$B$3:$C$14,2,FALSE)*U521,
"")</f>
        <v/>
      </c>
      <c r="U521" s="22">
        <f t="shared" si="25"/>
        <v>1641</v>
      </c>
    </row>
    <row r="522" spans="1:21" ht="32.4" hidden="1" thickBot="1" x14ac:dyDescent="0.6">
      <c r="A522" s="10" t="s">
        <v>655</v>
      </c>
      <c r="B522" s="10" t="s">
        <v>670</v>
      </c>
      <c r="C522" s="12">
        <v>45085</v>
      </c>
      <c r="D522" s="10" t="s">
        <v>671</v>
      </c>
      <c r="E522" s="10" t="s">
        <v>289</v>
      </c>
      <c r="F522" s="10">
        <v>3364</v>
      </c>
      <c r="G522" s="10" t="s">
        <v>15</v>
      </c>
      <c r="H522" s="10" t="s">
        <v>17</v>
      </c>
      <c r="I522" s="10" t="s">
        <v>18</v>
      </c>
      <c r="J522" s="10" t="s">
        <v>19</v>
      </c>
      <c r="K522" s="10" t="s">
        <v>19</v>
      </c>
      <c r="L522" s="10" t="s">
        <v>19</v>
      </c>
      <c r="M522" s="12"/>
      <c r="N522" s="10" t="s">
        <v>20</v>
      </c>
      <c r="O522" s="10" t="s">
        <v>2054</v>
      </c>
      <c r="P522" s="25" t="str">
        <f>IFERROR(
IF(OR(O522="anulado",O522="stand by"),CONCATENATE(O522,": ",H522),
IF(OR(YEAR(M522)=2022,YEAR(M522)=2023),CONCATENATE("Se activó en ",YEAR(M522)),
IF(AND(OR(O522="En proceso",O522="facturando"),AND(J522="-",M522="")),"Por revisar",
IF(M522="",IF(J522="NUEVAS",CONCATENATE("Estado: ",O522,", ",J522),
IF(L522=Meses!$A$3,"Por revisar",
IF(H522="","Sin registro","En programación Frcst."))),"En programación")))),
"Error")</f>
        <v>Por revisar</v>
      </c>
      <c r="Q522" s="9" t="str">
        <f t="shared" si="24"/>
        <v>programación de act. NO, estado: Facturando, Comercializador: CELSIA TOLIMA, Etapa: Instalado y Activado</v>
      </c>
      <c r="R522" s="25" t="str">
        <f>IF(P522="En programación Frcst.",VLOOKUP(L522,Meses!$A$1:$H$14,3+HLOOKUP(Cronograma!J522,Meses!$D$1:$G$2,2,FALSE),FALSE),
IF(P522="En programación",M522,""))</f>
        <v/>
      </c>
      <c r="S522" s="25" t="str">
        <f t="shared" si="26"/>
        <v/>
      </c>
      <c r="T522" s="21" t="str">
        <f>IFERROR(
(VLOOKUP(MONTH(R522),Meses!$B$3:$C$14,2,FALSE)-DAY(R522))/VLOOKUP(MONTH(R522),Meses!$B$3:$C$14,2,FALSE)*U522,
"")</f>
        <v/>
      </c>
      <c r="U522" s="22">
        <f t="shared" si="25"/>
        <v>3364</v>
      </c>
    </row>
    <row r="523" spans="1:21" ht="18" hidden="1" thickBot="1" x14ac:dyDescent="0.6">
      <c r="A523" s="10" t="s">
        <v>655</v>
      </c>
      <c r="B523" s="10" t="s">
        <v>672</v>
      </c>
      <c r="C523" s="12"/>
      <c r="D523" s="10" t="s">
        <v>19</v>
      </c>
      <c r="E523" s="10" t="s">
        <v>673</v>
      </c>
      <c r="F523" s="10">
        <v>1489</v>
      </c>
      <c r="G523" s="10" t="s">
        <v>15</v>
      </c>
      <c r="H523" s="10" t="s">
        <v>140</v>
      </c>
      <c r="I523" s="10" t="s">
        <v>674</v>
      </c>
      <c r="J523" s="10" t="s">
        <v>19</v>
      </c>
      <c r="K523" s="10" t="s">
        <v>19</v>
      </c>
      <c r="L523" s="10" t="s">
        <v>19</v>
      </c>
      <c r="M523" s="12"/>
      <c r="N523" s="10" t="s">
        <v>20</v>
      </c>
      <c r="O523" s="10" t="s">
        <v>2056</v>
      </c>
      <c r="P523" s="25" t="str">
        <f>IFERROR(
IF(OR(O523="anulado",O523="stand by"),CONCATENATE(O523,": ",H523),
IF(OR(YEAR(M523)=2022,YEAR(M523)=2023),CONCATENATE("Se activó en ",YEAR(M523)),
IF(AND(OR(O523="En proceso",O523="facturando"),AND(J523="-",M523="")),"Por revisar",
IF(M523="",IF(J523="NUEVAS",CONCATENATE("Estado: ",O523,", ",J523),
IF(L523=Meses!$A$3,"Por revisar",
IF(H523="","Sin registro","En programación Frcst."))),"En programación")))),
"Error")</f>
        <v>anulado: Desistido</v>
      </c>
      <c r="Q523" s="9" t="str">
        <f t="shared" si="24"/>
        <v/>
      </c>
      <c r="R523" s="25" t="str">
        <f>IF(P523="En programación Frcst.",VLOOKUP(L523,Meses!$A$1:$H$14,3+HLOOKUP(Cronograma!J523,Meses!$D$1:$G$2,2,FALSE),FALSE),
IF(P523="En programación",M523,""))</f>
        <v/>
      </c>
      <c r="S523" s="25" t="str">
        <f t="shared" si="26"/>
        <v/>
      </c>
      <c r="T523" s="21" t="str">
        <f>IFERROR(
(VLOOKUP(MONTH(R523),Meses!$B$3:$C$14,2,FALSE)-DAY(R523))/VLOOKUP(MONTH(R523),Meses!$B$3:$C$14,2,FALSE)*U523,
"")</f>
        <v/>
      </c>
      <c r="U523" s="22">
        <f t="shared" si="25"/>
        <v>1489</v>
      </c>
    </row>
    <row r="524" spans="1:21" ht="32.4" hidden="1" thickBot="1" x14ac:dyDescent="0.6">
      <c r="A524" s="10" t="s">
        <v>655</v>
      </c>
      <c r="B524" s="10" t="s">
        <v>675</v>
      </c>
      <c r="C524" s="12">
        <v>45085</v>
      </c>
      <c r="D524" s="10" t="s">
        <v>156</v>
      </c>
      <c r="E524" s="10" t="s">
        <v>156</v>
      </c>
      <c r="F524" s="10">
        <v>3979</v>
      </c>
      <c r="G524" s="10" t="s">
        <v>15</v>
      </c>
      <c r="H524" s="10" t="s">
        <v>17</v>
      </c>
      <c r="I524" s="10" t="s">
        <v>43</v>
      </c>
      <c r="J524" s="10" t="s">
        <v>19</v>
      </c>
      <c r="K524" s="10" t="s">
        <v>19</v>
      </c>
      <c r="L524" s="10" t="s">
        <v>19</v>
      </c>
      <c r="M524" s="12"/>
      <c r="N524" s="10" t="s">
        <v>20</v>
      </c>
      <c r="O524" s="10" t="s">
        <v>2054</v>
      </c>
      <c r="P524" s="25" t="str">
        <f>IFERROR(
IF(OR(O524="anulado",O524="stand by"),CONCATENATE(O524,": ",H524),
IF(OR(YEAR(M524)=2022,YEAR(M524)=2023),CONCATENATE("Se activó en ",YEAR(M524)),
IF(AND(OR(O524="En proceso",O524="facturando"),AND(J524="-",M524="")),"Por revisar",
IF(M524="",IF(J524="NUEVAS",CONCATENATE("Estado: ",O524,", ",J524),
IF(L524=Meses!$A$3,"Por revisar",
IF(H524="","Sin registro","En programación Frcst."))),"En programación")))),
"Error")</f>
        <v>Por revisar</v>
      </c>
      <c r="Q524" s="9" t="str">
        <f t="shared" si="24"/>
        <v>programación de act. NO, estado: Facturando, Comercializador: ESSA, Etapa: Instalado y Activado</v>
      </c>
      <c r="R524" s="25" t="str">
        <f>IF(P524="En programación Frcst.",VLOOKUP(L524,Meses!$A$1:$H$14,3+HLOOKUP(Cronograma!J524,Meses!$D$1:$G$2,2,FALSE),FALSE),
IF(P524="En programación",M524,""))</f>
        <v/>
      </c>
      <c r="S524" s="25" t="str">
        <f t="shared" si="26"/>
        <v/>
      </c>
      <c r="T524" s="21" t="str">
        <f>IFERROR(
(VLOOKUP(MONTH(R524),Meses!$B$3:$C$14,2,FALSE)-DAY(R524))/VLOOKUP(MONTH(R524),Meses!$B$3:$C$14,2,FALSE)*U524,
"")</f>
        <v/>
      </c>
      <c r="U524" s="22">
        <f t="shared" si="25"/>
        <v>3979</v>
      </c>
    </row>
    <row r="525" spans="1:21" ht="32.4" hidden="1" thickBot="1" x14ac:dyDescent="0.6">
      <c r="A525" s="10" t="s">
        <v>655</v>
      </c>
      <c r="B525" s="10" t="s">
        <v>676</v>
      </c>
      <c r="C525" s="12">
        <v>45085</v>
      </c>
      <c r="D525" s="10" t="s">
        <v>677</v>
      </c>
      <c r="E525" s="10" t="s">
        <v>677</v>
      </c>
      <c r="F525" s="10">
        <v>1314</v>
      </c>
      <c r="G525" s="10" t="s">
        <v>15</v>
      </c>
      <c r="H525" s="10" t="s">
        <v>17</v>
      </c>
      <c r="I525" s="10" t="s">
        <v>43</v>
      </c>
      <c r="J525" s="10" t="s">
        <v>19</v>
      </c>
      <c r="K525" s="10" t="s">
        <v>19</v>
      </c>
      <c r="L525" s="10" t="s">
        <v>19</v>
      </c>
      <c r="M525" s="12"/>
      <c r="N525" s="10" t="s">
        <v>20</v>
      </c>
      <c r="O525" s="10" t="s">
        <v>2054</v>
      </c>
      <c r="P525" s="25" t="str">
        <f>IFERROR(
IF(OR(O525="anulado",O525="stand by"),CONCATENATE(O525,": ",H525),
IF(OR(YEAR(M525)=2022,YEAR(M525)=2023),CONCATENATE("Se activó en ",YEAR(M525)),
IF(AND(OR(O525="En proceso",O525="facturando"),AND(J525="-",M525="")),"Por revisar",
IF(M525="",IF(J525="NUEVAS",CONCATENATE("Estado: ",O525,", ",J525),
IF(L525=Meses!$A$3,"Por revisar",
IF(H525="","Sin registro","En programación Frcst."))),"En programación")))),
"Error")</f>
        <v>Por revisar</v>
      </c>
      <c r="Q525" s="9" t="str">
        <f t="shared" si="24"/>
        <v>programación de act. NO, estado: Facturando, Comercializador: CEO, Etapa: Instalado y Activado</v>
      </c>
      <c r="R525" s="25" t="str">
        <f>IF(P525="En programación Frcst.",VLOOKUP(L525,Meses!$A$1:$H$14,3+HLOOKUP(Cronograma!J525,Meses!$D$1:$G$2,2,FALSE),FALSE),
IF(P525="En programación",M525,""))</f>
        <v/>
      </c>
      <c r="S525" s="25" t="str">
        <f t="shared" si="26"/>
        <v/>
      </c>
      <c r="T525" s="21" t="str">
        <f>IFERROR(
(VLOOKUP(MONTH(R525),Meses!$B$3:$C$14,2,FALSE)-DAY(R525))/VLOOKUP(MONTH(R525),Meses!$B$3:$C$14,2,FALSE)*U525,
"")</f>
        <v/>
      </c>
      <c r="U525" s="22">
        <f t="shared" si="25"/>
        <v>1314</v>
      </c>
    </row>
    <row r="526" spans="1:21" ht="32.4" hidden="1" thickBot="1" x14ac:dyDescent="0.6">
      <c r="A526" s="10" t="s">
        <v>655</v>
      </c>
      <c r="B526" s="10" t="s">
        <v>678</v>
      </c>
      <c r="C526" s="12">
        <v>45085</v>
      </c>
      <c r="D526" s="10" t="s">
        <v>23</v>
      </c>
      <c r="E526" s="10" t="s">
        <v>23</v>
      </c>
      <c r="F526" s="10">
        <v>2768</v>
      </c>
      <c r="G526" s="10" t="s">
        <v>15</v>
      </c>
      <c r="H526" s="10" t="s">
        <v>17</v>
      </c>
      <c r="I526" s="10" t="s">
        <v>43</v>
      </c>
      <c r="J526" s="10" t="s">
        <v>19</v>
      </c>
      <c r="K526" s="10" t="s">
        <v>19</v>
      </c>
      <c r="L526" s="10" t="s">
        <v>19</v>
      </c>
      <c r="M526" s="12"/>
      <c r="N526" s="10" t="s">
        <v>20</v>
      </c>
      <c r="O526" s="10" t="s">
        <v>2054</v>
      </c>
      <c r="P526" s="25" t="str">
        <f>IFERROR(
IF(OR(O526="anulado",O526="stand by"),CONCATENATE(O526,": ",H526),
IF(OR(YEAR(M526)=2022,YEAR(M526)=2023),CONCATENATE("Se activó en ",YEAR(M526)),
IF(AND(OR(O526="En proceso",O526="facturando"),AND(J526="-",M526="")),"Por revisar",
IF(M526="",IF(J526="NUEVAS",CONCATENATE("Estado: ",O526,", ",J526),
IF(L526=Meses!$A$3,"Por revisar",
IF(H526="","Sin registro","En programación Frcst."))),"En programación")))),
"Error")</f>
        <v>Por revisar</v>
      </c>
      <c r="Q526" s="9" t="str">
        <f t="shared" si="24"/>
        <v>programación de act. NO, estado: Facturando, Comercializador: EMCALI, Etapa: Instalado y Activado</v>
      </c>
      <c r="R526" s="25" t="str">
        <f>IF(P526="En programación Frcst.",VLOOKUP(L526,Meses!$A$1:$H$14,3+HLOOKUP(Cronograma!J526,Meses!$D$1:$G$2,2,FALSE),FALSE),
IF(P526="En programación",M526,""))</f>
        <v/>
      </c>
      <c r="S526" s="25" t="str">
        <f t="shared" si="26"/>
        <v/>
      </c>
      <c r="T526" s="21" t="str">
        <f>IFERROR(
(VLOOKUP(MONTH(R526),Meses!$B$3:$C$14,2,FALSE)-DAY(R526))/VLOOKUP(MONTH(R526),Meses!$B$3:$C$14,2,FALSE)*U526,
"")</f>
        <v/>
      </c>
      <c r="U526" s="22">
        <f t="shared" si="25"/>
        <v>2768</v>
      </c>
    </row>
    <row r="527" spans="1:21" ht="31.8" hidden="1" thickBot="1" x14ac:dyDescent="0.6">
      <c r="A527" s="10" t="s">
        <v>679</v>
      </c>
      <c r="B527" s="10" t="s">
        <v>680</v>
      </c>
      <c r="C527" s="12"/>
      <c r="D527" s="10" t="s">
        <v>41</v>
      </c>
      <c r="E527" s="10" t="s">
        <v>41</v>
      </c>
      <c r="F527" s="10">
        <v>28700</v>
      </c>
      <c r="G527" s="10" t="s">
        <v>15</v>
      </c>
      <c r="H527" s="10" t="s">
        <v>140</v>
      </c>
      <c r="I527" s="10" t="s">
        <v>43</v>
      </c>
      <c r="J527" s="10" t="s">
        <v>19</v>
      </c>
      <c r="K527" s="10" t="s">
        <v>19</v>
      </c>
      <c r="L527" s="10" t="s">
        <v>19</v>
      </c>
      <c r="M527" s="12"/>
      <c r="N527" s="10" t="s">
        <v>20</v>
      </c>
      <c r="O527" s="10" t="s">
        <v>2056</v>
      </c>
      <c r="P527" s="25" t="str">
        <f>IFERROR(
IF(OR(O527="anulado",O527="stand by"),CONCATENATE(O527,": ",H527),
IF(OR(YEAR(M527)=2022,YEAR(M527)=2023),CONCATENATE("Se activó en ",YEAR(M527)),
IF(AND(OR(O527="En proceso",O527="facturando"),AND(J527="-",M527="")),"Por revisar",
IF(M527="",IF(J527="NUEVAS",CONCATENATE("Estado: ",O527,", ",J527),
IF(L527=Meses!$A$3,"Por revisar",
IF(H527="","Sin registro","En programación Frcst."))),"En programación")))),
"Error")</f>
        <v>anulado: Desistido</v>
      </c>
      <c r="Q527" s="9" t="str">
        <f t="shared" si="24"/>
        <v/>
      </c>
      <c r="R527" s="25" t="str">
        <f>IF(P527="En programación Frcst.",VLOOKUP(L527,Meses!$A$1:$H$14,3+HLOOKUP(Cronograma!J527,Meses!$D$1:$G$2,2,FALSE),FALSE),
IF(P527="En programación",M527,""))</f>
        <v/>
      </c>
      <c r="S527" s="25" t="str">
        <f t="shared" si="26"/>
        <v/>
      </c>
      <c r="T527" s="21" t="str">
        <f>IFERROR(
(VLOOKUP(MONTH(R527),Meses!$B$3:$C$14,2,FALSE)-DAY(R527))/VLOOKUP(MONTH(R527),Meses!$B$3:$C$14,2,FALSE)*U527,
"")</f>
        <v/>
      </c>
      <c r="U527" s="22">
        <f t="shared" si="25"/>
        <v>28700</v>
      </c>
    </row>
    <row r="528" spans="1:21" ht="31.8" hidden="1" thickBot="1" x14ac:dyDescent="0.6">
      <c r="A528" s="10" t="s">
        <v>679</v>
      </c>
      <c r="B528" s="10" t="s">
        <v>681</v>
      </c>
      <c r="C528" s="12"/>
      <c r="D528" s="10" t="s">
        <v>41</v>
      </c>
      <c r="E528" s="10" t="s">
        <v>41</v>
      </c>
      <c r="F528" s="10">
        <v>1978</v>
      </c>
      <c r="G528" s="10" t="s">
        <v>15</v>
      </c>
      <c r="H528" s="10" t="s">
        <v>140</v>
      </c>
      <c r="I528" s="10" t="s">
        <v>43</v>
      </c>
      <c r="J528" s="10" t="s">
        <v>19</v>
      </c>
      <c r="K528" s="10" t="s">
        <v>19</v>
      </c>
      <c r="L528" s="10" t="s">
        <v>19</v>
      </c>
      <c r="M528" s="12"/>
      <c r="N528" s="10" t="s">
        <v>20</v>
      </c>
      <c r="O528" s="10" t="s">
        <v>2056</v>
      </c>
      <c r="P528" s="25" t="str">
        <f>IFERROR(
IF(OR(O528="anulado",O528="stand by"),CONCATENATE(O528,": ",H528),
IF(OR(YEAR(M528)=2022,YEAR(M528)=2023),CONCATENATE("Se activó en ",YEAR(M528)),
IF(AND(OR(O528="En proceso",O528="facturando"),AND(J528="-",M528="")),"Por revisar",
IF(M528="",IF(J528="NUEVAS",CONCATENATE("Estado: ",O528,", ",J528),
IF(L528=Meses!$A$3,"Por revisar",
IF(H528="","Sin registro","En programación Frcst."))),"En programación")))),
"Error")</f>
        <v>anulado: Desistido</v>
      </c>
      <c r="Q528" s="9" t="str">
        <f t="shared" si="24"/>
        <v/>
      </c>
      <c r="R528" s="25" t="str">
        <f>IF(P528="En programación Frcst.",VLOOKUP(L528,Meses!$A$1:$H$14,3+HLOOKUP(Cronograma!J528,Meses!$D$1:$G$2,2,FALSE),FALSE),
IF(P528="En programación",M528,""))</f>
        <v/>
      </c>
      <c r="S528" s="25" t="str">
        <f t="shared" si="26"/>
        <v/>
      </c>
      <c r="T528" s="21" t="str">
        <f>IFERROR(
(VLOOKUP(MONTH(R528),Meses!$B$3:$C$14,2,FALSE)-DAY(R528))/VLOOKUP(MONTH(R528),Meses!$B$3:$C$14,2,FALSE)*U528,
"")</f>
        <v/>
      </c>
      <c r="U528" s="22">
        <f t="shared" si="25"/>
        <v>1978</v>
      </c>
    </row>
    <row r="529" spans="1:21" ht="32.4" hidden="1" thickBot="1" x14ac:dyDescent="0.6">
      <c r="A529" s="10" t="s">
        <v>682</v>
      </c>
      <c r="B529" s="10" t="s">
        <v>683</v>
      </c>
      <c r="C529" s="12">
        <v>45099</v>
      </c>
      <c r="D529" s="10" t="s">
        <v>23</v>
      </c>
      <c r="E529" s="10" t="s">
        <v>23</v>
      </c>
      <c r="F529" s="10">
        <v>2015</v>
      </c>
      <c r="G529" s="10" t="s">
        <v>15</v>
      </c>
      <c r="H529" s="10" t="s">
        <v>17</v>
      </c>
      <c r="I529" s="10" t="s">
        <v>43</v>
      </c>
      <c r="J529" s="10" t="s">
        <v>19</v>
      </c>
      <c r="K529" s="10" t="s">
        <v>19</v>
      </c>
      <c r="L529" s="10" t="s">
        <v>19</v>
      </c>
      <c r="M529" s="12"/>
      <c r="N529" s="10" t="s">
        <v>20</v>
      </c>
      <c r="O529" s="10" t="s">
        <v>2054</v>
      </c>
      <c r="P529" s="25" t="str">
        <f>IFERROR(
IF(OR(O529="anulado",O529="stand by"),CONCATENATE(O529,": ",H529),
IF(OR(YEAR(M529)=2022,YEAR(M529)=2023),CONCATENATE("Se activó en ",YEAR(M529)),
IF(AND(OR(O529="En proceso",O529="facturando"),AND(J529="-",M529="")),"Por revisar",
IF(M529="",IF(J529="NUEVAS",CONCATENATE("Estado: ",O529,", ",J529),
IF(L529=Meses!$A$3,"Por revisar",
IF(H529="","Sin registro","En programación Frcst."))),"En programación")))),
"Error")</f>
        <v>Por revisar</v>
      </c>
      <c r="Q529" s="9" t="str">
        <f t="shared" si="24"/>
        <v>programación de act. NO, estado: Facturando, Comercializador: EMCALI, Etapa: Instalado y Activado</v>
      </c>
      <c r="R529" s="25" t="str">
        <f>IF(P529="En programación Frcst.",VLOOKUP(L529,Meses!$A$1:$H$14,3+HLOOKUP(Cronograma!J529,Meses!$D$1:$G$2,2,FALSE),FALSE),
IF(P529="En programación",M529,""))</f>
        <v/>
      </c>
      <c r="S529" s="25" t="str">
        <f t="shared" si="26"/>
        <v/>
      </c>
      <c r="T529" s="21" t="str">
        <f>IFERROR(
(VLOOKUP(MONTH(R529),Meses!$B$3:$C$14,2,FALSE)-DAY(R529))/VLOOKUP(MONTH(R529),Meses!$B$3:$C$14,2,FALSE)*U529,
"")</f>
        <v/>
      </c>
      <c r="U529" s="22">
        <f t="shared" si="25"/>
        <v>2015</v>
      </c>
    </row>
    <row r="530" spans="1:21" ht="32.4" hidden="1" thickBot="1" x14ac:dyDescent="0.6">
      <c r="A530" s="10" t="s">
        <v>682</v>
      </c>
      <c r="B530" s="10" t="s">
        <v>684</v>
      </c>
      <c r="C530" s="12">
        <v>45197</v>
      </c>
      <c r="D530" s="10" t="s">
        <v>23</v>
      </c>
      <c r="E530" s="10" t="s">
        <v>23</v>
      </c>
      <c r="F530" s="10">
        <v>2219</v>
      </c>
      <c r="G530" s="10" t="s">
        <v>15</v>
      </c>
      <c r="H530" s="10" t="s">
        <v>17</v>
      </c>
      <c r="I530" s="10" t="s">
        <v>43</v>
      </c>
      <c r="J530" s="10" t="s">
        <v>19</v>
      </c>
      <c r="K530" s="10" t="s">
        <v>19</v>
      </c>
      <c r="L530" s="10" t="s">
        <v>19</v>
      </c>
      <c r="M530" s="12"/>
      <c r="N530" s="10" t="s">
        <v>20</v>
      </c>
      <c r="O530" s="10" t="s">
        <v>2054</v>
      </c>
      <c r="P530" s="25" t="str">
        <f>IFERROR(
IF(OR(O530="anulado",O530="stand by"),CONCATENATE(O530,": ",H530),
IF(OR(YEAR(M530)=2022,YEAR(M530)=2023),CONCATENATE("Se activó en ",YEAR(M530)),
IF(AND(OR(O530="En proceso",O530="facturando"),AND(J530="-",M530="")),"Por revisar",
IF(M530="",IF(J530="NUEVAS",CONCATENATE("Estado: ",O530,", ",J530),
IF(L530=Meses!$A$3,"Por revisar",
IF(H530="","Sin registro","En programación Frcst."))),"En programación")))),
"Error")</f>
        <v>Por revisar</v>
      </c>
      <c r="Q530" s="9" t="str">
        <f t="shared" si="24"/>
        <v>programación de act. NO, estado: Facturando, Comercializador: EMCALI, Etapa: Instalado y Activado</v>
      </c>
      <c r="R530" s="25" t="str">
        <f>IF(P530="En programación Frcst.",VLOOKUP(L530,Meses!$A$1:$H$14,3+HLOOKUP(Cronograma!J530,Meses!$D$1:$G$2,2,FALSE),FALSE),
IF(P530="En programación",M530,""))</f>
        <v/>
      </c>
      <c r="S530" s="25" t="str">
        <f t="shared" si="26"/>
        <v/>
      </c>
      <c r="T530" s="21" t="str">
        <f>IFERROR(
(VLOOKUP(MONTH(R530),Meses!$B$3:$C$14,2,FALSE)-DAY(R530))/VLOOKUP(MONTH(R530),Meses!$B$3:$C$14,2,FALSE)*U530,
"")</f>
        <v/>
      </c>
      <c r="U530" s="22">
        <f t="shared" si="25"/>
        <v>2219</v>
      </c>
    </row>
    <row r="531" spans="1:21" ht="32.4" hidden="1" thickBot="1" x14ac:dyDescent="0.6">
      <c r="A531" s="10" t="s">
        <v>685</v>
      </c>
      <c r="B531" s="10" t="s">
        <v>686</v>
      </c>
      <c r="C531" s="12">
        <v>45309</v>
      </c>
      <c r="D531" s="10" t="s">
        <v>41</v>
      </c>
      <c r="E531" s="10" t="s">
        <v>41</v>
      </c>
      <c r="F531" s="10">
        <v>2121</v>
      </c>
      <c r="G531" s="10" t="s">
        <v>15</v>
      </c>
      <c r="H531" s="10" t="s">
        <v>17</v>
      </c>
      <c r="I531" s="10" t="s">
        <v>43</v>
      </c>
      <c r="J531" s="10" t="s">
        <v>143</v>
      </c>
      <c r="K531" s="10" t="s">
        <v>144</v>
      </c>
      <c r="L531" s="10" t="s">
        <v>145</v>
      </c>
      <c r="M531" s="12"/>
      <c r="N531" s="10" t="s">
        <v>15</v>
      </c>
      <c r="O531" s="10" t="s">
        <v>2054</v>
      </c>
      <c r="P531" s="25" t="str">
        <f>IFERROR(
IF(OR(O531="anulado",O531="stand by"),CONCATENATE(O531,": ",H531),
IF(OR(YEAR(M531)=2022,YEAR(M531)=2023),CONCATENATE("Se activó en ",YEAR(M531)),
IF(AND(OR(O531="En proceso",O531="facturando"),AND(J531="-",M531="")),"Por revisar",
IF(M531="",IF(J531="NUEVAS",CONCATENATE("Estado: ",O531,", ",J531),
IF(L531=Meses!$A$3,"Por revisar",
IF(H531="","Sin registro","En programación Frcst."))),"En programación")))),
"Error")</f>
        <v>Por revisar</v>
      </c>
      <c r="Q531" s="9" t="str">
        <f t="shared" si="24"/>
        <v>programación de act. SI, estado: Facturando, Comercializador: EPM, Etapa: Instalado y Activado</v>
      </c>
      <c r="R531" s="25" t="str">
        <f>IF(P531="En programación Frcst.",VLOOKUP(L531,Meses!$A$1:$H$14,3+HLOOKUP(Cronograma!J531,Meses!$D$1:$G$2,2,FALSE),FALSE),
IF(P531="En programación",M531,""))</f>
        <v/>
      </c>
      <c r="S531" s="25" t="str">
        <f t="shared" si="26"/>
        <v/>
      </c>
      <c r="T531" s="21" t="str">
        <f>IFERROR(
(VLOOKUP(MONTH(R531),Meses!$B$3:$C$14,2,FALSE)-DAY(R531))/VLOOKUP(MONTH(R531),Meses!$B$3:$C$14,2,FALSE)*U531,
"")</f>
        <v/>
      </c>
      <c r="U531" s="22">
        <f t="shared" si="25"/>
        <v>2121</v>
      </c>
    </row>
    <row r="532" spans="1:21" ht="31.8" hidden="1" thickBot="1" x14ac:dyDescent="0.6">
      <c r="A532" s="10" t="s">
        <v>685</v>
      </c>
      <c r="B532" s="10" t="s">
        <v>687</v>
      </c>
      <c r="C532" s="12">
        <v>45323</v>
      </c>
      <c r="D532" s="10" t="s">
        <v>23</v>
      </c>
      <c r="E532" s="10" t="s">
        <v>23</v>
      </c>
      <c r="F532" s="10">
        <v>2000</v>
      </c>
      <c r="G532" s="10" t="s">
        <v>15</v>
      </c>
      <c r="H532" s="10" t="s">
        <v>17</v>
      </c>
      <c r="I532" s="10" t="s">
        <v>43</v>
      </c>
      <c r="J532" s="10" t="s">
        <v>277</v>
      </c>
      <c r="K532" s="10" t="s">
        <v>278</v>
      </c>
      <c r="L532" s="10" t="s">
        <v>279</v>
      </c>
      <c r="M532" s="12"/>
      <c r="N532" s="10" t="s">
        <v>15</v>
      </c>
      <c r="O532" s="10" t="s">
        <v>2054</v>
      </c>
      <c r="P532" s="25" t="str">
        <f>IFERROR(
IF(OR(O532="anulado",O532="stand by"),CONCATENATE(O532,": ",H532),
IF(OR(YEAR(M532)=2022,YEAR(M532)=2023),CONCATENATE("Se activó en ",YEAR(M532)),
IF(AND(OR(O532="En proceso",O532="facturando"),AND(J532="-",M532="")),"Por revisar",
IF(M532="",IF(J532="NUEVAS",CONCATENATE("Estado: ",O532,", ",J532),
IF(L532=Meses!$A$3,"Por revisar",
IF(H532="","Sin registro","En programación Frcst."))),"En programación")))),
"Error")</f>
        <v>En programación Frcst.</v>
      </c>
      <c r="Q532" s="9" t="str">
        <f t="shared" si="24"/>
        <v/>
      </c>
      <c r="R532" s="25">
        <f>IF(P532="En programación Frcst.",VLOOKUP(L532,Meses!$A$1:$H$14,3+HLOOKUP(Cronograma!J532,Meses!$D$1:$G$2,2,FALSE),FALSE),
IF(P532="En programación",M532,""))</f>
        <v>45309</v>
      </c>
      <c r="S532" s="25" t="str">
        <f t="shared" si="26"/>
        <v>2024/1</v>
      </c>
      <c r="T532" s="21">
        <f>IFERROR(
(VLOOKUP(MONTH(R532),Meses!$B$3:$C$14,2,FALSE)-DAY(R532))/VLOOKUP(MONTH(R532),Meses!$B$3:$C$14,2,FALSE)*U532,
"")</f>
        <v>838.70967741935488</v>
      </c>
      <c r="U532" s="22">
        <f t="shared" si="25"/>
        <v>2000</v>
      </c>
    </row>
    <row r="533" spans="1:21" ht="32.4" hidden="1" thickBot="1" x14ac:dyDescent="0.6">
      <c r="A533" s="10" t="s">
        <v>685</v>
      </c>
      <c r="B533" s="10" t="s">
        <v>688</v>
      </c>
      <c r="C533" s="12">
        <v>45099</v>
      </c>
      <c r="D533" s="10" t="s">
        <v>23</v>
      </c>
      <c r="E533" s="10" t="s">
        <v>23</v>
      </c>
      <c r="F533" s="10">
        <v>5752</v>
      </c>
      <c r="G533" s="10" t="s">
        <v>15</v>
      </c>
      <c r="H533" s="10" t="s">
        <v>17</v>
      </c>
      <c r="I533" s="10" t="s">
        <v>43</v>
      </c>
      <c r="J533" s="10" t="s">
        <v>19</v>
      </c>
      <c r="K533" s="10" t="s">
        <v>19</v>
      </c>
      <c r="L533" s="10" t="s">
        <v>19</v>
      </c>
      <c r="M533" s="12"/>
      <c r="N533" s="10" t="s">
        <v>20</v>
      </c>
      <c r="O533" s="10" t="s">
        <v>2054</v>
      </c>
      <c r="P533" s="25" t="str">
        <f>IFERROR(
IF(OR(O533="anulado",O533="stand by"),CONCATENATE(O533,": ",H533),
IF(OR(YEAR(M533)=2022,YEAR(M533)=2023),CONCATENATE("Se activó en ",YEAR(M533)),
IF(AND(OR(O533="En proceso",O533="facturando"),AND(J533="-",M533="")),"Por revisar",
IF(M533="",IF(J533="NUEVAS",CONCATENATE("Estado: ",O533,", ",J533),
IF(L533=Meses!$A$3,"Por revisar",
IF(H533="","Sin registro","En programación Frcst."))),"En programación")))),
"Error")</f>
        <v>Por revisar</v>
      </c>
      <c r="Q533" s="9" t="str">
        <f t="shared" si="24"/>
        <v>programación de act. NO, estado: Facturando, Comercializador: EMCALI, Etapa: Instalado y Activado</v>
      </c>
      <c r="R533" s="25" t="str">
        <f>IF(P533="En programación Frcst.",VLOOKUP(L533,Meses!$A$1:$H$14,3+HLOOKUP(Cronograma!J533,Meses!$D$1:$G$2,2,FALSE),FALSE),
IF(P533="En programación",M533,""))</f>
        <v/>
      </c>
      <c r="S533" s="25" t="str">
        <f t="shared" si="26"/>
        <v/>
      </c>
      <c r="T533" s="21" t="str">
        <f>IFERROR(
(VLOOKUP(MONTH(R533),Meses!$B$3:$C$14,2,FALSE)-DAY(R533))/VLOOKUP(MONTH(R533),Meses!$B$3:$C$14,2,FALSE)*U533,
"")</f>
        <v/>
      </c>
      <c r="U533" s="22">
        <f t="shared" si="25"/>
        <v>5752</v>
      </c>
    </row>
    <row r="534" spans="1:21" ht="32.4" hidden="1" thickBot="1" x14ac:dyDescent="0.6">
      <c r="A534" s="10" t="s">
        <v>685</v>
      </c>
      <c r="B534" s="10" t="s">
        <v>689</v>
      </c>
      <c r="C534" s="12">
        <v>45099</v>
      </c>
      <c r="D534" s="10" t="s">
        <v>23</v>
      </c>
      <c r="E534" s="10" t="s">
        <v>23</v>
      </c>
      <c r="F534" s="10">
        <v>3514</v>
      </c>
      <c r="G534" s="10" t="s">
        <v>15</v>
      </c>
      <c r="H534" s="10" t="s">
        <v>17</v>
      </c>
      <c r="I534" s="10" t="s">
        <v>43</v>
      </c>
      <c r="J534" s="10" t="s">
        <v>19</v>
      </c>
      <c r="K534" s="10" t="s">
        <v>19</v>
      </c>
      <c r="L534" s="10" t="s">
        <v>19</v>
      </c>
      <c r="M534" s="12"/>
      <c r="N534" s="10" t="s">
        <v>20</v>
      </c>
      <c r="O534" s="10" t="s">
        <v>2054</v>
      </c>
      <c r="P534" s="25" t="str">
        <f>IFERROR(
IF(OR(O534="anulado",O534="stand by"),CONCATENATE(O534,": ",H534),
IF(OR(YEAR(M534)=2022,YEAR(M534)=2023),CONCATENATE("Se activó en ",YEAR(M534)),
IF(AND(OR(O534="En proceso",O534="facturando"),AND(J534="-",M534="")),"Por revisar",
IF(M534="",IF(J534="NUEVAS",CONCATENATE("Estado: ",O534,", ",J534),
IF(L534=Meses!$A$3,"Por revisar",
IF(H534="","Sin registro","En programación Frcst."))),"En programación")))),
"Error")</f>
        <v>Por revisar</v>
      </c>
      <c r="Q534" s="9" t="str">
        <f t="shared" si="24"/>
        <v>programación de act. NO, estado: Facturando, Comercializador: EMCALI, Etapa: Instalado y Activado</v>
      </c>
      <c r="R534" s="25" t="str">
        <f>IF(P534="En programación Frcst.",VLOOKUP(L534,Meses!$A$1:$H$14,3+HLOOKUP(Cronograma!J534,Meses!$D$1:$G$2,2,FALSE),FALSE),
IF(P534="En programación",M534,""))</f>
        <v/>
      </c>
      <c r="S534" s="25" t="str">
        <f t="shared" si="26"/>
        <v/>
      </c>
      <c r="T534" s="21" t="str">
        <f>IFERROR(
(VLOOKUP(MONTH(R534),Meses!$B$3:$C$14,2,FALSE)-DAY(R534))/VLOOKUP(MONTH(R534),Meses!$B$3:$C$14,2,FALSE)*U534,
"")</f>
        <v/>
      </c>
      <c r="U534" s="22">
        <f t="shared" si="25"/>
        <v>3514</v>
      </c>
    </row>
    <row r="535" spans="1:21" ht="32.4" hidden="1" thickBot="1" x14ac:dyDescent="0.6">
      <c r="A535" s="10" t="s">
        <v>685</v>
      </c>
      <c r="B535" s="10" t="s">
        <v>690</v>
      </c>
      <c r="C535" s="12">
        <v>45099</v>
      </c>
      <c r="D535" s="10" t="s">
        <v>23</v>
      </c>
      <c r="E535" s="10" t="s">
        <v>23</v>
      </c>
      <c r="F535" s="10">
        <v>4221</v>
      </c>
      <c r="G535" s="10" t="s">
        <v>15</v>
      </c>
      <c r="H535" s="10" t="s">
        <v>17</v>
      </c>
      <c r="I535" s="10" t="s">
        <v>43</v>
      </c>
      <c r="J535" s="10" t="s">
        <v>19</v>
      </c>
      <c r="K535" s="10" t="s">
        <v>19</v>
      </c>
      <c r="L535" s="10" t="s">
        <v>19</v>
      </c>
      <c r="M535" s="12"/>
      <c r="N535" s="10" t="s">
        <v>20</v>
      </c>
      <c r="O535" s="10" t="s">
        <v>2054</v>
      </c>
      <c r="P535" s="25" t="str">
        <f>IFERROR(
IF(OR(O535="anulado",O535="stand by"),CONCATENATE(O535,": ",H535),
IF(OR(YEAR(M535)=2022,YEAR(M535)=2023),CONCATENATE("Se activó en ",YEAR(M535)),
IF(AND(OR(O535="En proceso",O535="facturando"),AND(J535="-",M535="")),"Por revisar",
IF(M535="",IF(J535="NUEVAS",CONCATENATE("Estado: ",O535,", ",J535),
IF(L535=Meses!$A$3,"Por revisar",
IF(H535="","Sin registro","En programación Frcst."))),"En programación")))),
"Error")</f>
        <v>Por revisar</v>
      </c>
      <c r="Q535" s="9" t="str">
        <f t="shared" si="24"/>
        <v>programación de act. NO, estado: Facturando, Comercializador: EMCALI, Etapa: Instalado y Activado</v>
      </c>
      <c r="R535" s="25" t="str">
        <f>IF(P535="En programación Frcst.",VLOOKUP(L535,Meses!$A$1:$H$14,3+HLOOKUP(Cronograma!J535,Meses!$D$1:$G$2,2,FALSE),FALSE),
IF(P535="En programación",M535,""))</f>
        <v/>
      </c>
      <c r="S535" s="25" t="str">
        <f t="shared" si="26"/>
        <v/>
      </c>
      <c r="T535" s="21" t="str">
        <f>IFERROR(
(VLOOKUP(MONTH(R535),Meses!$B$3:$C$14,2,FALSE)-DAY(R535))/VLOOKUP(MONTH(R535),Meses!$B$3:$C$14,2,FALSE)*U535,
"")</f>
        <v/>
      </c>
      <c r="U535" s="22">
        <f t="shared" si="25"/>
        <v>4221</v>
      </c>
    </row>
    <row r="536" spans="1:21" ht="32.4" hidden="1" thickBot="1" x14ac:dyDescent="0.6">
      <c r="A536" s="10" t="s">
        <v>685</v>
      </c>
      <c r="B536" s="10" t="s">
        <v>691</v>
      </c>
      <c r="C536" s="12">
        <v>45099</v>
      </c>
      <c r="D536" s="10" t="s">
        <v>23</v>
      </c>
      <c r="E536" s="10" t="s">
        <v>23</v>
      </c>
      <c r="F536" s="10">
        <v>4285</v>
      </c>
      <c r="G536" s="10" t="s">
        <v>15</v>
      </c>
      <c r="H536" s="10" t="s">
        <v>17</v>
      </c>
      <c r="I536" s="10" t="s">
        <v>43</v>
      </c>
      <c r="J536" s="10" t="s">
        <v>19</v>
      </c>
      <c r="K536" s="10" t="s">
        <v>19</v>
      </c>
      <c r="L536" s="10" t="s">
        <v>19</v>
      </c>
      <c r="M536" s="12"/>
      <c r="N536" s="10" t="s">
        <v>20</v>
      </c>
      <c r="O536" s="10" t="s">
        <v>2054</v>
      </c>
      <c r="P536" s="25" t="str">
        <f>IFERROR(
IF(OR(O536="anulado",O536="stand by"),CONCATENATE(O536,": ",H536),
IF(OR(YEAR(M536)=2022,YEAR(M536)=2023),CONCATENATE("Se activó en ",YEAR(M536)),
IF(AND(OR(O536="En proceso",O536="facturando"),AND(J536="-",M536="")),"Por revisar",
IF(M536="",IF(J536="NUEVAS",CONCATENATE("Estado: ",O536,", ",J536),
IF(L536=Meses!$A$3,"Por revisar",
IF(H536="","Sin registro","En programación Frcst."))),"En programación")))),
"Error")</f>
        <v>Por revisar</v>
      </c>
      <c r="Q536" s="9" t="str">
        <f t="shared" si="24"/>
        <v>programación de act. NO, estado: Facturando, Comercializador: EMCALI, Etapa: Instalado y Activado</v>
      </c>
      <c r="R536" s="25" t="str">
        <f>IF(P536="En programación Frcst.",VLOOKUP(L536,Meses!$A$1:$H$14,3+HLOOKUP(Cronograma!J536,Meses!$D$1:$G$2,2,FALSE),FALSE),
IF(P536="En programación",M536,""))</f>
        <v/>
      </c>
      <c r="S536" s="25" t="str">
        <f t="shared" si="26"/>
        <v/>
      </c>
      <c r="T536" s="21" t="str">
        <f>IFERROR(
(VLOOKUP(MONTH(R536),Meses!$B$3:$C$14,2,FALSE)-DAY(R536))/VLOOKUP(MONTH(R536),Meses!$B$3:$C$14,2,FALSE)*U536,
"")</f>
        <v/>
      </c>
      <c r="U536" s="22">
        <f t="shared" si="25"/>
        <v>4285</v>
      </c>
    </row>
    <row r="537" spans="1:21" ht="32.4" hidden="1" thickBot="1" x14ac:dyDescent="0.6">
      <c r="A537" s="10" t="s">
        <v>692</v>
      </c>
      <c r="B537" s="10" t="s">
        <v>693</v>
      </c>
      <c r="C537" s="12">
        <v>45092</v>
      </c>
      <c r="D537" s="10" t="s">
        <v>14</v>
      </c>
      <c r="E537" s="10" t="s">
        <v>14</v>
      </c>
      <c r="F537" s="10">
        <v>1310</v>
      </c>
      <c r="G537" s="10" t="s">
        <v>15</v>
      </c>
      <c r="H537" s="10" t="s">
        <v>17</v>
      </c>
      <c r="I537" s="10" t="s">
        <v>18</v>
      </c>
      <c r="J537" s="10" t="s">
        <v>19</v>
      </c>
      <c r="K537" s="10" t="s">
        <v>19</v>
      </c>
      <c r="L537" s="10" t="s">
        <v>19</v>
      </c>
      <c r="M537" s="12"/>
      <c r="N537" s="10" t="s">
        <v>20</v>
      </c>
      <c r="O537" s="10" t="s">
        <v>2054</v>
      </c>
      <c r="P537" s="25" t="str">
        <f>IFERROR(
IF(OR(O537="anulado",O537="stand by"),CONCATENATE(O537,": ",H537),
IF(OR(YEAR(M537)=2022,YEAR(M537)=2023),CONCATENATE("Se activó en ",YEAR(M537)),
IF(AND(OR(O537="En proceso",O537="facturando"),AND(J537="-",M537="")),"Por revisar",
IF(M537="",IF(J537="NUEVAS",CONCATENATE("Estado: ",O537,", ",J537),
IF(L537=Meses!$A$3,"Por revisar",
IF(H537="","Sin registro","En programación Frcst."))),"En programación")))),
"Error")</f>
        <v>Por revisar</v>
      </c>
      <c r="Q537" s="9" t="str">
        <f t="shared" si="24"/>
        <v>programación de act. NO, estado: Facturando, Comercializador: ENEL, Etapa: Instalado y Activado</v>
      </c>
      <c r="R537" s="25" t="str">
        <f>IF(P537="En programación Frcst.",VLOOKUP(L537,Meses!$A$1:$H$14,3+HLOOKUP(Cronograma!J537,Meses!$D$1:$G$2,2,FALSE),FALSE),
IF(P537="En programación",M537,""))</f>
        <v/>
      </c>
      <c r="S537" s="25" t="str">
        <f t="shared" si="26"/>
        <v/>
      </c>
      <c r="T537" s="21" t="str">
        <f>IFERROR(
(VLOOKUP(MONTH(R537),Meses!$B$3:$C$14,2,FALSE)-DAY(R537))/VLOOKUP(MONTH(R537),Meses!$B$3:$C$14,2,FALSE)*U537,
"")</f>
        <v/>
      </c>
      <c r="U537" s="22">
        <f t="shared" si="25"/>
        <v>1310</v>
      </c>
    </row>
    <row r="538" spans="1:21" ht="32.4" hidden="1" thickBot="1" x14ac:dyDescent="0.6">
      <c r="A538" s="10" t="s">
        <v>694</v>
      </c>
      <c r="B538" s="10" t="s">
        <v>695</v>
      </c>
      <c r="C538" s="12">
        <v>45113</v>
      </c>
      <c r="D538" s="10" t="s">
        <v>23</v>
      </c>
      <c r="E538" s="10" t="s">
        <v>23</v>
      </c>
      <c r="F538" s="10">
        <v>7759</v>
      </c>
      <c r="G538" s="10" t="s">
        <v>15</v>
      </c>
      <c r="H538" s="10" t="s">
        <v>17</v>
      </c>
      <c r="I538" s="10" t="s">
        <v>43</v>
      </c>
      <c r="J538" s="10" t="s">
        <v>19</v>
      </c>
      <c r="K538" s="10" t="s">
        <v>19</v>
      </c>
      <c r="L538" s="10" t="s">
        <v>19</v>
      </c>
      <c r="M538" s="12"/>
      <c r="N538" s="10" t="s">
        <v>20</v>
      </c>
      <c r="O538" s="10" t="s">
        <v>2054</v>
      </c>
      <c r="P538" s="25" t="str">
        <f>IFERROR(
IF(OR(O538="anulado",O538="stand by"),CONCATENATE(O538,": ",H538),
IF(OR(YEAR(M538)=2022,YEAR(M538)=2023),CONCATENATE("Se activó en ",YEAR(M538)),
IF(AND(OR(O538="En proceso",O538="facturando"),AND(J538="-",M538="")),"Por revisar",
IF(M538="",IF(J538="NUEVAS",CONCATENATE("Estado: ",O538,", ",J538),
IF(L538=Meses!$A$3,"Por revisar",
IF(H538="","Sin registro","En programación Frcst."))),"En programación")))),
"Error")</f>
        <v>Por revisar</v>
      </c>
      <c r="Q538" s="9" t="str">
        <f t="shared" si="24"/>
        <v>programación de act. NO, estado: Facturando, Comercializador: EMCALI, Etapa: Instalado y Activado</v>
      </c>
      <c r="R538" s="25" t="str">
        <f>IF(P538="En programación Frcst.",VLOOKUP(L538,Meses!$A$1:$H$14,3+HLOOKUP(Cronograma!J538,Meses!$D$1:$G$2,2,FALSE),FALSE),
IF(P538="En programación",M538,""))</f>
        <v/>
      </c>
      <c r="S538" s="25" t="str">
        <f t="shared" si="26"/>
        <v/>
      </c>
      <c r="T538" s="21" t="str">
        <f>IFERROR(
(VLOOKUP(MONTH(R538),Meses!$B$3:$C$14,2,FALSE)-DAY(R538))/VLOOKUP(MONTH(R538),Meses!$B$3:$C$14,2,FALSE)*U538,
"")</f>
        <v/>
      </c>
      <c r="U538" s="22">
        <f t="shared" si="25"/>
        <v>7759</v>
      </c>
    </row>
    <row r="539" spans="1:21" ht="32.4" hidden="1" thickBot="1" x14ac:dyDescent="0.6">
      <c r="A539" s="10" t="s">
        <v>696</v>
      </c>
      <c r="B539" s="10" t="s">
        <v>697</v>
      </c>
      <c r="C539" s="12">
        <v>45120</v>
      </c>
      <c r="D539" s="10" t="s">
        <v>14</v>
      </c>
      <c r="E539" s="10" t="s">
        <v>14</v>
      </c>
      <c r="F539" s="10">
        <v>1910</v>
      </c>
      <c r="G539" s="10" t="s">
        <v>15</v>
      </c>
      <c r="H539" s="10" t="s">
        <v>17</v>
      </c>
      <c r="I539" s="10" t="s">
        <v>18</v>
      </c>
      <c r="J539" s="10" t="s">
        <v>19</v>
      </c>
      <c r="K539" s="10" t="s">
        <v>19</v>
      </c>
      <c r="L539" s="10" t="s">
        <v>19</v>
      </c>
      <c r="M539" s="12"/>
      <c r="N539" s="10" t="s">
        <v>20</v>
      </c>
      <c r="O539" s="10" t="s">
        <v>2054</v>
      </c>
      <c r="P539" s="25" t="str">
        <f>IFERROR(
IF(OR(O539="anulado",O539="stand by"),CONCATENATE(O539,": ",H539),
IF(OR(YEAR(M539)=2022,YEAR(M539)=2023),CONCATENATE("Se activó en ",YEAR(M539)),
IF(AND(OR(O539="En proceso",O539="facturando"),AND(J539="-",M539="")),"Por revisar",
IF(M539="",IF(J539="NUEVAS",CONCATENATE("Estado: ",O539,", ",J539),
IF(L539=Meses!$A$3,"Por revisar",
IF(H539="","Sin registro","En programación Frcst."))),"En programación")))),
"Error")</f>
        <v>Por revisar</v>
      </c>
      <c r="Q539" s="9" t="str">
        <f t="shared" si="24"/>
        <v>programación de act. NO, estado: Facturando, Comercializador: ENEL, Etapa: Instalado y Activado</v>
      </c>
      <c r="R539" s="25" t="str">
        <f>IF(P539="En programación Frcst.",VLOOKUP(L539,Meses!$A$1:$H$14,3+HLOOKUP(Cronograma!J539,Meses!$D$1:$G$2,2,FALSE),FALSE),
IF(P539="En programación",M539,""))</f>
        <v/>
      </c>
      <c r="S539" s="25" t="str">
        <f t="shared" si="26"/>
        <v/>
      </c>
      <c r="T539" s="21" t="str">
        <f>IFERROR(
(VLOOKUP(MONTH(R539),Meses!$B$3:$C$14,2,FALSE)-DAY(R539))/VLOOKUP(MONTH(R539),Meses!$B$3:$C$14,2,FALSE)*U539,
"")</f>
        <v/>
      </c>
      <c r="U539" s="22">
        <f t="shared" si="25"/>
        <v>1910</v>
      </c>
    </row>
    <row r="540" spans="1:21" ht="31.8" hidden="1" thickBot="1" x14ac:dyDescent="0.6">
      <c r="A540" s="10" t="s">
        <v>696</v>
      </c>
      <c r="B540" s="10" t="s">
        <v>698</v>
      </c>
      <c r="C540" s="12"/>
      <c r="D540" s="10" t="s">
        <v>14</v>
      </c>
      <c r="E540" s="10" t="s">
        <v>14</v>
      </c>
      <c r="F540" s="10">
        <v>2948</v>
      </c>
      <c r="G540" s="10" t="s">
        <v>15</v>
      </c>
      <c r="H540" s="10" t="s">
        <v>2921</v>
      </c>
      <c r="I540" s="10" t="s">
        <v>18</v>
      </c>
      <c r="J540" s="10" t="s">
        <v>292</v>
      </c>
      <c r="K540" s="10" t="s">
        <v>1697</v>
      </c>
      <c r="L540" s="10" t="s">
        <v>1120</v>
      </c>
      <c r="M540" s="12">
        <v>45379</v>
      </c>
      <c r="N540" s="10" t="s">
        <v>15</v>
      </c>
      <c r="O540" s="10" t="s">
        <v>2057</v>
      </c>
      <c r="P540" s="25" t="str">
        <f>IFERROR(
IF(OR(O540="anulado",O540="stand by"),CONCATENATE(O540,": ",H540),
IF(OR(YEAR(M540)=2022,YEAR(M540)=2023),CONCATENATE("Se activó en ",YEAR(M540)),
IF(AND(OR(O540="En proceso",O540="facturando"),AND(J540="-",M540="")),"Por revisar",
IF(M540="",IF(J540="NUEVAS",CONCATENATE("Estado: ",O540,", ",J540),
IF(L540=Meses!$A$3,"Por revisar",
IF(H540="","Sin registro","En programación Frcst."))),"En programación")))),
"Error")</f>
        <v>En programación</v>
      </c>
      <c r="Q540" s="9" t="str">
        <f t="shared" si="24"/>
        <v/>
      </c>
      <c r="R540" s="25">
        <f>IF(P540="En programación Frcst.",VLOOKUP(L540,Meses!$A$1:$H$14,3+HLOOKUP(Cronograma!J540,Meses!$D$1:$G$2,2,FALSE),FALSE),
IF(P540="En programación",M540,""))</f>
        <v>45379</v>
      </c>
      <c r="S540" s="25" t="str">
        <f t="shared" si="26"/>
        <v>2024/3</v>
      </c>
      <c r="T540" s="21">
        <f>IFERROR(
(VLOOKUP(MONTH(R540),Meses!$B$3:$C$14,2,FALSE)-DAY(R540))/VLOOKUP(MONTH(R540),Meses!$B$3:$C$14,2,FALSE)*U540,
"")</f>
        <v>285.29032258064518</v>
      </c>
      <c r="U540" s="22">
        <f t="shared" si="25"/>
        <v>2948</v>
      </c>
    </row>
    <row r="541" spans="1:21" ht="63" hidden="1" thickBot="1" x14ac:dyDescent="0.6">
      <c r="A541" s="10" t="s">
        <v>699</v>
      </c>
      <c r="B541" s="10" t="s">
        <v>700</v>
      </c>
      <c r="C541" s="12">
        <v>45148</v>
      </c>
      <c r="D541" s="10" t="s">
        <v>14</v>
      </c>
      <c r="E541" s="10" t="s">
        <v>14</v>
      </c>
      <c r="F541" s="10">
        <v>26200</v>
      </c>
      <c r="G541" s="10" t="s">
        <v>15</v>
      </c>
      <c r="H541" s="10" t="s">
        <v>17</v>
      </c>
      <c r="I541" s="10" t="s">
        <v>18</v>
      </c>
      <c r="J541" s="10" t="s">
        <v>19</v>
      </c>
      <c r="K541" s="10" t="s">
        <v>19</v>
      </c>
      <c r="L541" s="10" t="s">
        <v>19</v>
      </c>
      <c r="M541" s="12"/>
      <c r="N541" s="10" t="s">
        <v>20</v>
      </c>
      <c r="O541" s="10" t="s">
        <v>2054</v>
      </c>
      <c r="P541" s="25" t="str">
        <f>IFERROR(
IF(OR(O541="anulado",O541="stand by"),CONCATENATE(O541,": ",H541),
IF(OR(YEAR(M541)=2022,YEAR(M541)=2023),CONCATENATE("Se activó en ",YEAR(M541)),
IF(AND(OR(O541="En proceso",O541="facturando"),AND(J541="-",M541="")),"Por revisar",
IF(M541="",IF(J541="NUEVAS",CONCATENATE("Estado: ",O541,", ",J541),
IF(L541=Meses!$A$3,"Por revisar",
IF(H541="","Sin registro","En programación Frcst."))),"En programación")))),
"Error")</f>
        <v>Por revisar</v>
      </c>
      <c r="Q541" s="9" t="str">
        <f t="shared" si="24"/>
        <v>programación de act. NO, estado: Facturando, Comercializador: ENEL, Etapa: Instalado y Activado</v>
      </c>
      <c r="R541" s="25" t="str">
        <f>IF(P541="En programación Frcst.",VLOOKUP(L541,Meses!$A$1:$H$14,3+HLOOKUP(Cronograma!J541,Meses!$D$1:$G$2,2,FALSE),FALSE),
IF(P541="En programación",M541,""))</f>
        <v/>
      </c>
      <c r="S541" s="25" t="str">
        <f t="shared" si="26"/>
        <v/>
      </c>
      <c r="T541" s="21" t="str">
        <f>IFERROR(
(VLOOKUP(MONTH(R541),Meses!$B$3:$C$14,2,FALSE)-DAY(R541))/VLOOKUP(MONTH(R541),Meses!$B$3:$C$14,2,FALSE)*U541,
"")</f>
        <v/>
      </c>
      <c r="U541" s="22">
        <f t="shared" si="25"/>
        <v>26200</v>
      </c>
    </row>
    <row r="542" spans="1:21" ht="31.8" hidden="1" thickBot="1" x14ac:dyDescent="0.6">
      <c r="A542" s="10" t="s">
        <v>701</v>
      </c>
      <c r="B542" s="10" t="s">
        <v>702</v>
      </c>
      <c r="C542" s="12"/>
      <c r="D542" s="10" t="s">
        <v>671</v>
      </c>
      <c r="E542" s="10" t="s">
        <v>289</v>
      </c>
      <c r="F542" s="10">
        <v>8420</v>
      </c>
      <c r="G542" s="10" t="s">
        <v>15</v>
      </c>
      <c r="H542" s="10" t="s">
        <v>140</v>
      </c>
      <c r="I542" s="10" t="s">
        <v>18</v>
      </c>
      <c r="J542" s="10" t="s">
        <v>292</v>
      </c>
      <c r="K542" s="10" t="s">
        <v>1697</v>
      </c>
      <c r="L542" s="10" t="s">
        <v>1120</v>
      </c>
      <c r="M542" s="12">
        <v>45379</v>
      </c>
      <c r="N542" s="10" t="s">
        <v>15</v>
      </c>
      <c r="O542" s="10" t="s">
        <v>2056</v>
      </c>
      <c r="P542" s="25" t="str">
        <f>IFERROR(
IF(OR(O542="anulado",O542="stand by"),CONCATENATE(O542,": ",H542),
IF(OR(YEAR(M542)=2022,YEAR(M542)=2023),CONCATENATE("Se activó en ",YEAR(M542)),
IF(AND(OR(O542="En proceso",O542="facturando"),AND(J542="-",M542="")),"Por revisar",
IF(M542="",IF(J542="NUEVAS",CONCATENATE("Estado: ",O542,", ",J542),
IF(L542=Meses!$A$3,"Por revisar",
IF(H542="","Sin registro","En programación Frcst."))),"En programación")))),
"Error")</f>
        <v>anulado: Desistido</v>
      </c>
      <c r="Q542" s="9" t="str">
        <f t="shared" si="24"/>
        <v/>
      </c>
      <c r="R542" s="25" t="str">
        <f>IF(P542="En programación Frcst.",VLOOKUP(L542,Meses!$A$1:$H$14,3+HLOOKUP(Cronograma!J542,Meses!$D$1:$G$2,2,FALSE),FALSE),
IF(P542="En programación",M542,""))</f>
        <v/>
      </c>
      <c r="S542" s="25" t="str">
        <f t="shared" si="26"/>
        <v/>
      </c>
      <c r="T542" s="21" t="str">
        <f>IFERROR(
(VLOOKUP(MONTH(R542),Meses!$B$3:$C$14,2,FALSE)-DAY(R542))/VLOOKUP(MONTH(R542),Meses!$B$3:$C$14,2,FALSE)*U542,
"")</f>
        <v/>
      </c>
      <c r="U542" s="22">
        <f t="shared" si="25"/>
        <v>8420</v>
      </c>
    </row>
    <row r="543" spans="1:21" ht="31.8" hidden="1" thickBot="1" x14ac:dyDescent="0.6">
      <c r="A543" s="10" t="s">
        <v>701</v>
      </c>
      <c r="B543" s="10" t="s">
        <v>703</v>
      </c>
      <c r="C543" s="12"/>
      <c r="D543" s="10" t="s">
        <v>74</v>
      </c>
      <c r="E543" s="10" t="s">
        <v>74</v>
      </c>
      <c r="F543" s="10">
        <v>1</v>
      </c>
      <c r="G543" s="10" t="s">
        <v>15</v>
      </c>
      <c r="H543" s="10" t="s">
        <v>2917</v>
      </c>
      <c r="I543" s="10" t="s">
        <v>43</v>
      </c>
      <c r="J543" s="10" t="s">
        <v>143</v>
      </c>
      <c r="K543" s="10" t="s">
        <v>2895</v>
      </c>
      <c r="L543" s="10" t="s">
        <v>2292</v>
      </c>
      <c r="M543" s="12">
        <v>45400</v>
      </c>
      <c r="N543" s="10" t="s">
        <v>15</v>
      </c>
      <c r="O543" s="10" t="s">
        <v>2057</v>
      </c>
      <c r="P543" s="25" t="str">
        <f>IFERROR(
IF(OR(O543="anulado",O543="stand by"),CONCATENATE(O543,": ",H543),
IF(OR(YEAR(M543)=2022,YEAR(M543)=2023),CONCATENATE("Se activó en ",YEAR(M543)),
IF(AND(OR(O543="En proceso",O543="facturando"),AND(J543="-",M543="")),"Por revisar",
IF(M543="",IF(J543="NUEVAS",CONCATENATE("Estado: ",O543,", ",J543),
IF(L543=Meses!$A$3,"Por revisar",
IF(H543="","Sin registro","En programación Frcst."))),"En programación")))),
"Error")</f>
        <v>En programación</v>
      </c>
      <c r="Q543" s="9" t="str">
        <f t="shared" si="24"/>
        <v/>
      </c>
      <c r="R543" s="25">
        <f>IF(P543="En programación Frcst.",VLOOKUP(L543,Meses!$A$1:$H$14,3+HLOOKUP(Cronograma!J543,Meses!$D$1:$G$2,2,FALSE),FALSE),
IF(P543="En programación",M543,""))</f>
        <v>45400</v>
      </c>
      <c r="S543" s="25" t="str">
        <f t="shared" si="26"/>
        <v>2024/4</v>
      </c>
      <c r="T543" s="21">
        <f>IFERROR(
(VLOOKUP(MONTH(R543),Meses!$B$3:$C$14,2,FALSE)-DAY(R543))/VLOOKUP(MONTH(R543),Meses!$B$3:$C$14,2,FALSE)*U543,
"")</f>
        <v>0.4</v>
      </c>
      <c r="U543" s="22">
        <f t="shared" si="25"/>
        <v>1</v>
      </c>
    </row>
    <row r="544" spans="1:21" ht="32.4" hidden="1" thickBot="1" x14ac:dyDescent="0.6">
      <c r="A544" s="10" t="s">
        <v>701</v>
      </c>
      <c r="B544" s="10" t="s">
        <v>704</v>
      </c>
      <c r="C544" s="12">
        <v>45155</v>
      </c>
      <c r="D544" s="10" t="s">
        <v>14</v>
      </c>
      <c r="E544" s="10" t="s">
        <v>14</v>
      </c>
      <c r="F544" s="10">
        <v>14884</v>
      </c>
      <c r="G544" s="10" t="s">
        <v>15</v>
      </c>
      <c r="H544" s="10" t="s">
        <v>17</v>
      </c>
      <c r="I544" s="10" t="s">
        <v>18</v>
      </c>
      <c r="J544" s="10" t="s">
        <v>19</v>
      </c>
      <c r="K544" s="10" t="s">
        <v>19</v>
      </c>
      <c r="L544" s="10" t="s">
        <v>19</v>
      </c>
      <c r="M544" s="12"/>
      <c r="N544" s="10" t="s">
        <v>20</v>
      </c>
      <c r="O544" s="10" t="s">
        <v>2054</v>
      </c>
      <c r="P544" s="25" t="str">
        <f>IFERROR(
IF(OR(O544="anulado",O544="stand by"),CONCATENATE(O544,": ",H544),
IF(OR(YEAR(M544)=2022,YEAR(M544)=2023),CONCATENATE("Se activó en ",YEAR(M544)),
IF(AND(OR(O544="En proceso",O544="facturando"),AND(J544="-",M544="")),"Por revisar",
IF(M544="",IF(J544="NUEVAS",CONCATENATE("Estado: ",O544,", ",J544),
IF(L544=Meses!$A$3,"Por revisar",
IF(H544="","Sin registro","En programación Frcst."))),"En programación")))),
"Error")</f>
        <v>Por revisar</v>
      </c>
      <c r="Q544" s="9" t="str">
        <f t="shared" si="24"/>
        <v>programación de act. NO, estado: Facturando, Comercializador: ENEL, Etapa: Instalado y Activado</v>
      </c>
      <c r="R544" s="25" t="str">
        <f>IF(P544="En programación Frcst.",VLOOKUP(L544,Meses!$A$1:$H$14,3+HLOOKUP(Cronograma!J544,Meses!$D$1:$G$2,2,FALSE),FALSE),
IF(P544="En programación",M544,""))</f>
        <v/>
      </c>
      <c r="S544" s="25" t="str">
        <f t="shared" si="26"/>
        <v/>
      </c>
      <c r="T544" s="21" t="str">
        <f>IFERROR(
(VLOOKUP(MONTH(R544),Meses!$B$3:$C$14,2,FALSE)-DAY(R544))/VLOOKUP(MONTH(R544),Meses!$B$3:$C$14,2,FALSE)*U544,
"")</f>
        <v/>
      </c>
      <c r="U544" s="22">
        <f t="shared" si="25"/>
        <v>14884</v>
      </c>
    </row>
    <row r="545" spans="1:21" ht="31.8" hidden="1" thickBot="1" x14ac:dyDescent="0.6">
      <c r="A545" s="10" t="s">
        <v>701</v>
      </c>
      <c r="B545" s="10" t="s">
        <v>705</v>
      </c>
      <c r="C545" s="12"/>
      <c r="D545" s="10" t="s">
        <v>23</v>
      </c>
      <c r="E545" s="10" t="s">
        <v>23</v>
      </c>
      <c r="F545" s="10">
        <v>16927</v>
      </c>
      <c r="G545" s="10" t="s">
        <v>15</v>
      </c>
      <c r="H545" s="10" t="s">
        <v>2921</v>
      </c>
      <c r="I545" s="10" t="s">
        <v>43</v>
      </c>
      <c r="J545" s="10" t="s">
        <v>143</v>
      </c>
      <c r="K545" s="10" t="s">
        <v>3309</v>
      </c>
      <c r="L545" s="10" t="s">
        <v>1120</v>
      </c>
      <c r="M545" s="12">
        <v>45365</v>
      </c>
      <c r="N545" s="10" t="s">
        <v>15</v>
      </c>
      <c r="O545" s="10" t="s">
        <v>2057</v>
      </c>
      <c r="P545" s="25" t="str">
        <f>IFERROR(
IF(OR(O545="anulado",O545="stand by"),CONCATENATE(O545,": ",H545),
IF(OR(YEAR(M545)=2022,YEAR(M545)=2023),CONCATENATE("Se activó en ",YEAR(M545)),
IF(AND(OR(O545="En proceso",O545="facturando"),AND(J545="-",M545="")),"Por revisar",
IF(M545="",IF(J545="NUEVAS",CONCATENATE("Estado: ",O545,", ",J545),
IF(L545=Meses!$A$3,"Por revisar",
IF(H545="","Sin registro","En programación Frcst."))),"En programación")))),
"Error")</f>
        <v>En programación</v>
      </c>
      <c r="Q545" s="9" t="str">
        <f t="shared" si="24"/>
        <v/>
      </c>
      <c r="R545" s="25">
        <f>IF(P545="En programación Frcst.",VLOOKUP(L545,Meses!$A$1:$H$14,3+HLOOKUP(Cronograma!J545,Meses!$D$1:$G$2,2,FALSE),FALSE),
IF(P545="En programación",M545,""))</f>
        <v>45365</v>
      </c>
      <c r="S545" s="25" t="str">
        <f t="shared" si="26"/>
        <v>2024/3</v>
      </c>
      <c r="T545" s="21">
        <f>IFERROR(
(VLOOKUP(MONTH(R545),Meses!$B$3:$C$14,2,FALSE)-DAY(R545))/VLOOKUP(MONTH(R545),Meses!$B$3:$C$14,2,FALSE)*U545,
"")</f>
        <v>9282.5483870967728</v>
      </c>
      <c r="U545" s="22">
        <f t="shared" si="25"/>
        <v>16927</v>
      </c>
    </row>
    <row r="546" spans="1:21" ht="32.4" hidden="1" thickBot="1" x14ac:dyDescent="0.6">
      <c r="A546" s="10" t="s">
        <v>701</v>
      </c>
      <c r="B546" s="10" t="s">
        <v>706</v>
      </c>
      <c r="C546" s="12">
        <v>45134</v>
      </c>
      <c r="D546" s="10" t="s">
        <v>14</v>
      </c>
      <c r="E546" s="10" t="s">
        <v>14</v>
      </c>
      <c r="F546" s="10">
        <v>5470</v>
      </c>
      <c r="G546" s="10" t="s">
        <v>15</v>
      </c>
      <c r="H546" s="10" t="s">
        <v>17</v>
      </c>
      <c r="I546" s="10" t="s">
        <v>18</v>
      </c>
      <c r="J546" s="10" t="s">
        <v>19</v>
      </c>
      <c r="K546" s="10" t="s">
        <v>19</v>
      </c>
      <c r="L546" s="10" t="s">
        <v>19</v>
      </c>
      <c r="M546" s="12"/>
      <c r="N546" s="10" t="s">
        <v>20</v>
      </c>
      <c r="O546" s="10" t="s">
        <v>2054</v>
      </c>
      <c r="P546" s="25" t="str">
        <f>IFERROR(
IF(OR(O546="anulado",O546="stand by"),CONCATENATE(O546,": ",H546),
IF(OR(YEAR(M546)=2022,YEAR(M546)=2023),CONCATENATE("Se activó en ",YEAR(M546)),
IF(AND(OR(O546="En proceso",O546="facturando"),AND(J546="-",M546="")),"Por revisar",
IF(M546="",IF(J546="NUEVAS",CONCATENATE("Estado: ",O546,", ",J546),
IF(L546=Meses!$A$3,"Por revisar",
IF(H546="","Sin registro","En programación Frcst."))),"En programación")))),
"Error")</f>
        <v>Por revisar</v>
      </c>
      <c r="Q546" s="9" t="str">
        <f t="shared" si="24"/>
        <v>programación de act. NO, estado: Facturando, Comercializador: ENEL, Etapa: Instalado y Activado</v>
      </c>
      <c r="R546" s="25" t="str">
        <f>IF(P546="En programación Frcst.",VLOOKUP(L546,Meses!$A$1:$H$14,3+HLOOKUP(Cronograma!J546,Meses!$D$1:$G$2,2,FALSE),FALSE),
IF(P546="En programación",M546,""))</f>
        <v/>
      </c>
      <c r="S546" s="25" t="str">
        <f t="shared" si="26"/>
        <v/>
      </c>
      <c r="T546" s="21" t="str">
        <f>IFERROR(
(VLOOKUP(MONTH(R546),Meses!$B$3:$C$14,2,FALSE)-DAY(R546))/VLOOKUP(MONTH(R546),Meses!$B$3:$C$14,2,FALSE)*U546,
"")</f>
        <v/>
      </c>
      <c r="U546" s="22">
        <f t="shared" si="25"/>
        <v>5470</v>
      </c>
    </row>
    <row r="547" spans="1:21" ht="31.8" hidden="1" thickBot="1" x14ac:dyDescent="0.6">
      <c r="A547" s="10" t="s">
        <v>701</v>
      </c>
      <c r="B547" s="10" t="s">
        <v>707</v>
      </c>
      <c r="C547" s="12"/>
      <c r="D547" s="10" t="s">
        <v>74</v>
      </c>
      <c r="E547" s="10" t="s">
        <v>74</v>
      </c>
      <c r="F547" s="10">
        <v>12400</v>
      </c>
      <c r="G547" s="10" t="s">
        <v>15</v>
      </c>
      <c r="H547" s="10" t="s">
        <v>2916</v>
      </c>
      <c r="I547" s="10" t="s">
        <v>43</v>
      </c>
      <c r="J547" s="10" t="s">
        <v>143</v>
      </c>
      <c r="K547" s="10" t="s">
        <v>2895</v>
      </c>
      <c r="L547" s="10" t="s">
        <v>2292</v>
      </c>
      <c r="M547" s="12">
        <v>45400</v>
      </c>
      <c r="N547" s="10" t="s">
        <v>15</v>
      </c>
      <c r="O547" s="10" t="s">
        <v>2057</v>
      </c>
      <c r="P547" s="25" t="str">
        <f>IFERROR(
IF(OR(O547="anulado",O547="stand by"),CONCATENATE(O547,": ",H547),
IF(OR(YEAR(M547)=2022,YEAR(M547)=2023),CONCATENATE("Se activó en ",YEAR(M547)),
IF(AND(OR(O547="En proceso",O547="facturando"),AND(J547="-",M547="")),"Por revisar",
IF(M547="",IF(J547="NUEVAS",CONCATENATE("Estado: ",O547,", ",J547),
IF(L547=Meses!$A$3,"Por revisar",
IF(H547="","Sin registro","En programación Frcst."))),"En programación")))),
"Error")</f>
        <v>En programación</v>
      </c>
      <c r="Q547" s="9" t="str">
        <f t="shared" si="24"/>
        <v/>
      </c>
      <c r="R547" s="25">
        <f>IF(P547="En programación Frcst.",VLOOKUP(L547,Meses!$A$1:$H$14,3+HLOOKUP(Cronograma!J547,Meses!$D$1:$G$2,2,FALSE),FALSE),
IF(P547="En programación",M547,""))</f>
        <v>45400</v>
      </c>
      <c r="S547" s="25" t="str">
        <f t="shared" si="26"/>
        <v>2024/4</v>
      </c>
      <c r="T547" s="21">
        <f>IFERROR(
(VLOOKUP(MONTH(R547),Meses!$B$3:$C$14,2,FALSE)-DAY(R547))/VLOOKUP(MONTH(R547),Meses!$B$3:$C$14,2,FALSE)*U547,
"")</f>
        <v>4960</v>
      </c>
      <c r="U547" s="22">
        <f t="shared" si="25"/>
        <v>12400</v>
      </c>
    </row>
    <row r="548" spans="1:21" ht="31.8" hidden="1" thickBot="1" x14ac:dyDescent="0.6">
      <c r="A548" s="10" t="s">
        <v>701</v>
      </c>
      <c r="B548" s="10" t="s">
        <v>708</v>
      </c>
      <c r="C548" s="12"/>
      <c r="D548" s="10" t="s">
        <v>23</v>
      </c>
      <c r="E548" s="10" t="s">
        <v>23</v>
      </c>
      <c r="F548" s="10">
        <v>15860</v>
      </c>
      <c r="G548" s="10" t="s">
        <v>15</v>
      </c>
      <c r="H548" s="10" t="s">
        <v>2921</v>
      </c>
      <c r="I548" s="10" t="s">
        <v>43</v>
      </c>
      <c r="J548" s="10" t="s">
        <v>143</v>
      </c>
      <c r="K548" s="10" t="s">
        <v>3309</v>
      </c>
      <c r="L548" s="10" t="s">
        <v>1120</v>
      </c>
      <c r="M548" s="12">
        <v>45365</v>
      </c>
      <c r="N548" s="10" t="s">
        <v>15</v>
      </c>
      <c r="O548" s="10" t="s">
        <v>2057</v>
      </c>
      <c r="P548" s="25" t="str">
        <f>IFERROR(
IF(OR(O548="anulado",O548="stand by"),CONCATENATE(O548,": ",H548),
IF(OR(YEAR(M548)=2022,YEAR(M548)=2023),CONCATENATE("Se activó en ",YEAR(M548)),
IF(AND(OR(O548="En proceso",O548="facturando"),AND(J548="-",M548="")),"Por revisar",
IF(M548="",IF(J548="NUEVAS",CONCATENATE("Estado: ",O548,", ",J548),
IF(L548=Meses!$A$3,"Por revisar",
IF(H548="","Sin registro","En programación Frcst."))),"En programación")))),
"Error")</f>
        <v>En programación</v>
      </c>
      <c r="Q548" s="9" t="str">
        <f t="shared" si="24"/>
        <v/>
      </c>
      <c r="R548" s="25">
        <f>IF(P548="En programación Frcst.",VLOOKUP(L548,Meses!$A$1:$H$14,3+HLOOKUP(Cronograma!J548,Meses!$D$1:$G$2,2,FALSE),FALSE),
IF(P548="En programación",M548,""))</f>
        <v>45365</v>
      </c>
      <c r="S548" s="25" t="str">
        <f t="shared" si="26"/>
        <v>2024/3</v>
      </c>
      <c r="T548" s="21">
        <f>IFERROR(
(VLOOKUP(MONTH(R548),Meses!$B$3:$C$14,2,FALSE)-DAY(R548))/VLOOKUP(MONTH(R548),Meses!$B$3:$C$14,2,FALSE)*U548,
"")</f>
        <v>8697.4193548387084</v>
      </c>
      <c r="U548" s="22">
        <f t="shared" si="25"/>
        <v>15860</v>
      </c>
    </row>
    <row r="549" spans="1:21" ht="32.4" hidden="1" thickBot="1" x14ac:dyDescent="0.6">
      <c r="A549" s="10" t="s">
        <v>701</v>
      </c>
      <c r="B549" s="10" t="s">
        <v>709</v>
      </c>
      <c r="C549" s="12">
        <v>45295</v>
      </c>
      <c r="D549" s="10" t="s">
        <v>41</v>
      </c>
      <c r="E549" s="10" t="s">
        <v>41</v>
      </c>
      <c r="F549" s="10">
        <v>11673</v>
      </c>
      <c r="G549" s="10" t="s">
        <v>15</v>
      </c>
      <c r="H549" s="10" t="s">
        <v>17</v>
      </c>
      <c r="I549" s="10" t="s">
        <v>43</v>
      </c>
      <c r="J549" s="10" t="s">
        <v>143</v>
      </c>
      <c r="K549" s="10" t="s">
        <v>144</v>
      </c>
      <c r="L549" s="10" t="s">
        <v>145</v>
      </c>
      <c r="M549" s="12"/>
      <c r="N549" s="10" t="s">
        <v>15</v>
      </c>
      <c r="O549" s="10" t="s">
        <v>2054</v>
      </c>
      <c r="P549" s="25" t="str">
        <f>IFERROR(
IF(OR(O549="anulado",O549="stand by"),CONCATENATE(O549,": ",H549),
IF(OR(YEAR(M549)=2022,YEAR(M549)=2023),CONCATENATE("Se activó en ",YEAR(M549)),
IF(AND(OR(O549="En proceso",O549="facturando"),AND(J549="-",M549="")),"Por revisar",
IF(M549="",IF(J549="NUEVAS",CONCATENATE("Estado: ",O549,", ",J549),
IF(L549=Meses!$A$3,"Por revisar",
IF(H549="","Sin registro","En programación Frcst."))),"En programación")))),
"Error")</f>
        <v>Por revisar</v>
      </c>
      <c r="Q549" s="9" t="str">
        <f t="shared" si="24"/>
        <v>programación de act. SI, estado: Facturando, Comercializador: EPM, Etapa: Instalado y Activado</v>
      </c>
      <c r="R549" s="25" t="str">
        <f>IF(P549="En programación Frcst.",VLOOKUP(L549,Meses!$A$1:$H$14,3+HLOOKUP(Cronograma!J549,Meses!$D$1:$G$2,2,FALSE),FALSE),
IF(P549="En programación",M549,""))</f>
        <v/>
      </c>
      <c r="S549" s="25" t="str">
        <f t="shared" si="26"/>
        <v/>
      </c>
      <c r="T549" s="21" t="str">
        <f>IFERROR(
(VLOOKUP(MONTH(R549),Meses!$B$3:$C$14,2,FALSE)-DAY(R549))/VLOOKUP(MONTH(R549),Meses!$B$3:$C$14,2,FALSE)*U549,
"")</f>
        <v/>
      </c>
      <c r="U549" s="22">
        <f t="shared" si="25"/>
        <v>11673</v>
      </c>
    </row>
    <row r="550" spans="1:21" ht="31.8" hidden="1" thickBot="1" x14ac:dyDescent="0.6">
      <c r="A550" s="10" t="s">
        <v>701</v>
      </c>
      <c r="B550" s="10" t="s">
        <v>710</v>
      </c>
      <c r="C550" s="12"/>
      <c r="D550" s="10" t="s">
        <v>14</v>
      </c>
      <c r="E550" s="10" t="s">
        <v>14</v>
      </c>
      <c r="F550" s="10">
        <v>773</v>
      </c>
      <c r="G550" s="10" t="s">
        <v>15</v>
      </c>
      <c r="H550" s="10" t="s">
        <v>2916</v>
      </c>
      <c r="I550" s="10" t="s">
        <v>18</v>
      </c>
      <c r="J550" s="10" t="s">
        <v>277</v>
      </c>
      <c r="K550" s="10" t="s">
        <v>3327</v>
      </c>
      <c r="L550" s="10" t="s">
        <v>2292</v>
      </c>
      <c r="M550" s="12">
        <v>45400</v>
      </c>
      <c r="N550" s="10" t="s">
        <v>15</v>
      </c>
      <c r="O550" s="10" t="s">
        <v>2057</v>
      </c>
      <c r="P550" s="25" t="str">
        <f>IFERROR(
IF(OR(O550="anulado",O550="stand by"),CONCATENATE(O550,": ",H550),
IF(OR(YEAR(M550)=2022,YEAR(M550)=2023),CONCATENATE("Se activó en ",YEAR(M550)),
IF(AND(OR(O550="En proceso",O550="facturando"),AND(J550="-",M550="")),"Por revisar",
IF(M550="",IF(J550="NUEVAS",CONCATENATE("Estado: ",O550,", ",J550),
IF(L550=Meses!$A$3,"Por revisar",
IF(H550="","Sin registro","En programación Frcst."))),"En programación")))),
"Error")</f>
        <v>En programación</v>
      </c>
      <c r="Q550" s="9" t="str">
        <f t="shared" si="24"/>
        <v/>
      </c>
      <c r="R550" s="25">
        <f>IF(P550="En programación Frcst.",VLOOKUP(L550,Meses!$A$1:$H$14,3+HLOOKUP(Cronograma!J550,Meses!$D$1:$G$2,2,FALSE),FALSE),
IF(P550="En programación",M550,""))</f>
        <v>45400</v>
      </c>
      <c r="S550" s="25" t="str">
        <f t="shared" si="26"/>
        <v>2024/4</v>
      </c>
      <c r="T550" s="21">
        <f>IFERROR(
(VLOOKUP(MONTH(R550),Meses!$B$3:$C$14,2,FALSE)-DAY(R550))/VLOOKUP(MONTH(R550),Meses!$B$3:$C$14,2,FALSE)*U550,
"")</f>
        <v>309.20000000000005</v>
      </c>
      <c r="U550" s="22">
        <f t="shared" si="25"/>
        <v>773</v>
      </c>
    </row>
    <row r="551" spans="1:21" ht="31.8" hidden="1" thickBot="1" x14ac:dyDescent="0.6">
      <c r="A551" s="10" t="s">
        <v>701</v>
      </c>
      <c r="B551" s="10" t="s">
        <v>711</v>
      </c>
      <c r="C551" s="12"/>
      <c r="D551" s="10" t="s">
        <v>41</v>
      </c>
      <c r="E551" s="10" t="s">
        <v>41</v>
      </c>
      <c r="F551" s="10">
        <v>11270</v>
      </c>
      <c r="G551" s="10" t="s">
        <v>15</v>
      </c>
      <c r="H551" s="10" t="s">
        <v>2916</v>
      </c>
      <c r="I551" s="10" t="s">
        <v>43</v>
      </c>
      <c r="J551" s="10" t="s">
        <v>143</v>
      </c>
      <c r="K551" s="10" t="s">
        <v>2895</v>
      </c>
      <c r="L551" s="10" t="s">
        <v>2292</v>
      </c>
      <c r="M551" s="12">
        <v>45400</v>
      </c>
      <c r="N551" s="10" t="s">
        <v>15</v>
      </c>
      <c r="O551" s="10" t="s">
        <v>2057</v>
      </c>
      <c r="P551" s="25" t="str">
        <f>IFERROR(
IF(OR(O551="anulado",O551="stand by"),CONCATENATE(O551,": ",H551),
IF(OR(YEAR(M551)=2022,YEAR(M551)=2023),CONCATENATE("Se activó en ",YEAR(M551)),
IF(AND(OR(O551="En proceso",O551="facturando"),AND(J551="-",M551="")),"Por revisar",
IF(M551="",IF(J551="NUEVAS",CONCATENATE("Estado: ",O551,", ",J551),
IF(L551=Meses!$A$3,"Por revisar",
IF(H551="","Sin registro","En programación Frcst."))),"En programación")))),
"Error")</f>
        <v>En programación</v>
      </c>
      <c r="Q551" s="9" t="str">
        <f t="shared" si="24"/>
        <v/>
      </c>
      <c r="R551" s="25">
        <f>IF(P551="En programación Frcst.",VLOOKUP(L551,Meses!$A$1:$H$14,3+HLOOKUP(Cronograma!J551,Meses!$D$1:$G$2,2,FALSE),FALSE),
IF(P551="En programación",M551,""))</f>
        <v>45400</v>
      </c>
      <c r="S551" s="25" t="str">
        <f t="shared" si="26"/>
        <v>2024/4</v>
      </c>
      <c r="T551" s="21">
        <f>IFERROR(
(VLOOKUP(MONTH(R551),Meses!$B$3:$C$14,2,FALSE)-DAY(R551))/VLOOKUP(MONTH(R551),Meses!$B$3:$C$14,2,FALSE)*U551,
"")</f>
        <v>4508</v>
      </c>
      <c r="U551" s="22">
        <f t="shared" si="25"/>
        <v>11270</v>
      </c>
    </row>
    <row r="552" spans="1:21" ht="32.4" hidden="1" thickBot="1" x14ac:dyDescent="0.6">
      <c r="A552" s="10" t="s">
        <v>701</v>
      </c>
      <c r="B552" s="10" t="s">
        <v>712</v>
      </c>
      <c r="C552" s="12">
        <v>45155</v>
      </c>
      <c r="D552" s="10" t="s">
        <v>14</v>
      </c>
      <c r="E552" s="10" t="s">
        <v>14</v>
      </c>
      <c r="F552" s="10">
        <v>1</v>
      </c>
      <c r="G552" s="10" t="s">
        <v>15</v>
      </c>
      <c r="H552" s="10" t="s">
        <v>17</v>
      </c>
      <c r="I552" s="10" t="s">
        <v>18</v>
      </c>
      <c r="J552" s="10" t="s">
        <v>19</v>
      </c>
      <c r="K552" s="10" t="s">
        <v>19</v>
      </c>
      <c r="L552" s="10" t="s">
        <v>19</v>
      </c>
      <c r="M552" s="12"/>
      <c r="N552" s="10" t="s">
        <v>20</v>
      </c>
      <c r="O552" s="10" t="s">
        <v>2054</v>
      </c>
      <c r="P552" s="25" t="str">
        <f>IFERROR(
IF(OR(O552="anulado",O552="stand by"),CONCATENATE(O552,": ",H552),
IF(OR(YEAR(M552)=2022,YEAR(M552)=2023),CONCATENATE("Se activó en ",YEAR(M552)),
IF(AND(OR(O552="En proceso",O552="facturando"),AND(J552="-",M552="")),"Por revisar",
IF(M552="",IF(J552="NUEVAS",CONCATENATE("Estado: ",O552,", ",J552),
IF(L552=Meses!$A$3,"Por revisar",
IF(H552="","Sin registro","En programación Frcst."))),"En programación")))),
"Error")</f>
        <v>Por revisar</v>
      </c>
      <c r="Q552" s="9" t="str">
        <f t="shared" si="24"/>
        <v>programación de act. NO, estado: Facturando, Comercializador: ENEL, Etapa: Instalado y Activado</v>
      </c>
      <c r="R552" s="25" t="str">
        <f>IF(P552="En programación Frcst.",VLOOKUP(L552,Meses!$A$1:$H$14,3+HLOOKUP(Cronograma!J552,Meses!$D$1:$G$2,2,FALSE),FALSE),
IF(P552="En programación",M552,""))</f>
        <v/>
      </c>
      <c r="S552" s="25" t="str">
        <f t="shared" si="26"/>
        <v/>
      </c>
      <c r="T552" s="21" t="str">
        <f>IFERROR(
(VLOOKUP(MONTH(R552),Meses!$B$3:$C$14,2,FALSE)-DAY(R552))/VLOOKUP(MONTH(R552),Meses!$B$3:$C$14,2,FALSE)*U552,
"")</f>
        <v/>
      </c>
      <c r="U552" s="22">
        <f t="shared" si="25"/>
        <v>1</v>
      </c>
    </row>
    <row r="553" spans="1:21" ht="32.4" hidden="1" thickBot="1" x14ac:dyDescent="0.6">
      <c r="A553" s="10" t="s">
        <v>701</v>
      </c>
      <c r="B553" s="10" t="s">
        <v>713</v>
      </c>
      <c r="C553" s="12">
        <v>45134</v>
      </c>
      <c r="D553" s="10" t="s">
        <v>14</v>
      </c>
      <c r="E553" s="10" t="s">
        <v>14</v>
      </c>
      <c r="F553" s="10">
        <v>19381</v>
      </c>
      <c r="G553" s="10" t="s">
        <v>15</v>
      </c>
      <c r="H553" s="10" t="s">
        <v>17</v>
      </c>
      <c r="I553" s="10" t="s">
        <v>18</v>
      </c>
      <c r="J553" s="10" t="s">
        <v>19</v>
      </c>
      <c r="K553" s="10" t="s">
        <v>19</v>
      </c>
      <c r="L553" s="10" t="s">
        <v>19</v>
      </c>
      <c r="M553" s="12"/>
      <c r="N553" s="10" t="s">
        <v>20</v>
      </c>
      <c r="O553" s="10" t="s">
        <v>2054</v>
      </c>
      <c r="P553" s="25" t="str">
        <f>IFERROR(
IF(OR(O553="anulado",O553="stand by"),CONCATENATE(O553,": ",H553),
IF(OR(YEAR(M553)=2022,YEAR(M553)=2023),CONCATENATE("Se activó en ",YEAR(M553)),
IF(AND(OR(O553="En proceso",O553="facturando"),AND(J553="-",M553="")),"Por revisar",
IF(M553="",IF(J553="NUEVAS",CONCATENATE("Estado: ",O553,", ",J553),
IF(L553=Meses!$A$3,"Por revisar",
IF(H553="","Sin registro","En programación Frcst."))),"En programación")))),
"Error")</f>
        <v>Por revisar</v>
      </c>
      <c r="Q553" s="9" t="str">
        <f t="shared" si="24"/>
        <v>programación de act. NO, estado: Facturando, Comercializador: ENEL, Etapa: Instalado y Activado</v>
      </c>
      <c r="R553" s="25" t="str">
        <f>IF(P553="En programación Frcst.",VLOOKUP(L553,Meses!$A$1:$H$14,3+HLOOKUP(Cronograma!J553,Meses!$D$1:$G$2,2,FALSE),FALSE),
IF(P553="En programación",M553,""))</f>
        <v/>
      </c>
      <c r="S553" s="25" t="str">
        <f t="shared" si="26"/>
        <v/>
      </c>
      <c r="T553" s="21" t="str">
        <f>IFERROR(
(VLOOKUP(MONTH(R553),Meses!$B$3:$C$14,2,FALSE)-DAY(R553))/VLOOKUP(MONTH(R553),Meses!$B$3:$C$14,2,FALSE)*U553,
"")</f>
        <v/>
      </c>
      <c r="U553" s="22">
        <f t="shared" si="25"/>
        <v>19381</v>
      </c>
    </row>
    <row r="554" spans="1:21" ht="32.4" hidden="1" thickBot="1" x14ac:dyDescent="0.6">
      <c r="A554" s="10" t="s">
        <v>701</v>
      </c>
      <c r="B554" s="10" t="s">
        <v>714</v>
      </c>
      <c r="C554" s="12">
        <v>45169</v>
      </c>
      <c r="D554" s="10" t="s">
        <v>14</v>
      </c>
      <c r="E554" s="10" t="s">
        <v>14</v>
      </c>
      <c r="F554" s="10">
        <v>773.49</v>
      </c>
      <c r="G554" s="10" t="s">
        <v>15</v>
      </c>
      <c r="H554" s="10" t="s">
        <v>17</v>
      </c>
      <c r="I554" s="10" t="s">
        <v>18</v>
      </c>
      <c r="J554" s="10" t="s">
        <v>19</v>
      </c>
      <c r="K554" s="10" t="s">
        <v>19</v>
      </c>
      <c r="L554" s="10" t="s">
        <v>19</v>
      </c>
      <c r="M554" s="12"/>
      <c r="N554" s="10" t="s">
        <v>20</v>
      </c>
      <c r="O554" s="10" t="s">
        <v>2054</v>
      </c>
      <c r="P554" s="25" t="str">
        <f>IFERROR(
IF(OR(O554="anulado",O554="stand by"),CONCATENATE(O554,": ",H554),
IF(OR(YEAR(M554)=2022,YEAR(M554)=2023),CONCATENATE("Se activó en ",YEAR(M554)),
IF(AND(OR(O554="En proceso",O554="facturando"),AND(J554="-",M554="")),"Por revisar",
IF(M554="",IF(J554="NUEVAS",CONCATENATE("Estado: ",O554,", ",J554),
IF(L554=Meses!$A$3,"Por revisar",
IF(H554="","Sin registro","En programación Frcst."))),"En programación")))),
"Error")</f>
        <v>Por revisar</v>
      </c>
      <c r="Q554" s="9" t="str">
        <f t="shared" si="24"/>
        <v>programación de act. NO, estado: Facturando, Comercializador: ENEL, Etapa: Instalado y Activado</v>
      </c>
      <c r="R554" s="25" t="str">
        <f>IF(P554="En programación Frcst.",VLOOKUP(L554,Meses!$A$1:$H$14,3+HLOOKUP(Cronograma!J554,Meses!$D$1:$G$2,2,FALSE),FALSE),
IF(P554="En programación",M554,""))</f>
        <v/>
      </c>
      <c r="S554" s="25" t="str">
        <f t="shared" si="26"/>
        <v/>
      </c>
      <c r="T554" s="21" t="str">
        <f>IFERROR(
(VLOOKUP(MONTH(R554),Meses!$B$3:$C$14,2,FALSE)-DAY(R554))/VLOOKUP(MONTH(R554),Meses!$B$3:$C$14,2,FALSE)*U554,
"")</f>
        <v/>
      </c>
      <c r="U554" s="22">
        <f t="shared" si="25"/>
        <v>773.49</v>
      </c>
    </row>
    <row r="555" spans="1:21" ht="32.4" hidden="1" thickBot="1" x14ac:dyDescent="0.6">
      <c r="A555" s="10" t="s">
        <v>701</v>
      </c>
      <c r="B555" s="10" t="s">
        <v>715</v>
      </c>
      <c r="C555" s="12">
        <v>45155</v>
      </c>
      <c r="D555" s="10" t="s">
        <v>14</v>
      </c>
      <c r="E555" s="10" t="s">
        <v>14</v>
      </c>
      <c r="F555" s="10">
        <v>13064</v>
      </c>
      <c r="G555" s="10" t="s">
        <v>15</v>
      </c>
      <c r="H555" s="10" t="s">
        <v>17</v>
      </c>
      <c r="I555" s="10" t="s">
        <v>18</v>
      </c>
      <c r="J555" s="10" t="s">
        <v>19</v>
      </c>
      <c r="K555" s="10" t="s">
        <v>19</v>
      </c>
      <c r="L555" s="10" t="s">
        <v>19</v>
      </c>
      <c r="M555" s="12"/>
      <c r="N555" s="10" t="s">
        <v>20</v>
      </c>
      <c r="O555" s="10" t="s">
        <v>2054</v>
      </c>
      <c r="P555" s="25" t="str">
        <f>IFERROR(
IF(OR(O555="anulado",O555="stand by"),CONCATENATE(O555,": ",H555),
IF(OR(YEAR(M555)=2022,YEAR(M555)=2023),CONCATENATE("Se activó en ",YEAR(M555)),
IF(AND(OR(O555="En proceso",O555="facturando"),AND(J555="-",M555="")),"Por revisar",
IF(M555="",IF(J555="NUEVAS",CONCATENATE("Estado: ",O555,", ",J555),
IF(L555=Meses!$A$3,"Por revisar",
IF(H555="","Sin registro","En programación Frcst."))),"En programación")))),
"Error")</f>
        <v>Por revisar</v>
      </c>
      <c r="Q555" s="9" t="str">
        <f t="shared" si="24"/>
        <v>programación de act. NO, estado: Facturando, Comercializador: ENEL, Etapa: Instalado y Activado</v>
      </c>
      <c r="R555" s="25" t="str">
        <f>IF(P555="En programación Frcst.",VLOOKUP(L555,Meses!$A$1:$H$14,3+HLOOKUP(Cronograma!J555,Meses!$D$1:$G$2,2,FALSE),FALSE),
IF(P555="En programación",M555,""))</f>
        <v/>
      </c>
      <c r="S555" s="25" t="str">
        <f t="shared" si="26"/>
        <v/>
      </c>
      <c r="T555" s="21" t="str">
        <f>IFERROR(
(VLOOKUP(MONTH(R555),Meses!$B$3:$C$14,2,FALSE)-DAY(R555))/VLOOKUP(MONTH(R555),Meses!$B$3:$C$14,2,FALSE)*U555,
"")</f>
        <v/>
      </c>
      <c r="U555" s="22">
        <f t="shared" si="25"/>
        <v>13064</v>
      </c>
    </row>
    <row r="556" spans="1:21" ht="32.4" hidden="1" thickBot="1" x14ac:dyDescent="0.6">
      <c r="A556" s="10" t="s">
        <v>701</v>
      </c>
      <c r="B556" s="10" t="s">
        <v>716</v>
      </c>
      <c r="C556" s="12">
        <v>45141</v>
      </c>
      <c r="D556" s="10" t="s">
        <v>14</v>
      </c>
      <c r="E556" s="10" t="s">
        <v>14</v>
      </c>
      <c r="F556" s="10">
        <v>10710</v>
      </c>
      <c r="G556" s="10" t="s">
        <v>15</v>
      </c>
      <c r="H556" s="10" t="s">
        <v>17</v>
      </c>
      <c r="I556" s="10" t="s">
        <v>18</v>
      </c>
      <c r="J556" s="10" t="s">
        <v>19</v>
      </c>
      <c r="K556" s="10" t="s">
        <v>19</v>
      </c>
      <c r="L556" s="10" t="s">
        <v>19</v>
      </c>
      <c r="M556" s="12"/>
      <c r="N556" s="10" t="s">
        <v>20</v>
      </c>
      <c r="O556" s="10" t="s">
        <v>2054</v>
      </c>
      <c r="P556" s="25" t="str">
        <f>IFERROR(
IF(OR(O556="anulado",O556="stand by"),CONCATENATE(O556,": ",H556),
IF(OR(YEAR(M556)=2022,YEAR(M556)=2023),CONCATENATE("Se activó en ",YEAR(M556)),
IF(AND(OR(O556="En proceso",O556="facturando"),AND(J556="-",M556="")),"Por revisar",
IF(M556="",IF(J556="NUEVAS",CONCATENATE("Estado: ",O556,", ",J556),
IF(L556=Meses!$A$3,"Por revisar",
IF(H556="","Sin registro","En programación Frcst."))),"En programación")))),
"Error")</f>
        <v>Por revisar</v>
      </c>
      <c r="Q556" s="9" t="str">
        <f t="shared" si="24"/>
        <v>programación de act. NO, estado: Facturando, Comercializador: ENEL, Etapa: Instalado y Activado</v>
      </c>
      <c r="R556" s="25" t="str">
        <f>IF(P556="En programación Frcst.",VLOOKUP(L556,Meses!$A$1:$H$14,3+HLOOKUP(Cronograma!J556,Meses!$D$1:$G$2,2,FALSE),FALSE),
IF(P556="En programación",M556,""))</f>
        <v/>
      </c>
      <c r="S556" s="25" t="str">
        <f t="shared" si="26"/>
        <v/>
      </c>
      <c r="T556" s="21" t="str">
        <f>IFERROR(
(VLOOKUP(MONTH(R556),Meses!$B$3:$C$14,2,FALSE)-DAY(R556))/VLOOKUP(MONTH(R556),Meses!$B$3:$C$14,2,FALSE)*U556,
"")</f>
        <v/>
      </c>
      <c r="U556" s="22">
        <f t="shared" si="25"/>
        <v>10710</v>
      </c>
    </row>
    <row r="557" spans="1:21" ht="32.4" hidden="1" thickBot="1" x14ac:dyDescent="0.6">
      <c r="A557" s="10" t="s">
        <v>701</v>
      </c>
      <c r="B557" s="10" t="s">
        <v>717</v>
      </c>
      <c r="C557" s="12">
        <v>45134</v>
      </c>
      <c r="D557" s="10" t="s">
        <v>14</v>
      </c>
      <c r="E557" s="10" t="s">
        <v>14</v>
      </c>
      <c r="F557" s="10">
        <v>12730</v>
      </c>
      <c r="G557" s="10" t="s">
        <v>15</v>
      </c>
      <c r="H557" s="10" t="s">
        <v>17</v>
      </c>
      <c r="I557" s="10" t="s">
        <v>18</v>
      </c>
      <c r="J557" s="10" t="s">
        <v>19</v>
      </c>
      <c r="K557" s="10" t="s">
        <v>19</v>
      </c>
      <c r="L557" s="10" t="s">
        <v>19</v>
      </c>
      <c r="M557" s="12"/>
      <c r="N557" s="10" t="s">
        <v>20</v>
      </c>
      <c r="O557" s="10" t="s">
        <v>2054</v>
      </c>
      <c r="P557" s="25" t="str">
        <f>IFERROR(
IF(OR(O557="anulado",O557="stand by"),CONCATENATE(O557,": ",H557),
IF(OR(YEAR(M557)=2022,YEAR(M557)=2023),CONCATENATE("Se activó en ",YEAR(M557)),
IF(AND(OR(O557="En proceso",O557="facturando"),AND(J557="-",M557="")),"Por revisar",
IF(M557="",IF(J557="NUEVAS",CONCATENATE("Estado: ",O557,", ",J557),
IF(L557=Meses!$A$3,"Por revisar",
IF(H557="","Sin registro","En programación Frcst."))),"En programación")))),
"Error")</f>
        <v>Por revisar</v>
      </c>
      <c r="Q557" s="9" t="str">
        <f t="shared" si="24"/>
        <v>programación de act. NO, estado: Facturando, Comercializador: ENEL, Etapa: Instalado y Activado</v>
      </c>
      <c r="R557" s="25" t="str">
        <f>IF(P557="En programación Frcst.",VLOOKUP(L557,Meses!$A$1:$H$14,3+HLOOKUP(Cronograma!J557,Meses!$D$1:$G$2,2,FALSE),FALSE),
IF(P557="En programación",M557,""))</f>
        <v/>
      </c>
      <c r="S557" s="25" t="str">
        <f t="shared" si="26"/>
        <v/>
      </c>
      <c r="T557" s="21" t="str">
        <f>IFERROR(
(VLOOKUP(MONTH(R557),Meses!$B$3:$C$14,2,FALSE)-DAY(R557))/VLOOKUP(MONTH(R557),Meses!$B$3:$C$14,2,FALSE)*U557,
"")</f>
        <v/>
      </c>
      <c r="U557" s="22">
        <f t="shared" si="25"/>
        <v>12730</v>
      </c>
    </row>
    <row r="558" spans="1:21" ht="32.4" hidden="1" thickBot="1" x14ac:dyDescent="0.6">
      <c r="A558" s="10" t="s">
        <v>701</v>
      </c>
      <c r="B558" s="10" t="s">
        <v>718</v>
      </c>
      <c r="C558" s="12">
        <v>45148</v>
      </c>
      <c r="D558" s="10" t="s">
        <v>14</v>
      </c>
      <c r="E558" s="10" t="s">
        <v>14</v>
      </c>
      <c r="F558" s="10">
        <v>784</v>
      </c>
      <c r="G558" s="10" t="s">
        <v>15</v>
      </c>
      <c r="H558" s="10" t="s">
        <v>17</v>
      </c>
      <c r="I558" s="10" t="s">
        <v>18</v>
      </c>
      <c r="J558" s="10" t="s">
        <v>19</v>
      </c>
      <c r="K558" s="10" t="s">
        <v>19</v>
      </c>
      <c r="L558" s="10" t="s">
        <v>19</v>
      </c>
      <c r="M558" s="12"/>
      <c r="N558" s="10" t="s">
        <v>20</v>
      </c>
      <c r="O558" s="10" t="s">
        <v>2054</v>
      </c>
      <c r="P558" s="25" t="str">
        <f>IFERROR(
IF(OR(O558="anulado",O558="stand by"),CONCATENATE(O558,": ",H558),
IF(OR(YEAR(M558)=2022,YEAR(M558)=2023),CONCATENATE("Se activó en ",YEAR(M558)),
IF(AND(OR(O558="En proceso",O558="facturando"),AND(J558="-",M558="")),"Por revisar",
IF(M558="",IF(J558="NUEVAS",CONCATENATE("Estado: ",O558,", ",J558),
IF(L558=Meses!$A$3,"Por revisar",
IF(H558="","Sin registro","En programación Frcst."))),"En programación")))),
"Error")</f>
        <v>Por revisar</v>
      </c>
      <c r="Q558" s="9" t="str">
        <f t="shared" si="24"/>
        <v>programación de act. NO, estado: Facturando, Comercializador: ENEL, Etapa: Instalado y Activado</v>
      </c>
      <c r="R558" s="25" t="str">
        <f>IF(P558="En programación Frcst.",VLOOKUP(L558,Meses!$A$1:$H$14,3+HLOOKUP(Cronograma!J558,Meses!$D$1:$G$2,2,FALSE),FALSE),
IF(P558="En programación",M558,""))</f>
        <v/>
      </c>
      <c r="S558" s="25" t="str">
        <f t="shared" si="26"/>
        <v/>
      </c>
      <c r="T558" s="21" t="str">
        <f>IFERROR(
(VLOOKUP(MONTH(R558),Meses!$B$3:$C$14,2,FALSE)-DAY(R558))/VLOOKUP(MONTH(R558),Meses!$B$3:$C$14,2,FALSE)*U558,
"")</f>
        <v/>
      </c>
      <c r="U558" s="22">
        <f t="shared" si="25"/>
        <v>784</v>
      </c>
    </row>
    <row r="559" spans="1:21" ht="31.8" hidden="1" thickBot="1" x14ac:dyDescent="0.6">
      <c r="A559" s="10" t="s">
        <v>701</v>
      </c>
      <c r="B559" s="10" t="s">
        <v>719</v>
      </c>
      <c r="C559" s="12"/>
      <c r="D559" s="10" t="s">
        <v>23</v>
      </c>
      <c r="E559" s="10" t="s">
        <v>23</v>
      </c>
      <c r="F559" s="10">
        <v>8604</v>
      </c>
      <c r="G559" s="10" t="s">
        <v>15</v>
      </c>
      <c r="H559" s="10" t="s">
        <v>2921</v>
      </c>
      <c r="I559" s="10" t="s">
        <v>43</v>
      </c>
      <c r="J559" s="10" t="s">
        <v>143</v>
      </c>
      <c r="K559" s="10" t="s">
        <v>3309</v>
      </c>
      <c r="L559" s="10" t="s">
        <v>1120</v>
      </c>
      <c r="M559" s="12">
        <v>45365</v>
      </c>
      <c r="N559" s="10" t="s">
        <v>15</v>
      </c>
      <c r="O559" s="10" t="s">
        <v>2057</v>
      </c>
      <c r="P559" s="25" t="str">
        <f>IFERROR(
IF(OR(O559="anulado",O559="stand by"),CONCATENATE(O559,": ",H559),
IF(OR(YEAR(M559)=2022,YEAR(M559)=2023),CONCATENATE("Se activó en ",YEAR(M559)),
IF(AND(OR(O559="En proceso",O559="facturando"),AND(J559="-",M559="")),"Por revisar",
IF(M559="",IF(J559="NUEVAS",CONCATENATE("Estado: ",O559,", ",J559),
IF(L559=Meses!$A$3,"Por revisar",
IF(H559="","Sin registro","En programación Frcst."))),"En programación")))),
"Error")</f>
        <v>En programación</v>
      </c>
      <c r="Q559" s="9" t="str">
        <f t="shared" si="24"/>
        <v/>
      </c>
      <c r="R559" s="25">
        <f>IF(P559="En programación Frcst.",VLOOKUP(L559,Meses!$A$1:$H$14,3+HLOOKUP(Cronograma!J559,Meses!$D$1:$G$2,2,FALSE),FALSE),
IF(P559="En programación",M559,""))</f>
        <v>45365</v>
      </c>
      <c r="S559" s="25" t="str">
        <f t="shared" si="26"/>
        <v>2024/3</v>
      </c>
      <c r="T559" s="21">
        <f>IFERROR(
(VLOOKUP(MONTH(R559),Meses!$B$3:$C$14,2,FALSE)-DAY(R559))/VLOOKUP(MONTH(R559),Meses!$B$3:$C$14,2,FALSE)*U559,
"")</f>
        <v>4718.322580645161</v>
      </c>
      <c r="U559" s="22">
        <f t="shared" si="25"/>
        <v>8604</v>
      </c>
    </row>
    <row r="560" spans="1:21" ht="31.8" hidden="1" thickBot="1" x14ac:dyDescent="0.6">
      <c r="A560" s="10" t="s">
        <v>701</v>
      </c>
      <c r="B560" s="10" t="s">
        <v>720</v>
      </c>
      <c r="C560" s="12"/>
      <c r="D560" s="10" t="s">
        <v>23</v>
      </c>
      <c r="E560" s="10" t="s">
        <v>23</v>
      </c>
      <c r="F560" s="10">
        <v>18593</v>
      </c>
      <c r="G560" s="10" t="s">
        <v>15</v>
      </c>
      <c r="H560" s="10" t="s">
        <v>2917</v>
      </c>
      <c r="I560" s="10" t="s">
        <v>43</v>
      </c>
      <c r="J560" s="10" t="s">
        <v>143</v>
      </c>
      <c r="K560" s="10" t="s">
        <v>2895</v>
      </c>
      <c r="L560" s="10" t="s">
        <v>2292</v>
      </c>
      <c r="M560" s="12">
        <v>45400</v>
      </c>
      <c r="N560" s="10" t="s">
        <v>15</v>
      </c>
      <c r="O560" s="10" t="s">
        <v>2057</v>
      </c>
      <c r="P560" s="25" t="str">
        <f>IFERROR(
IF(OR(O560="anulado",O560="stand by"),CONCATENATE(O560,": ",H560),
IF(OR(YEAR(M560)=2022,YEAR(M560)=2023),CONCATENATE("Se activó en ",YEAR(M560)),
IF(AND(OR(O560="En proceso",O560="facturando"),AND(J560="-",M560="")),"Por revisar",
IF(M560="",IF(J560="NUEVAS",CONCATENATE("Estado: ",O560,", ",J560),
IF(L560=Meses!$A$3,"Por revisar",
IF(H560="","Sin registro","En programación Frcst."))),"En programación")))),
"Error")</f>
        <v>En programación</v>
      </c>
      <c r="Q560" s="9" t="str">
        <f t="shared" si="24"/>
        <v/>
      </c>
      <c r="R560" s="25">
        <f>IF(P560="En programación Frcst.",VLOOKUP(L560,Meses!$A$1:$H$14,3+HLOOKUP(Cronograma!J560,Meses!$D$1:$G$2,2,FALSE),FALSE),
IF(P560="En programación",M560,""))</f>
        <v>45400</v>
      </c>
      <c r="S560" s="25" t="str">
        <f t="shared" si="26"/>
        <v>2024/4</v>
      </c>
      <c r="T560" s="21">
        <f>IFERROR(
(VLOOKUP(MONTH(R560),Meses!$B$3:$C$14,2,FALSE)-DAY(R560))/VLOOKUP(MONTH(R560),Meses!$B$3:$C$14,2,FALSE)*U560,
"")</f>
        <v>7437.2000000000007</v>
      </c>
      <c r="U560" s="22">
        <f t="shared" si="25"/>
        <v>18593</v>
      </c>
    </row>
    <row r="561" spans="1:21" ht="31.8" hidden="1" thickBot="1" x14ac:dyDescent="0.6">
      <c r="A561" s="10" t="s">
        <v>701</v>
      </c>
      <c r="B561" s="10" t="s">
        <v>721</v>
      </c>
      <c r="C561" s="12"/>
      <c r="D561" s="10" t="s">
        <v>23</v>
      </c>
      <c r="E561" s="10" t="s">
        <v>23</v>
      </c>
      <c r="F561" s="10">
        <v>19381</v>
      </c>
      <c r="G561" s="10" t="s">
        <v>15</v>
      </c>
      <c r="H561" s="10" t="s">
        <v>2916</v>
      </c>
      <c r="I561" s="10" t="s">
        <v>43</v>
      </c>
      <c r="J561" s="10" t="s">
        <v>143</v>
      </c>
      <c r="K561" s="10" t="s">
        <v>2895</v>
      </c>
      <c r="L561" s="10" t="s">
        <v>2292</v>
      </c>
      <c r="M561" s="12">
        <v>45400</v>
      </c>
      <c r="N561" s="10" t="s">
        <v>15</v>
      </c>
      <c r="O561" s="10" t="s">
        <v>2057</v>
      </c>
      <c r="P561" s="25" t="str">
        <f>IFERROR(
IF(OR(O561="anulado",O561="stand by"),CONCATENATE(O561,": ",H561),
IF(OR(YEAR(M561)=2022,YEAR(M561)=2023),CONCATENATE("Se activó en ",YEAR(M561)),
IF(AND(OR(O561="En proceso",O561="facturando"),AND(J561="-",M561="")),"Por revisar",
IF(M561="",IF(J561="NUEVAS",CONCATENATE("Estado: ",O561,", ",J561),
IF(L561=Meses!$A$3,"Por revisar",
IF(H561="","Sin registro","En programación Frcst."))),"En programación")))),
"Error")</f>
        <v>En programación</v>
      </c>
      <c r="Q561" s="9" t="str">
        <f t="shared" si="24"/>
        <v/>
      </c>
      <c r="R561" s="25">
        <f>IF(P561="En programación Frcst.",VLOOKUP(L561,Meses!$A$1:$H$14,3+HLOOKUP(Cronograma!J561,Meses!$D$1:$G$2,2,FALSE),FALSE),
IF(P561="En programación",M561,""))</f>
        <v>45400</v>
      </c>
      <c r="S561" s="25" t="str">
        <f t="shared" si="26"/>
        <v>2024/4</v>
      </c>
      <c r="T561" s="21">
        <f>IFERROR(
(VLOOKUP(MONTH(R561),Meses!$B$3:$C$14,2,FALSE)-DAY(R561))/VLOOKUP(MONTH(R561),Meses!$B$3:$C$14,2,FALSE)*U561,
"")</f>
        <v>7752.4000000000005</v>
      </c>
      <c r="U561" s="22">
        <f t="shared" si="25"/>
        <v>19381</v>
      </c>
    </row>
    <row r="562" spans="1:21" ht="31.8" hidden="1" thickBot="1" x14ac:dyDescent="0.6">
      <c r="A562" s="10" t="s">
        <v>701</v>
      </c>
      <c r="B562" s="10" t="s">
        <v>722</v>
      </c>
      <c r="C562" s="12"/>
      <c r="D562" s="10" t="s">
        <v>44</v>
      </c>
      <c r="E562" s="10" t="s">
        <v>44</v>
      </c>
      <c r="F562" s="10">
        <v>544</v>
      </c>
      <c r="G562" s="10" t="s">
        <v>15</v>
      </c>
      <c r="H562" s="10" t="s">
        <v>2916</v>
      </c>
      <c r="I562" s="10" t="s">
        <v>43</v>
      </c>
      <c r="J562" s="10" t="s">
        <v>143</v>
      </c>
      <c r="K562" s="10" t="s">
        <v>2895</v>
      </c>
      <c r="L562" s="10" t="s">
        <v>2292</v>
      </c>
      <c r="M562" s="12">
        <v>45400</v>
      </c>
      <c r="N562" s="10" t="s">
        <v>15</v>
      </c>
      <c r="O562" s="10" t="s">
        <v>2057</v>
      </c>
      <c r="P562" s="25" t="str">
        <f>IFERROR(
IF(OR(O562="anulado",O562="stand by"),CONCATENATE(O562,": ",H562),
IF(OR(YEAR(M562)=2022,YEAR(M562)=2023),CONCATENATE("Se activó en ",YEAR(M562)),
IF(AND(OR(O562="En proceso",O562="facturando"),AND(J562="-",M562="")),"Por revisar",
IF(M562="",IF(J562="NUEVAS",CONCATENATE("Estado: ",O562,", ",J562),
IF(L562=Meses!$A$3,"Por revisar",
IF(H562="","Sin registro","En programación Frcst."))),"En programación")))),
"Error")</f>
        <v>En programación</v>
      </c>
      <c r="Q562" s="9" t="str">
        <f t="shared" si="24"/>
        <v/>
      </c>
      <c r="R562" s="25">
        <f>IF(P562="En programación Frcst.",VLOOKUP(L562,Meses!$A$1:$H$14,3+HLOOKUP(Cronograma!J562,Meses!$D$1:$G$2,2,FALSE),FALSE),
IF(P562="En programación",M562,""))</f>
        <v>45400</v>
      </c>
      <c r="S562" s="25" t="str">
        <f t="shared" si="26"/>
        <v>2024/4</v>
      </c>
      <c r="T562" s="21">
        <f>IFERROR(
(VLOOKUP(MONTH(R562),Meses!$B$3:$C$14,2,FALSE)-DAY(R562))/VLOOKUP(MONTH(R562),Meses!$B$3:$C$14,2,FALSE)*U562,
"")</f>
        <v>217.60000000000002</v>
      </c>
      <c r="U562" s="22">
        <f t="shared" si="25"/>
        <v>544</v>
      </c>
    </row>
    <row r="563" spans="1:21" ht="31.8" hidden="1" thickBot="1" x14ac:dyDescent="0.6">
      <c r="A563" s="10" t="s">
        <v>701</v>
      </c>
      <c r="B563" s="10" t="s">
        <v>723</v>
      </c>
      <c r="C563" s="12"/>
      <c r="D563" s="10" t="s">
        <v>74</v>
      </c>
      <c r="E563" s="10" t="s">
        <v>74</v>
      </c>
      <c r="F563" s="10">
        <v>16920</v>
      </c>
      <c r="G563" s="10" t="s">
        <v>15</v>
      </c>
      <c r="H563" s="10" t="s">
        <v>2916</v>
      </c>
      <c r="I563" s="10" t="s">
        <v>43</v>
      </c>
      <c r="J563" s="10" t="s">
        <v>143</v>
      </c>
      <c r="K563" s="10" t="s">
        <v>2895</v>
      </c>
      <c r="L563" s="10" t="s">
        <v>2292</v>
      </c>
      <c r="M563" s="12">
        <v>45400</v>
      </c>
      <c r="N563" s="10" t="s">
        <v>15</v>
      </c>
      <c r="O563" s="10" t="s">
        <v>2057</v>
      </c>
      <c r="P563" s="25" t="str">
        <f>IFERROR(
IF(OR(O563="anulado",O563="stand by"),CONCATENATE(O563,": ",H563),
IF(OR(YEAR(M563)=2022,YEAR(M563)=2023),CONCATENATE("Se activó en ",YEAR(M563)),
IF(AND(OR(O563="En proceso",O563="facturando"),AND(J563="-",M563="")),"Por revisar",
IF(M563="",IF(J563="NUEVAS",CONCATENATE("Estado: ",O563,", ",J563),
IF(L563=Meses!$A$3,"Por revisar",
IF(H563="","Sin registro","En programación Frcst."))),"En programación")))),
"Error")</f>
        <v>En programación</v>
      </c>
      <c r="Q563" s="9" t="str">
        <f t="shared" si="24"/>
        <v/>
      </c>
      <c r="R563" s="25">
        <f>IF(P563="En programación Frcst.",VLOOKUP(L563,Meses!$A$1:$H$14,3+HLOOKUP(Cronograma!J563,Meses!$D$1:$G$2,2,FALSE),FALSE),
IF(P563="En programación",M563,""))</f>
        <v>45400</v>
      </c>
      <c r="S563" s="25" t="str">
        <f t="shared" si="26"/>
        <v>2024/4</v>
      </c>
      <c r="T563" s="21">
        <f>IFERROR(
(VLOOKUP(MONTH(R563),Meses!$B$3:$C$14,2,FALSE)-DAY(R563))/VLOOKUP(MONTH(R563),Meses!$B$3:$C$14,2,FALSE)*U563,
"")</f>
        <v>6768</v>
      </c>
      <c r="U563" s="22">
        <f t="shared" si="25"/>
        <v>16920</v>
      </c>
    </row>
    <row r="564" spans="1:21" ht="31.8" hidden="1" thickBot="1" x14ac:dyDescent="0.6">
      <c r="A564" s="10" t="s">
        <v>701</v>
      </c>
      <c r="B564" s="10" t="s">
        <v>724</v>
      </c>
      <c r="C564" s="12"/>
      <c r="D564" s="10" t="s">
        <v>74</v>
      </c>
      <c r="E564" s="10" t="s">
        <v>74</v>
      </c>
      <c r="F564" s="10">
        <v>20160</v>
      </c>
      <c r="G564" s="10" t="s">
        <v>15</v>
      </c>
      <c r="H564" s="10" t="s">
        <v>2921</v>
      </c>
      <c r="I564" s="10" t="s">
        <v>43</v>
      </c>
      <c r="J564" s="10" t="s">
        <v>143</v>
      </c>
      <c r="K564" s="10" t="s">
        <v>3309</v>
      </c>
      <c r="L564" s="10" t="s">
        <v>1120</v>
      </c>
      <c r="M564" s="12">
        <v>45365</v>
      </c>
      <c r="N564" s="10" t="s">
        <v>15</v>
      </c>
      <c r="O564" s="10" t="s">
        <v>2057</v>
      </c>
      <c r="P564" s="25" t="str">
        <f>IFERROR(
IF(OR(O564="anulado",O564="stand by"),CONCATENATE(O564,": ",H564),
IF(OR(YEAR(M564)=2022,YEAR(M564)=2023),CONCATENATE("Se activó en ",YEAR(M564)),
IF(AND(OR(O564="En proceso",O564="facturando"),AND(J564="-",M564="")),"Por revisar",
IF(M564="",IF(J564="NUEVAS",CONCATENATE("Estado: ",O564,", ",J564),
IF(L564=Meses!$A$3,"Por revisar",
IF(H564="","Sin registro","En programación Frcst."))),"En programación")))),
"Error")</f>
        <v>En programación</v>
      </c>
      <c r="Q564" s="9" t="str">
        <f t="shared" si="24"/>
        <v/>
      </c>
      <c r="R564" s="25">
        <f>IF(P564="En programación Frcst.",VLOOKUP(L564,Meses!$A$1:$H$14,3+HLOOKUP(Cronograma!J564,Meses!$D$1:$G$2,2,FALSE),FALSE),
IF(P564="En programación",M564,""))</f>
        <v>45365</v>
      </c>
      <c r="S564" s="25" t="str">
        <f t="shared" si="26"/>
        <v>2024/3</v>
      </c>
      <c r="T564" s="21">
        <f>IFERROR(
(VLOOKUP(MONTH(R564),Meses!$B$3:$C$14,2,FALSE)-DAY(R564))/VLOOKUP(MONTH(R564),Meses!$B$3:$C$14,2,FALSE)*U564,
"")</f>
        <v>11055.483870967741</v>
      </c>
      <c r="U564" s="22">
        <f t="shared" si="25"/>
        <v>20160</v>
      </c>
    </row>
    <row r="565" spans="1:21" ht="32.4" hidden="1" thickBot="1" x14ac:dyDescent="0.6">
      <c r="A565" s="10" t="s">
        <v>701</v>
      </c>
      <c r="B565" s="10" t="s">
        <v>725</v>
      </c>
      <c r="C565" s="12">
        <v>45323</v>
      </c>
      <c r="D565" s="10" t="s">
        <v>74</v>
      </c>
      <c r="E565" s="10" t="s">
        <v>74</v>
      </c>
      <c r="F565" s="10">
        <v>19915</v>
      </c>
      <c r="G565" s="10" t="s">
        <v>15</v>
      </c>
      <c r="H565" s="10" t="s">
        <v>17</v>
      </c>
      <c r="I565" s="10" t="s">
        <v>43</v>
      </c>
      <c r="J565" s="10" t="s">
        <v>143</v>
      </c>
      <c r="K565" s="10" t="s">
        <v>144</v>
      </c>
      <c r="L565" s="10" t="s">
        <v>145</v>
      </c>
      <c r="M565" s="12"/>
      <c r="N565" s="10" t="s">
        <v>15</v>
      </c>
      <c r="O565" s="10" t="s">
        <v>2054</v>
      </c>
      <c r="P565" s="25" t="str">
        <f>IFERROR(
IF(OR(O565="anulado",O565="stand by"),CONCATENATE(O565,": ",H565),
IF(OR(YEAR(M565)=2022,YEAR(M565)=2023),CONCATENATE("Se activó en ",YEAR(M565)),
IF(AND(OR(O565="En proceso",O565="facturando"),AND(J565="-",M565="")),"Por revisar",
IF(M565="",IF(J565="NUEVAS",CONCATENATE("Estado: ",O565,", ",J565),
IF(L565=Meses!$A$3,"Por revisar",
IF(H565="","Sin registro","En programación Frcst."))),"En programación")))),
"Error")</f>
        <v>Por revisar</v>
      </c>
      <c r="Q565" s="9" t="str">
        <f t="shared" si="24"/>
        <v>programación de act. SI, estado: Facturando, Comercializador: AIR-E, Etapa: Instalado y Activado</v>
      </c>
      <c r="R565" s="25" t="str">
        <f>IF(P565="En programación Frcst.",VLOOKUP(L565,Meses!$A$1:$H$14,3+HLOOKUP(Cronograma!J565,Meses!$D$1:$G$2,2,FALSE),FALSE),
IF(P565="En programación",M565,""))</f>
        <v/>
      </c>
      <c r="S565" s="25" t="str">
        <f t="shared" si="26"/>
        <v/>
      </c>
      <c r="T565" s="21" t="str">
        <f>IFERROR(
(VLOOKUP(MONTH(R565),Meses!$B$3:$C$14,2,FALSE)-DAY(R565))/VLOOKUP(MONTH(R565),Meses!$B$3:$C$14,2,FALSE)*U565,
"")</f>
        <v/>
      </c>
      <c r="U565" s="22">
        <f t="shared" si="25"/>
        <v>19915</v>
      </c>
    </row>
    <row r="566" spans="1:21" ht="32.4" hidden="1" thickBot="1" x14ac:dyDescent="0.6">
      <c r="A566" s="10" t="s">
        <v>701</v>
      </c>
      <c r="B566" s="10" t="s">
        <v>726</v>
      </c>
      <c r="C566" s="12">
        <v>45323</v>
      </c>
      <c r="D566" s="10" t="s">
        <v>74</v>
      </c>
      <c r="E566" s="10" t="s">
        <v>74</v>
      </c>
      <c r="F566" s="10">
        <v>15360</v>
      </c>
      <c r="G566" s="10" t="s">
        <v>15</v>
      </c>
      <c r="H566" s="10" t="s">
        <v>17</v>
      </c>
      <c r="I566" s="10" t="s">
        <v>43</v>
      </c>
      <c r="J566" s="10" t="s">
        <v>143</v>
      </c>
      <c r="K566" s="10" t="s">
        <v>144</v>
      </c>
      <c r="L566" s="10" t="s">
        <v>145</v>
      </c>
      <c r="M566" s="12"/>
      <c r="N566" s="10" t="s">
        <v>15</v>
      </c>
      <c r="O566" s="10" t="s">
        <v>2054</v>
      </c>
      <c r="P566" s="25" t="str">
        <f>IFERROR(
IF(OR(O566="anulado",O566="stand by"),CONCATENATE(O566,": ",H566),
IF(OR(YEAR(M566)=2022,YEAR(M566)=2023),CONCATENATE("Se activó en ",YEAR(M566)),
IF(AND(OR(O566="En proceso",O566="facturando"),AND(J566="-",M566="")),"Por revisar",
IF(M566="",IF(J566="NUEVAS",CONCATENATE("Estado: ",O566,", ",J566),
IF(L566=Meses!$A$3,"Por revisar",
IF(H566="","Sin registro","En programación Frcst."))),"En programación")))),
"Error")</f>
        <v>Por revisar</v>
      </c>
      <c r="Q566" s="9" t="str">
        <f t="shared" si="24"/>
        <v>programación de act. SI, estado: Facturando, Comercializador: AIR-E, Etapa: Instalado y Activado</v>
      </c>
      <c r="R566" s="25" t="str">
        <f>IF(P566="En programación Frcst.",VLOOKUP(L566,Meses!$A$1:$H$14,3+HLOOKUP(Cronograma!J566,Meses!$D$1:$G$2,2,FALSE),FALSE),
IF(P566="En programación",M566,""))</f>
        <v/>
      </c>
      <c r="S566" s="25" t="str">
        <f t="shared" si="26"/>
        <v/>
      </c>
      <c r="T566" s="21" t="str">
        <f>IFERROR(
(VLOOKUP(MONTH(R566),Meses!$B$3:$C$14,2,FALSE)-DAY(R566))/VLOOKUP(MONTH(R566),Meses!$B$3:$C$14,2,FALSE)*U566,
"")</f>
        <v/>
      </c>
      <c r="U566" s="22">
        <f t="shared" si="25"/>
        <v>15360</v>
      </c>
    </row>
    <row r="567" spans="1:21" ht="32.4" hidden="1" thickBot="1" x14ac:dyDescent="0.6">
      <c r="A567" s="10" t="s">
        <v>701</v>
      </c>
      <c r="B567" s="10" t="s">
        <v>727</v>
      </c>
      <c r="C567" s="12">
        <v>45134</v>
      </c>
      <c r="D567" s="10" t="s">
        <v>14</v>
      </c>
      <c r="E567" s="10" t="s">
        <v>14</v>
      </c>
      <c r="F567" s="10">
        <v>12457</v>
      </c>
      <c r="G567" s="10" t="s">
        <v>15</v>
      </c>
      <c r="H567" s="10" t="s">
        <v>17</v>
      </c>
      <c r="I567" s="10" t="s">
        <v>18</v>
      </c>
      <c r="J567" s="10" t="s">
        <v>19</v>
      </c>
      <c r="K567" s="10" t="s">
        <v>19</v>
      </c>
      <c r="L567" s="10" t="s">
        <v>19</v>
      </c>
      <c r="M567" s="12"/>
      <c r="N567" s="10" t="s">
        <v>20</v>
      </c>
      <c r="O567" s="10" t="s">
        <v>2054</v>
      </c>
      <c r="P567" s="25" t="str">
        <f>IFERROR(
IF(OR(O567="anulado",O567="stand by"),CONCATENATE(O567,": ",H567),
IF(OR(YEAR(M567)=2022,YEAR(M567)=2023),CONCATENATE("Se activó en ",YEAR(M567)),
IF(AND(OR(O567="En proceso",O567="facturando"),AND(J567="-",M567="")),"Por revisar",
IF(M567="",IF(J567="NUEVAS",CONCATENATE("Estado: ",O567,", ",J567),
IF(L567=Meses!$A$3,"Por revisar",
IF(H567="","Sin registro","En programación Frcst."))),"En programación")))),
"Error")</f>
        <v>Por revisar</v>
      </c>
      <c r="Q567" s="9" t="str">
        <f t="shared" si="24"/>
        <v>programación de act. NO, estado: Facturando, Comercializador: ENEL, Etapa: Instalado y Activado</v>
      </c>
      <c r="R567" s="25" t="str">
        <f>IF(P567="En programación Frcst.",VLOOKUP(L567,Meses!$A$1:$H$14,3+HLOOKUP(Cronograma!J567,Meses!$D$1:$G$2,2,FALSE),FALSE),
IF(P567="En programación",M567,""))</f>
        <v/>
      </c>
      <c r="S567" s="25" t="str">
        <f t="shared" si="26"/>
        <v/>
      </c>
      <c r="T567" s="21" t="str">
        <f>IFERROR(
(VLOOKUP(MONTH(R567),Meses!$B$3:$C$14,2,FALSE)-DAY(R567))/VLOOKUP(MONTH(R567),Meses!$B$3:$C$14,2,FALSE)*U567,
"")</f>
        <v/>
      </c>
      <c r="U567" s="22">
        <f t="shared" si="25"/>
        <v>12457</v>
      </c>
    </row>
    <row r="568" spans="1:21" ht="32.4" hidden="1" thickBot="1" x14ac:dyDescent="0.6">
      <c r="A568" s="10" t="s">
        <v>701</v>
      </c>
      <c r="B568" s="10" t="s">
        <v>728</v>
      </c>
      <c r="C568" s="12">
        <v>45155</v>
      </c>
      <c r="D568" s="10" t="s">
        <v>14</v>
      </c>
      <c r="E568" s="10" t="s">
        <v>14</v>
      </c>
      <c r="F568" s="10">
        <v>12176</v>
      </c>
      <c r="G568" s="10" t="s">
        <v>15</v>
      </c>
      <c r="H568" s="10" t="s">
        <v>17</v>
      </c>
      <c r="I568" s="10" t="s">
        <v>18</v>
      </c>
      <c r="J568" s="10" t="s">
        <v>19</v>
      </c>
      <c r="K568" s="10" t="s">
        <v>19</v>
      </c>
      <c r="L568" s="10" t="s">
        <v>19</v>
      </c>
      <c r="M568" s="12"/>
      <c r="N568" s="10" t="s">
        <v>20</v>
      </c>
      <c r="O568" s="10" t="s">
        <v>2054</v>
      </c>
      <c r="P568" s="25" t="str">
        <f>IFERROR(
IF(OR(O568="anulado",O568="stand by"),CONCATENATE(O568,": ",H568),
IF(OR(YEAR(M568)=2022,YEAR(M568)=2023),CONCATENATE("Se activó en ",YEAR(M568)),
IF(AND(OR(O568="En proceso",O568="facturando"),AND(J568="-",M568="")),"Por revisar",
IF(M568="",IF(J568="NUEVAS",CONCATENATE("Estado: ",O568,", ",J568),
IF(L568=Meses!$A$3,"Por revisar",
IF(H568="","Sin registro","En programación Frcst."))),"En programación")))),
"Error")</f>
        <v>Por revisar</v>
      </c>
      <c r="Q568" s="9" t="str">
        <f t="shared" si="24"/>
        <v>programación de act. NO, estado: Facturando, Comercializador: ENEL, Etapa: Instalado y Activado</v>
      </c>
      <c r="R568" s="25" t="str">
        <f>IF(P568="En programación Frcst.",VLOOKUP(L568,Meses!$A$1:$H$14,3+HLOOKUP(Cronograma!J568,Meses!$D$1:$G$2,2,FALSE),FALSE),
IF(P568="En programación",M568,""))</f>
        <v/>
      </c>
      <c r="S568" s="25" t="str">
        <f t="shared" si="26"/>
        <v/>
      </c>
      <c r="T568" s="21" t="str">
        <f>IFERROR(
(VLOOKUP(MONTH(R568),Meses!$B$3:$C$14,2,FALSE)-DAY(R568))/VLOOKUP(MONTH(R568),Meses!$B$3:$C$14,2,FALSE)*U568,
"")</f>
        <v/>
      </c>
      <c r="U568" s="22">
        <f t="shared" si="25"/>
        <v>12176</v>
      </c>
    </row>
    <row r="569" spans="1:21" ht="31.8" hidden="1" thickBot="1" x14ac:dyDescent="0.6">
      <c r="A569" s="10" t="s">
        <v>701</v>
      </c>
      <c r="B569" s="10" t="s">
        <v>729</v>
      </c>
      <c r="C569" s="12"/>
      <c r="D569" s="10" t="s">
        <v>281</v>
      </c>
      <c r="E569" s="10" t="s">
        <v>281</v>
      </c>
      <c r="F569" s="10">
        <v>15199</v>
      </c>
      <c r="G569" s="10" t="s">
        <v>15</v>
      </c>
      <c r="H569" s="10" t="s">
        <v>2917</v>
      </c>
      <c r="I569" s="10" t="s">
        <v>43</v>
      </c>
      <c r="J569" s="10" t="s">
        <v>143</v>
      </c>
      <c r="K569" s="10" t="s">
        <v>2895</v>
      </c>
      <c r="L569" s="10" t="s">
        <v>2292</v>
      </c>
      <c r="M569" s="12">
        <v>45400</v>
      </c>
      <c r="N569" s="10" t="s">
        <v>15</v>
      </c>
      <c r="O569" s="10" t="s">
        <v>2057</v>
      </c>
      <c r="P569" s="25" t="str">
        <f>IFERROR(
IF(OR(O569="anulado",O569="stand by"),CONCATENATE(O569,": ",H569),
IF(OR(YEAR(M569)=2022,YEAR(M569)=2023),CONCATENATE("Se activó en ",YEAR(M569)),
IF(AND(OR(O569="En proceso",O569="facturando"),AND(J569="-",M569="")),"Por revisar",
IF(M569="",IF(J569="NUEVAS",CONCATENATE("Estado: ",O569,", ",J569),
IF(L569=Meses!$A$3,"Por revisar",
IF(H569="","Sin registro","En programación Frcst."))),"En programación")))),
"Error")</f>
        <v>En programación</v>
      </c>
      <c r="Q569" s="9" t="str">
        <f t="shared" si="24"/>
        <v/>
      </c>
      <c r="R569" s="25">
        <f>IF(P569="En programación Frcst.",VLOOKUP(L569,Meses!$A$1:$H$14,3+HLOOKUP(Cronograma!J569,Meses!$D$1:$G$2,2,FALSE),FALSE),
IF(P569="En programación",M569,""))</f>
        <v>45400</v>
      </c>
      <c r="S569" s="25" t="str">
        <f t="shared" si="26"/>
        <v>2024/4</v>
      </c>
      <c r="T569" s="21">
        <f>IFERROR(
(VLOOKUP(MONTH(R569),Meses!$B$3:$C$14,2,FALSE)-DAY(R569))/VLOOKUP(MONTH(R569),Meses!$B$3:$C$14,2,FALSE)*U569,
"")</f>
        <v>6079.6</v>
      </c>
      <c r="U569" s="22">
        <f t="shared" si="25"/>
        <v>15199</v>
      </c>
    </row>
    <row r="570" spans="1:21" ht="31.8" hidden="1" thickBot="1" x14ac:dyDescent="0.6">
      <c r="A570" s="10" t="s">
        <v>701</v>
      </c>
      <c r="B570" s="10" t="s">
        <v>730</v>
      </c>
      <c r="C570" s="12"/>
      <c r="D570" s="10" t="s">
        <v>233</v>
      </c>
      <c r="E570" s="10" t="s">
        <v>233</v>
      </c>
      <c r="F570" s="10">
        <v>11400</v>
      </c>
      <c r="G570" s="10" t="s">
        <v>15</v>
      </c>
      <c r="H570" s="10" t="s">
        <v>2917</v>
      </c>
      <c r="I570" s="10" t="s">
        <v>18</v>
      </c>
      <c r="J570" s="10" t="s">
        <v>292</v>
      </c>
      <c r="K570" s="10" t="s">
        <v>1697</v>
      </c>
      <c r="L570" s="10" t="s">
        <v>1120</v>
      </c>
      <c r="M570" s="12">
        <v>45379</v>
      </c>
      <c r="N570" s="10" t="s">
        <v>15</v>
      </c>
      <c r="O570" s="10" t="s">
        <v>2057</v>
      </c>
      <c r="P570" s="25" t="str">
        <f>IFERROR(
IF(OR(O570="anulado",O570="stand by"),CONCATENATE(O570,": ",H570),
IF(OR(YEAR(M570)=2022,YEAR(M570)=2023),CONCATENATE("Se activó en ",YEAR(M570)),
IF(AND(OR(O570="En proceso",O570="facturando"),AND(J570="-",M570="")),"Por revisar",
IF(M570="",IF(J570="NUEVAS",CONCATENATE("Estado: ",O570,", ",J570),
IF(L570=Meses!$A$3,"Por revisar",
IF(H570="","Sin registro","En programación Frcst."))),"En programación")))),
"Error")</f>
        <v>En programación</v>
      </c>
      <c r="Q570" s="9" t="str">
        <f t="shared" si="24"/>
        <v/>
      </c>
      <c r="R570" s="25">
        <f>IF(P570="En programación Frcst.",VLOOKUP(L570,Meses!$A$1:$H$14,3+HLOOKUP(Cronograma!J570,Meses!$D$1:$G$2,2,FALSE),FALSE),
IF(P570="En programación",M570,""))</f>
        <v>45379</v>
      </c>
      <c r="S570" s="25" t="str">
        <f t="shared" si="26"/>
        <v>2024/3</v>
      </c>
      <c r="T570" s="21">
        <f>IFERROR(
(VLOOKUP(MONTH(R570),Meses!$B$3:$C$14,2,FALSE)-DAY(R570))/VLOOKUP(MONTH(R570),Meses!$B$3:$C$14,2,FALSE)*U570,
"")</f>
        <v>1103.2258064516129</v>
      </c>
      <c r="U570" s="22">
        <f t="shared" si="25"/>
        <v>11400</v>
      </c>
    </row>
    <row r="571" spans="1:21" ht="32.4" hidden="1" thickBot="1" x14ac:dyDescent="0.6">
      <c r="A571" s="10" t="s">
        <v>701</v>
      </c>
      <c r="B571" s="10" t="s">
        <v>731</v>
      </c>
      <c r="C571" s="12">
        <v>45141</v>
      </c>
      <c r="D571" s="10" t="s">
        <v>14</v>
      </c>
      <c r="E571" s="10" t="s">
        <v>14</v>
      </c>
      <c r="F571" s="10">
        <v>11354</v>
      </c>
      <c r="G571" s="10" t="s">
        <v>15</v>
      </c>
      <c r="H571" s="10" t="s">
        <v>17</v>
      </c>
      <c r="I571" s="10" t="s">
        <v>18</v>
      </c>
      <c r="J571" s="10" t="s">
        <v>19</v>
      </c>
      <c r="K571" s="10" t="s">
        <v>19</v>
      </c>
      <c r="L571" s="10" t="s">
        <v>19</v>
      </c>
      <c r="M571" s="12"/>
      <c r="N571" s="10" t="s">
        <v>20</v>
      </c>
      <c r="O571" s="10" t="s">
        <v>2054</v>
      </c>
      <c r="P571" s="25" t="str">
        <f>IFERROR(
IF(OR(O571="anulado",O571="stand by"),CONCATENATE(O571,": ",H571),
IF(OR(YEAR(M571)=2022,YEAR(M571)=2023),CONCATENATE("Se activó en ",YEAR(M571)),
IF(AND(OR(O571="En proceso",O571="facturando"),AND(J571="-",M571="")),"Por revisar",
IF(M571="",IF(J571="NUEVAS",CONCATENATE("Estado: ",O571,", ",J571),
IF(L571=Meses!$A$3,"Por revisar",
IF(H571="","Sin registro","En programación Frcst."))),"En programación")))),
"Error")</f>
        <v>Por revisar</v>
      </c>
      <c r="Q571" s="9" t="str">
        <f t="shared" si="24"/>
        <v>programación de act. NO, estado: Facturando, Comercializador: ENEL, Etapa: Instalado y Activado</v>
      </c>
      <c r="R571" s="25" t="str">
        <f>IF(P571="En programación Frcst.",VLOOKUP(L571,Meses!$A$1:$H$14,3+HLOOKUP(Cronograma!J571,Meses!$D$1:$G$2,2,FALSE),FALSE),
IF(P571="En programación",M571,""))</f>
        <v/>
      </c>
      <c r="S571" s="25" t="str">
        <f t="shared" si="26"/>
        <v/>
      </c>
      <c r="T571" s="21" t="str">
        <f>IFERROR(
(VLOOKUP(MONTH(R571),Meses!$B$3:$C$14,2,FALSE)-DAY(R571))/VLOOKUP(MONTH(R571),Meses!$B$3:$C$14,2,FALSE)*U571,
"")</f>
        <v/>
      </c>
      <c r="U571" s="22">
        <f t="shared" si="25"/>
        <v>11354</v>
      </c>
    </row>
    <row r="572" spans="1:21" ht="31.8" hidden="1" thickBot="1" x14ac:dyDescent="0.6">
      <c r="A572" s="10" t="s">
        <v>701</v>
      </c>
      <c r="B572" s="10" t="s">
        <v>732</v>
      </c>
      <c r="C572" s="12">
        <v>45155</v>
      </c>
      <c r="D572" s="10" t="s">
        <v>14</v>
      </c>
      <c r="E572" s="10" t="s">
        <v>14</v>
      </c>
      <c r="F572" s="10">
        <v>7550</v>
      </c>
      <c r="G572" s="10" t="s">
        <v>15</v>
      </c>
      <c r="H572" s="10" t="s">
        <v>2406</v>
      </c>
      <c r="I572" s="10" t="s">
        <v>18</v>
      </c>
      <c r="J572" s="10" t="s">
        <v>143</v>
      </c>
      <c r="K572" s="10" t="s">
        <v>2897</v>
      </c>
      <c r="L572" s="10" t="s">
        <v>2296</v>
      </c>
      <c r="M572" s="12"/>
      <c r="N572" s="10" t="s">
        <v>20</v>
      </c>
      <c r="O572" s="10" t="s">
        <v>2054</v>
      </c>
      <c r="P572" s="25" t="str">
        <f>IFERROR(
IF(OR(O572="anulado",O572="stand by"),CONCATENATE(O572,": ",H572),
IF(OR(YEAR(M572)=2022,YEAR(M572)=2023),CONCATENATE("Se activó en ",YEAR(M572)),
IF(AND(OR(O572="En proceso",O572="facturando"),AND(J572="-",M572="")),"Por revisar",
IF(M572="",IF(J572="NUEVAS",CONCATENATE("Estado: ",O572,", ",J572),
IF(L572=Meses!$A$3,"Por revisar",
IF(H572="","Sin registro","En programación Frcst."))),"En programación")))),
"Error")</f>
        <v>En programación Frcst.</v>
      </c>
      <c r="Q572" s="9" t="str">
        <f t="shared" si="24"/>
        <v/>
      </c>
      <c r="R572" s="25">
        <f>IF(P572="En programación Frcst.",VLOOKUP(L572,Meses!$A$1:$H$14,3+HLOOKUP(Cronograma!J572,Meses!$D$1:$G$2,2,FALSE),FALSE),
IF(P572="En programación",M572,""))</f>
        <v>0</v>
      </c>
      <c r="S572" s="25" t="str">
        <f t="shared" si="26"/>
        <v>1900/1</v>
      </c>
      <c r="T572" s="21">
        <f>IFERROR(
(VLOOKUP(MONTH(R572),Meses!$B$3:$C$14,2,FALSE)-DAY(R572))/VLOOKUP(MONTH(R572),Meses!$B$3:$C$14,2,FALSE)*U572,
"")</f>
        <v>7550</v>
      </c>
      <c r="U572" s="22">
        <f t="shared" si="25"/>
        <v>7550</v>
      </c>
    </row>
    <row r="573" spans="1:21" ht="31.8" hidden="1" thickBot="1" x14ac:dyDescent="0.6">
      <c r="A573" s="10" t="s">
        <v>701</v>
      </c>
      <c r="B573" s="10" t="s">
        <v>733</v>
      </c>
      <c r="C573" s="12"/>
      <c r="D573" s="10" t="s">
        <v>291</v>
      </c>
      <c r="E573" s="10" t="s">
        <v>291</v>
      </c>
      <c r="F573" s="10">
        <v>16073</v>
      </c>
      <c r="G573" s="10" t="s">
        <v>15</v>
      </c>
      <c r="H573" s="10" t="s">
        <v>2916</v>
      </c>
      <c r="I573" s="10" t="s">
        <v>43</v>
      </c>
      <c r="J573" s="10" t="s">
        <v>143</v>
      </c>
      <c r="K573" s="10" t="s">
        <v>2895</v>
      </c>
      <c r="L573" s="10" t="s">
        <v>2292</v>
      </c>
      <c r="M573" s="12">
        <v>45400</v>
      </c>
      <c r="N573" s="10" t="s">
        <v>15</v>
      </c>
      <c r="O573" s="10" t="s">
        <v>2057</v>
      </c>
      <c r="P573" s="25" t="str">
        <f>IFERROR(
IF(OR(O573="anulado",O573="stand by"),CONCATENATE(O573,": ",H573),
IF(OR(YEAR(M573)=2022,YEAR(M573)=2023),CONCATENATE("Se activó en ",YEAR(M573)),
IF(AND(OR(O573="En proceso",O573="facturando"),AND(J573="-",M573="")),"Por revisar",
IF(M573="",IF(J573="NUEVAS",CONCATENATE("Estado: ",O573,", ",J573),
IF(L573=Meses!$A$3,"Por revisar",
IF(H573="","Sin registro","En programación Frcst."))),"En programación")))),
"Error")</f>
        <v>En programación</v>
      </c>
      <c r="Q573" s="9" t="str">
        <f t="shared" si="24"/>
        <v/>
      </c>
      <c r="R573" s="25">
        <f>IF(P573="En programación Frcst.",VLOOKUP(L573,Meses!$A$1:$H$14,3+HLOOKUP(Cronograma!J573,Meses!$D$1:$G$2,2,FALSE),FALSE),
IF(P573="En programación",M573,""))</f>
        <v>45400</v>
      </c>
      <c r="S573" s="25" t="str">
        <f t="shared" si="26"/>
        <v>2024/4</v>
      </c>
      <c r="T573" s="21">
        <f>IFERROR(
(VLOOKUP(MONTH(R573),Meses!$B$3:$C$14,2,FALSE)-DAY(R573))/VLOOKUP(MONTH(R573),Meses!$B$3:$C$14,2,FALSE)*U573,
"")</f>
        <v>6429.2000000000007</v>
      </c>
      <c r="U573" s="22">
        <f t="shared" si="25"/>
        <v>16073</v>
      </c>
    </row>
    <row r="574" spans="1:21" ht="31.8" hidden="1" thickBot="1" x14ac:dyDescent="0.6">
      <c r="A574" s="10" t="s">
        <v>701</v>
      </c>
      <c r="B574" s="10" t="s">
        <v>734</v>
      </c>
      <c r="C574" s="12"/>
      <c r="D574" s="10" t="s">
        <v>74</v>
      </c>
      <c r="E574" s="10" t="s">
        <v>74</v>
      </c>
      <c r="F574" s="10">
        <v>19600</v>
      </c>
      <c r="G574" s="10" t="s">
        <v>15</v>
      </c>
      <c r="H574" s="10" t="s">
        <v>2921</v>
      </c>
      <c r="I574" s="10" t="s">
        <v>43</v>
      </c>
      <c r="J574" s="10" t="s">
        <v>277</v>
      </c>
      <c r="K574" s="10" t="s">
        <v>3310</v>
      </c>
      <c r="L574" s="10" t="s">
        <v>1120</v>
      </c>
      <c r="M574" s="12">
        <v>45372</v>
      </c>
      <c r="N574" s="10" t="s">
        <v>15</v>
      </c>
      <c r="O574" s="10" t="s">
        <v>2057</v>
      </c>
      <c r="P574" s="25" t="str">
        <f>IFERROR(
IF(OR(O574="anulado",O574="stand by"),CONCATENATE(O574,": ",H574),
IF(OR(YEAR(M574)=2022,YEAR(M574)=2023),CONCATENATE("Se activó en ",YEAR(M574)),
IF(AND(OR(O574="En proceso",O574="facturando"),AND(J574="-",M574="")),"Por revisar",
IF(M574="",IF(J574="NUEVAS",CONCATENATE("Estado: ",O574,", ",J574),
IF(L574=Meses!$A$3,"Por revisar",
IF(H574="","Sin registro","En programación Frcst."))),"En programación")))),
"Error")</f>
        <v>En programación</v>
      </c>
      <c r="Q574" s="9" t="str">
        <f t="shared" si="24"/>
        <v/>
      </c>
      <c r="R574" s="25">
        <f>IF(P574="En programación Frcst.",VLOOKUP(L574,Meses!$A$1:$H$14,3+HLOOKUP(Cronograma!J574,Meses!$D$1:$G$2,2,FALSE),FALSE),
IF(P574="En programación",M574,""))</f>
        <v>45372</v>
      </c>
      <c r="S574" s="25" t="str">
        <f t="shared" si="26"/>
        <v>2024/3</v>
      </c>
      <c r="T574" s="21">
        <f>IFERROR(
(VLOOKUP(MONTH(R574),Meses!$B$3:$C$14,2,FALSE)-DAY(R574))/VLOOKUP(MONTH(R574),Meses!$B$3:$C$14,2,FALSE)*U574,
"")</f>
        <v>6322.5806451612898</v>
      </c>
      <c r="U574" s="22">
        <f t="shared" si="25"/>
        <v>19600</v>
      </c>
    </row>
    <row r="575" spans="1:21" ht="32.4" hidden="1" thickBot="1" x14ac:dyDescent="0.6">
      <c r="A575" s="10" t="s">
        <v>701</v>
      </c>
      <c r="B575" s="10" t="s">
        <v>735</v>
      </c>
      <c r="C575" s="12">
        <v>45295</v>
      </c>
      <c r="D575" s="10" t="s">
        <v>41</v>
      </c>
      <c r="E575" s="10" t="s">
        <v>41</v>
      </c>
      <c r="F575" s="10">
        <v>10215</v>
      </c>
      <c r="G575" s="10" t="s">
        <v>15</v>
      </c>
      <c r="H575" s="10" t="s">
        <v>17</v>
      </c>
      <c r="I575" s="10" t="s">
        <v>43</v>
      </c>
      <c r="J575" s="10" t="s">
        <v>143</v>
      </c>
      <c r="K575" s="10" t="s">
        <v>144</v>
      </c>
      <c r="L575" s="10" t="s">
        <v>145</v>
      </c>
      <c r="M575" s="12"/>
      <c r="N575" s="10" t="s">
        <v>15</v>
      </c>
      <c r="O575" s="10" t="s">
        <v>2054</v>
      </c>
      <c r="P575" s="25" t="str">
        <f>IFERROR(
IF(OR(O575="anulado",O575="stand by"),CONCATENATE(O575,": ",H575),
IF(OR(YEAR(M575)=2022,YEAR(M575)=2023),CONCATENATE("Se activó en ",YEAR(M575)),
IF(AND(OR(O575="En proceso",O575="facturando"),AND(J575="-",M575="")),"Por revisar",
IF(M575="",IF(J575="NUEVAS",CONCATENATE("Estado: ",O575,", ",J575),
IF(L575=Meses!$A$3,"Por revisar",
IF(H575="","Sin registro","En programación Frcst."))),"En programación")))),
"Error")</f>
        <v>Por revisar</v>
      </c>
      <c r="Q575" s="9" t="str">
        <f t="shared" si="24"/>
        <v>programación de act. SI, estado: Facturando, Comercializador: EPM, Etapa: Instalado y Activado</v>
      </c>
      <c r="R575" s="25" t="str">
        <f>IF(P575="En programación Frcst.",VLOOKUP(L575,Meses!$A$1:$H$14,3+HLOOKUP(Cronograma!J575,Meses!$D$1:$G$2,2,FALSE),FALSE),
IF(P575="En programación",M575,""))</f>
        <v/>
      </c>
      <c r="S575" s="25" t="str">
        <f t="shared" si="26"/>
        <v/>
      </c>
      <c r="T575" s="21" t="str">
        <f>IFERROR(
(VLOOKUP(MONTH(R575),Meses!$B$3:$C$14,2,FALSE)-DAY(R575))/VLOOKUP(MONTH(R575),Meses!$B$3:$C$14,2,FALSE)*U575,
"")</f>
        <v/>
      </c>
      <c r="U575" s="22">
        <f t="shared" si="25"/>
        <v>10215</v>
      </c>
    </row>
    <row r="576" spans="1:21" ht="31.8" hidden="1" thickBot="1" x14ac:dyDescent="0.6">
      <c r="A576" s="10" t="s">
        <v>701</v>
      </c>
      <c r="B576" s="10" t="s">
        <v>736</v>
      </c>
      <c r="C576" s="12"/>
      <c r="D576" s="10" t="s">
        <v>41</v>
      </c>
      <c r="E576" s="10" t="s">
        <v>41</v>
      </c>
      <c r="F576" s="10">
        <v>1868</v>
      </c>
      <c r="G576" s="10" t="s">
        <v>15</v>
      </c>
      <c r="H576" s="10" t="s">
        <v>2916</v>
      </c>
      <c r="I576" s="10" t="s">
        <v>43</v>
      </c>
      <c r="J576" s="10" t="s">
        <v>143</v>
      </c>
      <c r="K576" s="10" t="s">
        <v>2895</v>
      </c>
      <c r="L576" s="10" t="s">
        <v>2292</v>
      </c>
      <c r="M576" s="12">
        <v>45400</v>
      </c>
      <c r="N576" s="10" t="s">
        <v>15</v>
      </c>
      <c r="O576" s="10" t="s">
        <v>2057</v>
      </c>
      <c r="P576" s="25" t="str">
        <f>IFERROR(
IF(OR(O576="anulado",O576="stand by"),CONCATENATE(O576,": ",H576),
IF(OR(YEAR(M576)=2022,YEAR(M576)=2023),CONCATENATE("Se activó en ",YEAR(M576)),
IF(AND(OR(O576="En proceso",O576="facturando"),AND(J576="-",M576="")),"Por revisar",
IF(M576="",IF(J576="NUEVAS",CONCATENATE("Estado: ",O576,", ",J576),
IF(L576=Meses!$A$3,"Por revisar",
IF(H576="","Sin registro","En programación Frcst."))),"En programación")))),
"Error")</f>
        <v>En programación</v>
      </c>
      <c r="Q576" s="9" t="str">
        <f t="shared" si="24"/>
        <v/>
      </c>
      <c r="R576" s="25">
        <f>IF(P576="En programación Frcst.",VLOOKUP(L576,Meses!$A$1:$H$14,3+HLOOKUP(Cronograma!J576,Meses!$D$1:$G$2,2,FALSE),FALSE),
IF(P576="En programación",M576,""))</f>
        <v>45400</v>
      </c>
      <c r="S576" s="25" t="str">
        <f t="shared" si="26"/>
        <v>2024/4</v>
      </c>
      <c r="T576" s="21">
        <f>IFERROR(
(VLOOKUP(MONTH(R576),Meses!$B$3:$C$14,2,FALSE)-DAY(R576))/VLOOKUP(MONTH(R576),Meses!$B$3:$C$14,2,FALSE)*U576,
"")</f>
        <v>747.2</v>
      </c>
      <c r="U576" s="22">
        <f t="shared" si="25"/>
        <v>1868</v>
      </c>
    </row>
    <row r="577" spans="1:21" ht="32.4" hidden="1" thickBot="1" x14ac:dyDescent="0.6">
      <c r="A577" s="10" t="s">
        <v>701</v>
      </c>
      <c r="B577" s="10" t="s">
        <v>737</v>
      </c>
      <c r="C577" s="12">
        <v>45141</v>
      </c>
      <c r="D577" s="10" t="s">
        <v>14</v>
      </c>
      <c r="E577" s="10" t="s">
        <v>14</v>
      </c>
      <c r="F577" s="10">
        <v>14904</v>
      </c>
      <c r="G577" s="10" t="s">
        <v>15</v>
      </c>
      <c r="H577" s="10" t="s">
        <v>17</v>
      </c>
      <c r="I577" s="10" t="s">
        <v>18</v>
      </c>
      <c r="J577" s="10" t="s">
        <v>19</v>
      </c>
      <c r="K577" s="10" t="s">
        <v>19</v>
      </c>
      <c r="L577" s="10" t="s">
        <v>19</v>
      </c>
      <c r="M577" s="12"/>
      <c r="N577" s="10" t="s">
        <v>20</v>
      </c>
      <c r="O577" s="10" t="s">
        <v>2054</v>
      </c>
      <c r="P577" s="25" t="str">
        <f>IFERROR(
IF(OR(O577="anulado",O577="stand by"),CONCATENATE(O577,": ",H577),
IF(OR(YEAR(M577)=2022,YEAR(M577)=2023),CONCATENATE("Se activó en ",YEAR(M577)),
IF(AND(OR(O577="En proceso",O577="facturando"),AND(J577="-",M577="")),"Por revisar",
IF(M577="",IF(J577="NUEVAS",CONCATENATE("Estado: ",O577,", ",J577),
IF(L577=Meses!$A$3,"Por revisar",
IF(H577="","Sin registro","En programación Frcst."))),"En programación")))),
"Error")</f>
        <v>Por revisar</v>
      </c>
      <c r="Q577" s="9" t="str">
        <f t="shared" si="24"/>
        <v>programación de act. NO, estado: Facturando, Comercializador: ENEL, Etapa: Instalado y Activado</v>
      </c>
      <c r="R577" s="25" t="str">
        <f>IF(P577="En programación Frcst.",VLOOKUP(L577,Meses!$A$1:$H$14,3+HLOOKUP(Cronograma!J577,Meses!$D$1:$G$2,2,FALSE),FALSE),
IF(P577="En programación",M577,""))</f>
        <v/>
      </c>
      <c r="S577" s="25" t="str">
        <f t="shared" si="26"/>
        <v/>
      </c>
      <c r="T577" s="21" t="str">
        <f>IFERROR(
(VLOOKUP(MONTH(R577),Meses!$B$3:$C$14,2,FALSE)-DAY(R577))/VLOOKUP(MONTH(R577),Meses!$B$3:$C$14,2,FALSE)*U577,
"")</f>
        <v/>
      </c>
      <c r="U577" s="22">
        <f t="shared" si="25"/>
        <v>14904</v>
      </c>
    </row>
    <row r="578" spans="1:21" ht="32.4" hidden="1" thickBot="1" x14ac:dyDescent="0.6">
      <c r="A578" s="10" t="s">
        <v>701</v>
      </c>
      <c r="B578" s="10" t="s">
        <v>738</v>
      </c>
      <c r="C578" s="12">
        <v>45134</v>
      </c>
      <c r="D578" s="10" t="s">
        <v>14</v>
      </c>
      <c r="E578" s="10" t="s">
        <v>14</v>
      </c>
      <c r="F578" s="10">
        <v>13064</v>
      </c>
      <c r="G578" s="10" t="s">
        <v>15</v>
      </c>
      <c r="H578" s="10" t="s">
        <v>17</v>
      </c>
      <c r="I578" s="10" t="s">
        <v>18</v>
      </c>
      <c r="J578" s="10" t="s">
        <v>19</v>
      </c>
      <c r="K578" s="10" t="s">
        <v>19</v>
      </c>
      <c r="L578" s="10" t="s">
        <v>19</v>
      </c>
      <c r="M578" s="12"/>
      <c r="N578" s="10" t="s">
        <v>20</v>
      </c>
      <c r="O578" s="10" t="s">
        <v>2054</v>
      </c>
      <c r="P578" s="25" t="str">
        <f>IFERROR(
IF(OR(O578="anulado",O578="stand by"),CONCATENATE(O578,": ",H578),
IF(OR(YEAR(M578)=2022,YEAR(M578)=2023),CONCATENATE("Se activó en ",YEAR(M578)),
IF(AND(OR(O578="En proceso",O578="facturando"),AND(J578="-",M578="")),"Por revisar",
IF(M578="",IF(J578="NUEVAS",CONCATENATE("Estado: ",O578,", ",J578),
IF(L578=Meses!$A$3,"Por revisar",
IF(H578="","Sin registro","En programación Frcst."))),"En programación")))),
"Error")</f>
        <v>Por revisar</v>
      </c>
      <c r="Q578" s="9" t="str">
        <f t="shared" ref="Q578:Q641" si="27">IF(P578="Por revisar",CONCATENATE("programación de act. ",N578,", estado: ",O578,", Comercializador: ",D578,", Etapa: ",H578),"")</f>
        <v>programación de act. NO, estado: Facturando, Comercializador: ENEL, Etapa: Instalado y Activado</v>
      </c>
      <c r="R578" s="25" t="str">
        <f>IF(P578="En programación Frcst.",VLOOKUP(L578,Meses!$A$1:$H$14,3+HLOOKUP(Cronograma!J578,Meses!$D$1:$G$2,2,FALSE),FALSE),
IF(P578="En programación",M578,""))</f>
        <v/>
      </c>
      <c r="S578" s="25" t="str">
        <f t="shared" si="26"/>
        <v/>
      </c>
      <c r="T578" s="21" t="str">
        <f>IFERROR(
(VLOOKUP(MONTH(R578),Meses!$B$3:$C$14,2,FALSE)-DAY(R578))/VLOOKUP(MONTH(R578),Meses!$B$3:$C$14,2,FALSE)*U578,
"")</f>
        <v/>
      </c>
      <c r="U578" s="22">
        <f t="shared" ref="U578:U641" si="28">F578</f>
        <v>13064</v>
      </c>
    </row>
    <row r="579" spans="1:21" ht="32.4" hidden="1" thickBot="1" x14ac:dyDescent="0.6">
      <c r="A579" s="10" t="s">
        <v>701</v>
      </c>
      <c r="B579" s="10" t="s">
        <v>739</v>
      </c>
      <c r="C579" s="12">
        <v>45134</v>
      </c>
      <c r="D579" s="10" t="s">
        <v>14</v>
      </c>
      <c r="E579" s="10" t="s">
        <v>14</v>
      </c>
      <c r="F579" s="10">
        <v>8863</v>
      </c>
      <c r="G579" s="10" t="s">
        <v>15</v>
      </c>
      <c r="H579" s="10" t="s">
        <v>17</v>
      </c>
      <c r="I579" s="10" t="s">
        <v>18</v>
      </c>
      <c r="J579" s="10" t="s">
        <v>19</v>
      </c>
      <c r="K579" s="10" t="s">
        <v>19</v>
      </c>
      <c r="L579" s="10" t="s">
        <v>19</v>
      </c>
      <c r="M579" s="12"/>
      <c r="N579" s="10" t="s">
        <v>20</v>
      </c>
      <c r="O579" s="10" t="s">
        <v>2054</v>
      </c>
      <c r="P579" s="25" t="str">
        <f>IFERROR(
IF(OR(O579="anulado",O579="stand by"),CONCATENATE(O579,": ",H579),
IF(OR(YEAR(M579)=2022,YEAR(M579)=2023),CONCATENATE("Se activó en ",YEAR(M579)),
IF(AND(OR(O579="En proceso",O579="facturando"),AND(J579="-",M579="")),"Por revisar",
IF(M579="",IF(J579="NUEVAS",CONCATENATE("Estado: ",O579,", ",J579),
IF(L579=Meses!$A$3,"Por revisar",
IF(H579="","Sin registro","En programación Frcst."))),"En programación")))),
"Error")</f>
        <v>Por revisar</v>
      </c>
      <c r="Q579" s="9" t="str">
        <f t="shared" si="27"/>
        <v>programación de act. NO, estado: Facturando, Comercializador: ENEL, Etapa: Instalado y Activado</v>
      </c>
      <c r="R579" s="25" t="str">
        <f>IF(P579="En programación Frcst.",VLOOKUP(L579,Meses!$A$1:$H$14,3+HLOOKUP(Cronograma!J579,Meses!$D$1:$G$2,2,FALSE),FALSE),
IF(P579="En programación",M579,""))</f>
        <v/>
      </c>
      <c r="S579" s="25" t="str">
        <f t="shared" ref="S579:S642" si="29">IFERROR(CONCATENATE(YEAR(R579),"/",MONTH(R579)),"")</f>
        <v/>
      </c>
      <c r="T579" s="21" t="str">
        <f>IFERROR(
(VLOOKUP(MONTH(R579),Meses!$B$3:$C$14,2,FALSE)-DAY(R579))/VLOOKUP(MONTH(R579),Meses!$B$3:$C$14,2,FALSE)*U579,
"")</f>
        <v/>
      </c>
      <c r="U579" s="22">
        <f t="shared" si="28"/>
        <v>8863</v>
      </c>
    </row>
    <row r="580" spans="1:21" ht="31.8" hidden="1" thickBot="1" x14ac:dyDescent="0.6">
      <c r="A580" s="10" t="s">
        <v>701</v>
      </c>
      <c r="B580" s="10" t="s">
        <v>740</v>
      </c>
      <c r="C580" s="12">
        <v>45155</v>
      </c>
      <c r="D580" s="10" t="s">
        <v>14</v>
      </c>
      <c r="E580" s="10" t="s">
        <v>14</v>
      </c>
      <c r="F580" s="10">
        <v>721</v>
      </c>
      <c r="G580" s="10" t="s">
        <v>15</v>
      </c>
      <c r="H580" s="10" t="s">
        <v>2406</v>
      </c>
      <c r="I580" s="10" t="s">
        <v>18</v>
      </c>
      <c r="J580" s="10" t="s">
        <v>143</v>
      </c>
      <c r="K580" s="10" t="s">
        <v>2897</v>
      </c>
      <c r="L580" s="10" t="s">
        <v>2296</v>
      </c>
      <c r="M580" s="12"/>
      <c r="N580" s="10" t="s">
        <v>20</v>
      </c>
      <c r="O580" s="10" t="s">
        <v>2054</v>
      </c>
      <c r="P580" s="25" t="str">
        <f>IFERROR(
IF(OR(O580="anulado",O580="stand by"),CONCATENATE(O580,": ",H580),
IF(OR(YEAR(M580)=2022,YEAR(M580)=2023),CONCATENATE("Se activó en ",YEAR(M580)),
IF(AND(OR(O580="En proceso",O580="facturando"),AND(J580="-",M580="")),"Por revisar",
IF(M580="",IF(J580="NUEVAS",CONCATENATE("Estado: ",O580,", ",J580),
IF(L580=Meses!$A$3,"Por revisar",
IF(H580="","Sin registro","En programación Frcst."))),"En programación")))),
"Error")</f>
        <v>En programación Frcst.</v>
      </c>
      <c r="Q580" s="9" t="str">
        <f t="shared" si="27"/>
        <v/>
      </c>
      <c r="R580" s="25">
        <f>IF(P580="En programación Frcst.",VLOOKUP(L580,Meses!$A$1:$H$14,3+HLOOKUP(Cronograma!J580,Meses!$D$1:$G$2,2,FALSE),FALSE),
IF(P580="En programación",M580,""))</f>
        <v>0</v>
      </c>
      <c r="S580" s="25" t="str">
        <f t="shared" si="29"/>
        <v>1900/1</v>
      </c>
      <c r="T580" s="21">
        <f>IFERROR(
(VLOOKUP(MONTH(R580),Meses!$B$3:$C$14,2,FALSE)-DAY(R580))/VLOOKUP(MONTH(R580),Meses!$B$3:$C$14,2,FALSE)*U580,
"")</f>
        <v>721</v>
      </c>
      <c r="U580" s="22">
        <f t="shared" si="28"/>
        <v>721</v>
      </c>
    </row>
    <row r="581" spans="1:21" ht="31.8" hidden="1" thickBot="1" x14ac:dyDescent="0.6">
      <c r="A581" s="10" t="s">
        <v>701</v>
      </c>
      <c r="B581" s="10" t="s">
        <v>741</v>
      </c>
      <c r="C581" s="12">
        <v>45316</v>
      </c>
      <c r="D581" s="10" t="s">
        <v>657</v>
      </c>
      <c r="E581" s="10" t="s">
        <v>657</v>
      </c>
      <c r="F581" s="10">
        <v>14448</v>
      </c>
      <c r="G581" s="10" t="s">
        <v>15</v>
      </c>
      <c r="H581" s="10" t="s">
        <v>17</v>
      </c>
      <c r="I581" s="10" t="s">
        <v>18</v>
      </c>
      <c r="J581" s="10" t="s">
        <v>143</v>
      </c>
      <c r="K581" s="10" t="s">
        <v>538</v>
      </c>
      <c r="L581" s="10" t="s">
        <v>279</v>
      </c>
      <c r="M581" s="12"/>
      <c r="N581" s="10" t="s">
        <v>15</v>
      </c>
      <c r="O581" s="10" t="s">
        <v>2054</v>
      </c>
      <c r="P581" s="25" t="str">
        <f>IFERROR(
IF(OR(O581="anulado",O581="stand by"),CONCATENATE(O581,": ",H581),
IF(OR(YEAR(M581)=2022,YEAR(M581)=2023),CONCATENATE("Se activó en ",YEAR(M581)),
IF(AND(OR(O581="En proceso",O581="facturando"),AND(J581="-",M581="")),"Por revisar",
IF(M581="",IF(J581="NUEVAS",CONCATENATE("Estado: ",O581,", ",J581),
IF(L581=Meses!$A$3,"Por revisar",
IF(H581="","Sin registro","En programación Frcst."))),"En programación")))),
"Error")</f>
        <v>En programación Frcst.</v>
      </c>
      <c r="Q581" s="9" t="str">
        <f t="shared" si="27"/>
        <v/>
      </c>
      <c r="R581" s="25">
        <f>IF(P581="En programación Frcst.",VLOOKUP(L581,Meses!$A$1:$H$14,3+HLOOKUP(Cronograma!J581,Meses!$D$1:$G$2,2,FALSE),FALSE),
IF(P581="En programación",M581,""))</f>
        <v>45302</v>
      </c>
      <c r="S581" s="25" t="str">
        <f t="shared" si="29"/>
        <v>2024/1</v>
      </c>
      <c r="T581" s="21">
        <f>IFERROR(
(VLOOKUP(MONTH(R581),Meses!$B$3:$C$14,2,FALSE)-DAY(R581))/VLOOKUP(MONTH(R581),Meses!$B$3:$C$14,2,FALSE)*U581,
"")</f>
        <v>9321.2903225806458</v>
      </c>
      <c r="U581" s="22">
        <f t="shared" si="28"/>
        <v>14448</v>
      </c>
    </row>
    <row r="582" spans="1:21" ht="31.8" hidden="1" thickBot="1" x14ac:dyDescent="0.6">
      <c r="A582" s="10" t="s">
        <v>742</v>
      </c>
      <c r="B582" s="10" t="s">
        <v>743</v>
      </c>
      <c r="C582" s="12"/>
      <c r="D582" s="10" t="s">
        <v>41</v>
      </c>
      <c r="E582" s="10" t="s">
        <v>41</v>
      </c>
      <c r="F582" s="10">
        <v>7122</v>
      </c>
      <c r="G582" s="10" t="s">
        <v>15</v>
      </c>
      <c r="H582" s="10" t="s">
        <v>2921</v>
      </c>
      <c r="I582" s="10" t="s">
        <v>43</v>
      </c>
      <c r="J582" s="10" t="s">
        <v>277</v>
      </c>
      <c r="K582" s="10" t="s">
        <v>3310</v>
      </c>
      <c r="L582" s="10" t="s">
        <v>1120</v>
      </c>
      <c r="M582" s="12">
        <v>45372</v>
      </c>
      <c r="N582" s="10" t="s">
        <v>15</v>
      </c>
      <c r="O582" s="10" t="s">
        <v>2057</v>
      </c>
      <c r="P582" s="25" t="str">
        <f>IFERROR(
IF(OR(O582="anulado",O582="stand by"),CONCATENATE(O582,": ",H582),
IF(OR(YEAR(M582)=2022,YEAR(M582)=2023),CONCATENATE("Se activó en ",YEAR(M582)),
IF(AND(OR(O582="En proceso",O582="facturando"),AND(J582="-",M582="")),"Por revisar",
IF(M582="",IF(J582="NUEVAS",CONCATENATE("Estado: ",O582,", ",J582),
IF(L582=Meses!$A$3,"Por revisar",
IF(H582="","Sin registro","En programación Frcst."))),"En programación")))),
"Error")</f>
        <v>En programación</v>
      </c>
      <c r="Q582" s="9" t="str">
        <f t="shared" si="27"/>
        <v/>
      </c>
      <c r="R582" s="25">
        <f>IF(P582="En programación Frcst.",VLOOKUP(L582,Meses!$A$1:$H$14,3+HLOOKUP(Cronograma!J582,Meses!$D$1:$G$2,2,FALSE),FALSE),
IF(P582="En programación",M582,""))</f>
        <v>45372</v>
      </c>
      <c r="S582" s="25" t="str">
        <f t="shared" si="29"/>
        <v>2024/3</v>
      </c>
      <c r="T582" s="21">
        <f>IFERROR(
(VLOOKUP(MONTH(R582),Meses!$B$3:$C$14,2,FALSE)-DAY(R582))/VLOOKUP(MONTH(R582),Meses!$B$3:$C$14,2,FALSE)*U582,
"")</f>
        <v>2297.4193548387098</v>
      </c>
      <c r="U582" s="22">
        <f t="shared" si="28"/>
        <v>7122</v>
      </c>
    </row>
    <row r="583" spans="1:21" ht="31.8" hidden="1" thickBot="1" x14ac:dyDescent="0.6">
      <c r="A583" s="10" t="s">
        <v>742</v>
      </c>
      <c r="B583" s="10" t="s">
        <v>744</v>
      </c>
      <c r="C583" s="12"/>
      <c r="D583" s="10" t="s">
        <v>41</v>
      </c>
      <c r="E583" s="10" t="s">
        <v>41</v>
      </c>
      <c r="F583" s="10">
        <v>220</v>
      </c>
      <c r="G583" s="10" t="s">
        <v>15</v>
      </c>
      <c r="H583" s="10" t="s">
        <v>2921</v>
      </c>
      <c r="I583" s="10" t="s">
        <v>43</v>
      </c>
      <c r="J583" s="10" t="s">
        <v>143</v>
      </c>
      <c r="K583" s="10" t="s">
        <v>1697</v>
      </c>
      <c r="L583" s="10" t="s">
        <v>1120</v>
      </c>
      <c r="M583" s="12">
        <v>45365</v>
      </c>
      <c r="N583" s="10" t="s">
        <v>15</v>
      </c>
      <c r="O583" s="10" t="s">
        <v>2057</v>
      </c>
      <c r="P583" s="25" t="str">
        <f>IFERROR(
IF(OR(O583="anulado",O583="stand by"),CONCATENATE(O583,": ",H583),
IF(OR(YEAR(M583)=2022,YEAR(M583)=2023),CONCATENATE("Se activó en ",YEAR(M583)),
IF(AND(OR(O583="En proceso",O583="facturando"),AND(J583="-",M583="")),"Por revisar",
IF(M583="",IF(J583="NUEVAS",CONCATENATE("Estado: ",O583,", ",J583),
IF(L583=Meses!$A$3,"Por revisar",
IF(H583="","Sin registro","En programación Frcst."))),"En programación")))),
"Error")</f>
        <v>En programación</v>
      </c>
      <c r="Q583" s="9" t="str">
        <f t="shared" si="27"/>
        <v/>
      </c>
      <c r="R583" s="25">
        <f>IF(P583="En programación Frcst.",VLOOKUP(L583,Meses!$A$1:$H$14,3+HLOOKUP(Cronograma!J583,Meses!$D$1:$G$2,2,FALSE),FALSE),
IF(P583="En programación",M583,""))</f>
        <v>45365</v>
      </c>
      <c r="S583" s="25" t="str">
        <f t="shared" si="29"/>
        <v>2024/3</v>
      </c>
      <c r="T583" s="21">
        <f>IFERROR(
(VLOOKUP(MONTH(R583),Meses!$B$3:$C$14,2,FALSE)-DAY(R583))/VLOOKUP(MONTH(R583),Meses!$B$3:$C$14,2,FALSE)*U583,
"")</f>
        <v>120.64516129032258</v>
      </c>
      <c r="U583" s="22">
        <f t="shared" si="28"/>
        <v>220</v>
      </c>
    </row>
    <row r="584" spans="1:21" ht="31.8" hidden="1" thickBot="1" x14ac:dyDescent="0.6">
      <c r="A584" s="10" t="s">
        <v>745</v>
      </c>
      <c r="B584" s="10" t="s">
        <v>746</v>
      </c>
      <c r="C584" s="12"/>
      <c r="D584" s="10" t="s">
        <v>74</v>
      </c>
      <c r="E584" s="10" t="s">
        <v>74</v>
      </c>
      <c r="F584" s="10">
        <v>15400</v>
      </c>
      <c r="G584" s="10" t="s">
        <v>15</v>
      </c>
      <c r="H584" s="10" t="s">
        <v>2917</v>
      </c>
      <c r="I584" s="10" t="s">
        <v>43</v>
      </c>
      <c r="J584" s="10" t="s">
        <v>143</v>
      </c>
      <c r="K584" s="10" t="s">
        <v>2895</v>
      </c>
      <c r="L584" s="10" t="s">
        <v>2292</v>
      </c>
      <c r="M584" s="12">
        <v>45400</v>
      </c>
      <c r="N584" s="10" t="s">
        <v>15</v>
      </c>
      <c r="O584" s="10" t="s">
        <v>2057</v>
      </c>
      <c r="P584" s="25" t="str">
        <f>IFERROR(
IF(OR(O584="anulado",O584="stand by"),CONCATENATE(O584,": ",H584),
IF(OR(YEAR(M584)=2022,YEAR(M584)=2023),CONCATENATE("Se activó en ",YEAR(M584)),
IF(AND(OR(O584="En proceso",O584="facturando"),AND(J584="-",M584="")),"Por revisar",
IF(M584="",IF(J584="NUEVAS",CONCATENATE("Estado: ",O584,", ",J584),
IF(L584=Meses!$A$3,"Por revisar",
IF(H584="","Sin registro","En programación Frcst."))),"En programación")))),
"Error")</f>
        <v>En programación</v>
      </c>
      <c r="Q584" s="9" t="str">
        <f t="shared" si="27"/>
        <v/>
      </c>
      <c r="R584" s="25">
        <f>IF(P584="En programación Frcst.",VLOOKUP(L584,Meses!$A$1:$H$14,3+HLOOKUP(Cronograma!J584,Meses!$D$1:$G$2,2,FALSE),FALSE),
IF(P584="En programación",M584,""))</f>
        <v>45400</v>
      </c>
      <c r="S584" s="25" t="str">
        <f t="shared" si="29"/>
        <v>2024/4</v>
      </c>
      <c r="T584" s="21">
        <f>IFERROR(
(VLOOKUP(MONTH(R584),Meses!$B$3:$C$14,2,FALSE)-DAY(R584))/VLOOKUP(MONTH(R584),Meses!$B$3:$C$14,2,FALSE)*U584,
"")</f>
        <v>6160</v>
      </c>
      <c r="U584" s="22">
        <f t="shared" si="28"/>
        <v>15400</v>
      </c>
    </row>
    <row r="585" spans="1:21" ht="32.4" hidden="1" thickBot="1" x14ac:dyDescent="0.6">
      <c r="A585" s="10" t="s">
        <v>749</v>
      </c>
      <c r="B585" s="10" t="s">
        <v>750</v>
      </c>
      <c r="C585" s="12">
        <v>45148</v>
      </c>
      <c r="D585" s="10" t="s">
        <v>14</v>
      </c>
      <c r="E585" s="10" t="s">
        <v>14</v>
      </c>
      <c r="F585" s="10">
        <v>2419</v>
      </c>
      <c r="G585" s="10" t="s">
        <v>15</v>
      </c>
      <c r="H585" s="10" t="s">
        <v>17</v>
      </c>
      <c r="I585" s="10" t="s">
        <v>18</v>
      </c>
      <c r="J585" s="10" t="s">
        <v>19</v>
      </c>
      <c r="K585" s="10" t="s">
        <v>19</v>
      </c>
      <c r="L585" s="10" t="s">
        <v>19</v>
      </c>
      <c r="M585" s="12"/>
      <c r="N585" s="10" t="s">
        <v>20</v>
      </c>
      <c r="O585" s="10" t="s">
        <v>2054</v>
      </c>
      <c r="P585" s="25" t="str">
        <f>IFERROR(
IF(OR(O585="anulado",O585="stand by"),CONCATENATE(O585,": ",H585),
IF(OR(YEAR(M585)=2022,YEAR(M585)=2023),CONCATENATE("Se activó en ",YEAR(M585)),
IF(AND(OR(O585="En proceso",O585="facturando"),AND(J585="-",M585="")),"Por revisar",
IF(M585="",IF(J585="NUEVAS",CONCATENATE("Estado: ",O585,", ",J585),
IF(L585=Meses!$A$3,"Por revisar",
IF(H585="","Sin registro","En programación Frcst."))),"En programación")))),
"Error")</f>
        <v>Por revisar</v>
      </c>
      <c r="Q585" s="9" t="str">
        <f t="shared" si="27"/>
        <v>programación de act. NO, estado: Facturando, Comercializador: ENEL, Etapa: Instalado y Activado</v>
      </c>
      <c r="R585" s="25" t="str">
        <f>IF(P585="En programación Frcst.",VLOOKUP(L585,Meses!$A$1:$H$14,3+HLOOKUP(Cronograma!J585,Meses!$D$1:$G$2,2,FALSE),FALSE),
IF(P585="En programación",M585,""))</f>
        <v/>
      </c>
      <c r="S585" s="25" t="str">
        <f t="shared" si="29"/>
        <v/>
      </c>
      <c r="T585" s="21" t="str">
        <f>IFERROR(
(VLOOKUP(MONTH(R585),Meses!$B$3:$C$14,2,FALSE)-DAY(R585))/VLOOKUP(MONTH(R585),Meses!$B$3:$C$14,2,FALSE)*U585,
"")</f>
        <v/>
      </c>
      <c r="U585" s="22">
        <f t="shared" si="28"/>
        <v>2419</v>
      </c>
    </row>
    <row r="586" spans="1:21" ht="31.8" hidden="1" thickBot="1" x14ac:dyDescent="0.6">
      <c r="A586" s="10" t="s">
        <v>751</v>
      </c>
      <c r="B586" s="10" t="s">
        <v>752</v>
      </c>
      <c r="C586" s="12"/>
      <c r="D586" s="10" t="s">
        <v>14</v>
      </c>
      <c r="E586" s="10" t="s">
        <v>14</v>
      </c>
      <c r="F586" s="10">
        <v>9677</v>
      </c>
      <c r="G586" s="10" t="s">
        <v>15</v>
      </c>
      <c r="H586" s="10" t="s">
        <v>140</v>
      </c>
      <c r="I586" s="10" t="s">
        <v>18</v>
      </c>
      <c r="J586" s="10" t="s">
        <v>143</v>
      </c>
      <c r="K586" s="10" t="s">
        <v>2895</v>
      </c>
      <c r="L586" s="10" t="s">
        <v>2292</v>
      </c>
      <c r="M586" s="12">
        <v>45400</v>
      </c>
      <c r="N586" s="10" t="s">
        <v>20</v>
      </c>
      <c r="O586" s="10" t="s">
        <v>2056</v>
      </c>
      <c r="P586" s="25" t="str">
        <f>IFERROR(
IF(OR(O586="anulado",O586="stand by"),CONCATENATE(O586,": ",H586),
IF(OR(YEAR(M586)=2022,YEAR(M586)=2023),CONCATENATE("Se activó en ",YEAR(M586)),
IF(AND(OR(O586="En proceso",O586="facturando"),AND(J586="-",M586="")),"Por revisar",
IF(M586="",IF(J586="NUEVAS",CONCATENATE("Estado: ",O586,", ",J586),
IF(L586=Meses!$A$3,"Por revisar",
IF(H586="","Sin registro","En programación Frcst."))),"En programación")))),
"Error")</f>
        <v>anulado: Desistido</v>
      </c>
      <c r="Q586" s="9" t="str">
        <f t="shared" si="27"/>
        <v/>
      </c>
      <c r="R586" s="25" t="str">
        <f>IF(P586="En programación Frcst.",VLOOKUP(L586,Meses!$A$1:$H$14,3+HLOOKUP(Cronograma!J586,Meses!$D$1:$G$2,2,FALSE),FALSE),
IF(P586="En programación",M586,""))</f>
        <v/>
      </c>
      <c r="S586" s="25" t="str">
        <f t="shared" si="29"/>
        <v/>
      </c>
      <c r="T586" s="21" t="str">
        <f>IFERROR(
(VLOOKUP(MONTH(R586),Meses!$B$3:$C$14,2,FALSE)-DAY(R586))/VLOOKUP(MONTH(R586),Meses!$B$3:$C$14,2,FALSE)*U586,
"")</f>
        <v/>
      </c>
      <c r="U586" s="22">
        <f t="shared" si="28"/>
        <v>9677</v>
      </c>
    </row>
    <row r="587" spans="1:21" ht="31.8" hidden="1" thickBot="1" x14ac:dyDescent="0.6">
      <c r="A587" s="10" t="s">
        <v>751</v>
      </c>
      <c r="B587" s="10" t="s">
        <v>753</v>
      </c>
      <c r="C587" s="12"/>
      <c r="D587" s="10" t="s">
        <v>287</v>
      </c>
      <c r="E587" s="10" t="s">
        <v>287</v>
      </c>
      <c r="F587" s="10">
        <v>9677</v>
      </c>
      <c r="G587" s="10" t="s">
        <v>15</v>
      </c>
      <c r="H587" s="10" t="s">
        <v>2917</v>
      </c>
      <c r="I587" s="10" t="s">
        <v>43</v>
      </c>
      <c r="J587" s="10" t="s">
        <v>143</v>
      </c>
      <c r="K587" s="10" t="s">
        <v>2895</v>
      </c>
      <c r="L587" s="10" t="s">
        <v>2292</v>
      </c>
      <c r="M587" s="12">
        <v>45400</v>
      </c>
      <c r="N587" s="10" t="s">
        <v>15</v>
      </c>
      <c r="O587" s="10" t="s">
        <v>2057</v>
      </c>
      <c r="P587" s="25" t="str">
        <f>IFERROR(
IF(OR(O587="anulado",O587="stand by"),CONCATENATE(O587,": ",H587),
IF(OR(YEAR(M587)=2022,YEAR(M587)=2023),CONCATENATE("Se activó en ",YEAR(M587)),
IF(AND(OR(O587="En proceso",O587="facturando"),AND(J587="-",M587="")),"Por revisar",
IF(M587="",IF(J587="NUEVAS",CONCATENATE("Estado: ",O587,", ",J587),
IF(L587=Meses!$A$3,"Por revisar",
IF(H587="","Sin registro","En programación Frcst."))),"En programación")))),
"Error")</f>
        <v>En programación</v>
      </c>
      <c r="Q587" s="9" t="str">
        <f t="shared" si="27"/>
        <v/>
      </c>
      <c r="R587" s="25">
        <f>IF(P587="En programación Frcst.",VLOOKUP(L587,Meses!$A$1:$H$14,3+HLOOKUP(Cronograma!J587,Meses!$D$1:$G$2,2,FALSE),FALSE),
IF(P587="En programación",M587,""))</f>
        <v>45400</v>
      </c>
      <c r="S587" s="25" t="str">
        <f t="shared" si="29"/>
        <v>2024/4</v>
      </c>
      <c r="T587" s="21">
        <f>IFERROR(
(VLOOKUP(MONTH(R587),Meses!$B$3:$C$14,2,FALSE)-DAY(R587))/VLOOKUP(MONTH(R587),Meses!$B$3:$C$14,2,FALSE)*U587,
"")</f>
        <v>3870.8</v>
      </c>
      <c r="U587" s="22">
        <f t="shared" si="28"/>
        <v>9677</v>
      </c>
    </row>
    <row r="588" spans="1:21" ht="31.8" hidden="1" thickBot="1" x14ac:dyDescent="0.6">
      <c r="A588" s="10" t="s">
        <v>754</v>
      </c>
      <c r="B588" s="10" t="s">
        <v>755</v>
      </c>
      <c r="C588" s="12"/>
      <c r="D588" s="10" t="s">
        <v>289</v>
      </c>
      <c r="E588" s="10" t="s">
        <v>289</v>
      </c>
      <c r="F588" s="10">
        <v>1081</v>
      </c>
      <c r="G588" s="10" t="s">
        <v>15</v>
      </c>
      <c r="H588" s="10" t="s">
        <v>140</v>
      </c>
      <c r="I588" s="10" t="s">
        <v>18</v>
      </c>
      <c r="J588" s="10" t="s">
        <v>19</v>
      </c>
      <c r="K588" s="10" t="s">
        <v>19</v>
      </c>
      <c r="L588" s="10" t="s">
        <v>19</v>
      </c>
      <c r="M588" s="12"/>
      <c r="N588" s="10" t="s">
        <v>15</v>
      </c>
      <c r="O588" s="10" t="s">
        <v>2056</v>
      </c>
      <c r="P588" s="25" t="str">
        <f>IFERROR(
IF(OR(O588="anulado",O588="stand by"),CONCATENATE(O588,": ",H588),
IF(OR(YEAR(M588)=2022,YEAR(M588)=2023),CONCATENATE("Se activó en ",YEAR(M588)),
IF(AND(OR(O588="En proceso",O588="facturando"),AND(J588="-",M588="")),"Por revisar",
IF(M588="",IF(J588="NUEVAS",CONCATENATE("Estado: ",O588,", ",J588),
IF(L588=Meses!$A$3,"Por revisar",
IF(H588="","Sin registro","En programación Frcst."))),"En programación")))),
"Error")</f>
        <v>anulado: Desistido</v>
      </c>
      <c r="Q588" s="9" t="str">
        <f t="shared" si="27"/>
        <v/>
      </c>
      <c r="R588" s="25" t="str">
        <f>IF(P588="En programación Frcst.",VLOOKUP(L588,Meses!$A$1:$H$14,3+HLOOKUP(Cronograma!J588,Meses!$D$1:$G$2,2,FALSE),FALSE),
IF(P588="En programación",M588,""))</f>
        <v/>
      </c>
      <c r="S588" s="25" t="str">
        <f t="shared" si="29"/>
        <v/>
      </c>
      <c r="T588" s="21" t="str">
        <f>IFERROR(
(VLOOKUP(MONTH(R588),Meses!$B$3:$C$14,2,FALSE)-DAY(R588))/VLOOKUP(MONTH(R588),Meses!$B$3:$C$14,2,FALSE)*U588,
"")</f>
        <v/>
      </c>
      <c r="U588" s="22">
        <f t="shared" si="28"/>
        <v>1081</v>
      </c>
    </row>
    <row r="589" spans="1:21" ht="32.4" hidden="1" thickBot="1" x14ac:dyDescent="0.6">
      <c r="A589" s="10" t="s">
        <v>756</v>
      </c>
      <c r="B589" s="10" t="s">
        <v>757</v>
      </c>
      <c r="C589" s="12">
        <v>45148</v>
      </c>
      <c r="D589" s="10" t="s">
        <v>14</v>
      </c>
      <c r="E589" s="10" t="s">
        <v>14</v>
      </c>
      <c r="F589" s="10">
        <v>6045</v>
      </c>
      <c r="G589" s="10" t="s">
        <v>15</v>
      </c>
      <c r="H589" s="10" t="s">
        <v>17</v>
      </c>
      <c r="I589" s="10" t="s">
        <v>18</v>
      </c>
      <c r="J589" s="10" t="s">
        <v>19</v>
      </c>
      <c r="K589" s="10" t="s">
        <v>19</v>
      </c>
      <c r="L589" s="10" t="s">
        <v>19</v>
      </c>
      <c r="M589" s="12"/>
      <c r="N589" s="10" t="s">
        <v>20</v>
      </c>
      <c r="O589" s="10" t="s">
        <v>2054</v>
      </c>
      <c r="P589" s="25" t="str">
        <f>IFERROR(
IF(OR(O589="anulado",O589="stand by"),CONCATENATE(O589,": ",H589),
IF(OR(YEAR(M589)=2022,YEAR(M589)=2023),CONCATENATE("Se activó en ",YEAR(M589)),
IF(AND(OR(O589="En proceso",O589="facturando"),AND(J589="-",M589="")),"Por revisar",
IF(M589="",IF(J589="NUEVAS",CONCATENATE("Estado: ",O589,", ",J589),
IF(L589=Meses!$A$3,"Por revisar",
IF(H589="","Sin registro","En programación Frcst."))),"En programación")))),
"Error")</f>
        <v>Por revisar</v>
      </c>
      <c r="Q589" s="9" t="str">
        <f t="shared" si="27"/>
        <v>programación de act. NO, estado: Facturando, Comercializador: ENEL, Etapa: Instalado y Activado</v>
      </c>
      <c r="R589" s="25" t="str">
        <f>IF(P589="En programación Frcst.",VLOOKUP(L589,Meses!$A$1:$H$14,3+HLOOKUP(Cronograma!J589,Meses!$D$1:$G$2,2,FALSE),FALSE),
IF(P589="En programación",M589,""))</f>
        <v/>
      </c>
      <c r="S589" s="25" t="str">
        <f t="shared" si="29"/>
        <v/>
      </c>
      <c r="T589" s="21" t="str">
        <f>IFERROR(
(VLOOKUP(MONTH(R589),Meses!$B$3:$C$14,2,FALSE)-DAY(R589))/VLOOKUP(MONTH(R589),Meses!$B$3:$C$14,2,FALSE)*U589,
"")</f>
        <v/>
      </c>
      <c r="U589" s="22">
        <f t="shared" si="28"/>
        <v>6045</v>
      </c>
    </row>
    <row r="590" spans="1:21" ht="31.8" hidden="1" thickBot="1" x14ac:dyDescent="0.6">
      <c r="A590" s="10" t="s">
        <v>751</v>
      </c>
      <c r="B590" s="10" t="s">
        <v>758</v>
      </c>
      <c r="C590" s="12"/>
      <c r="D590" s="10" t="s">
        <v>14</v>
      </c>
      <c r="E590" s="10" t="s">
        <v>14</v>
      </c>
      <c r="F590" s="10">
        <v>9677</v>
      </c>
      <c r="G590" s="10" t="s">
        <v>15</v>
      </c>
      <c r="H590" s="10" t="s">
        <v>2916</v>
      </c>
      <c r="I590" s="10" t="s">
        <v>18</v>
      </c>
      <c r="J590" s="10" t="s">
        <v>277</v>
      </c>
      <c r="K590" s="10" t="s">
        <v>3327</v>
      </c>
      <c r="L590" s="10" t="s">
        <v>2292</v>
      </c>
      <c r="M590" s="12">
        <v>45400</v>
      </c>
      <c r="N590" s="10" t="s">
        <v>15</v>
      </c>
      <c r="O590" s="10" t="s">
        <v>2057</v>
      </c>
      <c r="P590" s="25" t="str">
        <f>IFERROR(
IF(OR(O590="anulado",O590="stand by"),CONCATENATE(O590,": ",H590),
IF(OR(YEAR(M590)=2022,YEAR(M590)=2023),CONCATENATE("Se activó en ",YEAR(M590)),
IF(AND(OR(O590="En proceso",O590="facturando"),AND(J590="-",M590="")),"Por revisar",
IF(M590="",IF(J590="NUEVAS",CONCATENATE("Estado: ",O590,", ",J590),
IF(L590=Meses!$A$3,"Por revisar",
IF(H590="","Sin registro","En programación Frcst."))),"En programación")))),
"Error")</f>
        <v>En programación</v>
      </c>
      <c r="Q590" s="9" t="str">
        <f t="shared" si="27"/>
        <v/>
      </c>
      <c r="R590" s="25">
        <f>IF(P590="En programación Frcst.",VLOOKUP(L590,Meses!$A$1:$H$14,3+HLOOKUP(Cronograma!J590,Meses!$D$1:$G$2,2,FALSE),FALSE),
IF(P590="En programación",M590,""))</f>
        <v>45400</v>
      </c>
      <c r="S590" s="25" t="str">
        <f t="shared" si="29"/>
        <v>2024/4</v>
      </c>
      <c r="T590" s="21">
        <f>IFERROR(
(VLOOKUP(MONTH(R590),Meses!$B$3:$C$14,2,FALSE)-DAY(R590))/VLOOKUP(MONTH(R590),Meses!$B$3:$C$14,2,FALSE)*U590,
"")</f>
        <v>3870.8</v>
      </c>
      <c r="U590" s="22">
        <f t="shared" si="28"/>
        <v>9677</v>
      </c>
    </row>
    <row r="591" spans="1:21" ht="31.8" hidden="1" thickBot="1" x14ac:dyDescent="0.6">
      <c r="A591" s="10" t="s">
        <v>751</v>
      </c>
      <c r="B591" s="10" t="s">
        <v>759</v>
      </c>
      <c r="C591" s="12"/>
      <c r="D591" s="10" t="s">
        <v>14</v>
      </c>
      <c r="E591" s="10" t="s">
        <v>14</v>
      </c>
      <c r="F591" s="10">
        <v>9677</v>
      </c>
      <c r="G591" s="10" t="s">
        <v>15</v>
      </c>
      <c r="H591" s="10" t="s">
        <v>140</v>
      </c>
      <c r="I591" s="10" t="s">
        <v>18</v>
      </c>
      <c r="J591" s="10" t="s">
        <v>143</v>
      </c>
      <c r="K591" s="10" t="s">
        <v>2895</v>
      </c>
      <c r="L591" s="10" t="s">
        <v>2292</v>
      </c>
      <c r="M591" s="12">
        <v>45393</v>
      </c>
      <c r="N591" s="10" t="s">
        <v>20</v>
      </c>
      <c r="O591" s="10" t="s">
        <v>2056</v>
      </c>
      <c r="P591" s="25" t="str">
        <f>IFERROR(
IF(OR(O591="anulado",O591="stand by"),CONCATENATE(O591,": ",H591),
IF(OR(YEAR(M591)=2022,YEAR(M591)=2023),CONCATENATE("Se activó en ",YEAR(M591)),
IF(AND(OR(O591="En proceso",O591="facturando"),AND(J591="-",M591="")),"Por revisar",
IF(M591="",IF(J591="NUEVAS",CONCATENATE("Estado: ",O591,", ",J591),
IF(L591=Meses!$A$3,"Por revisar",
IF(H591="","Sin registro","En programación Frcst."))),"En programación")))),
"Error")</f>
        <v>anulado: Desistido</v>
      </c>
      <c r="Q591" s="9" t="str">
        <f t="shared" si="27"/>
        <v/>
      </c>
      <c r="R591" s="25" t="str">
        <f>IF(P591="En programación Frcst.",VLOOKUP(L591,Meses!$A$1:$H$14,3+HLOOKUP(Cronograma!J591,Meses!$D$1:$G$2,2,FALSE),FALSE),
IF(P591="En programación",M591,""))</f>
        <v/>
      </c>
      <c r="S591" s="25" t="str">
        <f t="shared" si="29"/>
        <v/>
      </c>
      <c r="T591" s="21" t="str">
        <f>IFERROR(
(VLOOKUP(MONTH(R591),Meses!$B$3:$C$14,2,FALSE)-DAY(R591))/VLOOKUP(MONTH(R591),Meses!$B$3:$C$14,2,FALSE)*U591,
"")</f>
        <v/>
      </c>
      <c r="U591" s="22">
        <f t="shared" si="28"/>
        <v>9677</v>
      </c>
    </row>
    <row r="592" spans="1:21" ht="31.8" hidden="1" thickBot="1" x14ac:dyDescent="0.6">
      <c r="A592" s="10" t="s">
        <v>760</v>
      </c>
      <c r="B592" s="10" t="s">
        <v>761</v>
      </c>
      <c r="C592" s="12"/>
      <c r="D592" s="10" t="s">
        <v>23</v>
      </c>
      <c r="E592" s="10" t="s">
        <v>23</v>
      </c>
      <c r="F592" s="10">
        <v>20480</v>
      </c>
      <c r="G592" s="10" t="s">
        <v>15</v>
      </c>
      <c r="H592" s="10" t="s">
        <v>2921</v>
      </c>
      <c r="I592" s="10" t="s">
        <v>43</v>
      </c>
      <c r="J592" s="10" t="s">
        <v>143</v>
      </c>
      <c r="K592" s="10" t="s">
        <v>1697</v>
      </c>
      <c r="L592" s="10" t="s">
        <v>1120</v>
      </c>
      <c r="M592" s="12">
        <v>45365</v>
      </c>
      <c r="N592" s="10" t="s">
        <v>15</v>
      </c>
      <c r="O592" s="10" t="s">
        <v>2057</v>
      </c>
      <c r="P592" s="25" t="str">
        <f>IFERROR(
IF(OR(O592="anulado",O592="stand by"),CONCATENATE(O592,": ",H592),
IF(OR(YEAR(M592)=2022,YEAR(M592)=2023),CONCATENATE("Se activó en ",YEAR(M592)),
IF(AND(OR(O592="En proceso",O592="facturando"),AND(J592="-",M592="")),"Por revisar",
IF(M592="",IF(J592="NUEVAS",CONCATENATE("Estado: ",O592,", ",J592),
IF(L592=Meses!$A$3,"Por revisar",
IF(H592="","Sin registro","En programación Frcst."))),"En programación")))),
"Error")</f>
        <v>En programación</v>
      </c>
      <c r="Q592" s="9" t="str">
        <f t="shared" si="27"/>
        <v/>
      </c>
      <c r="R592" s="25">
        <f>IF(P592="En programación Frcst.",VLOOKUP(L592,Meses!$A$1:$H$14,3+HLOOKUP(Cronograma!J592,Meses!$D$1:$G$2,2,FALSE),FALSE),
IF(P592="En programación",M592,""))</f>
        <v>45365</v>
      </c>
      <c r="S592" s="25" t="str">
        <f t="shared" si="29"/>
        <v>2024/3</v>
      </c>
      <c r="T592" s="21">
        <f>IFERROR(
(VLOOKUP(MONTH(R592),Meses!$B$3:$C$14,2,FALSE)-DAY(R592))/VLOOKUP(MONTH(R592),Meses!$B$3:$C$14,2,FALSE)*U592,
"")</f>
        <v>11230.967741935483</v>
      </c>
      <c r="U592" s="22">
        <f t="shared" si="28"/>
        <v>20480</v>
      </c>
    </row>
    <row r="593" spans="1:21" ht="31.8" hidden="1" thickBot="1" x14ac:dyDescent="0.6">
      <c r="A593" s="10" t="s">
        <v>760</v>
      </c>
      <c r="B593" s="10" t="s">
        <v>762</v>
      </c>
      <c r="C593" s="12"/>
      <c r="D593" s="10" t="s">
        <v>23</v>
      </c>
      <c r="E593" s="10" t="s">
        <v>23</v>
      </c>
      <c r="F593" s="10">
        <v>24000</v>
      </c>
      <c r="G593" s="10" t="s">
        <v>15</v>
      </c>
      <c r="H593" s="10" t="s">
        <v>2921</v>
      </c>
      <c r="I593" s="10" t="s">
        <v>43</v>
      </c>
      <c r="J593" s="10" t="s">
        <v>143</v>
      </c>
      <c r="K593" s="10" t="s">
        <v>1697</v>
      </c>
      <c r="L593" s="10" t="s">
        <v>1120</v>
      </c>
      <c r="M593" s="12">
        <v>45365</v>
      </c>
      <c r="N593" s="10" t="s">
        <v>15</v>
      </c>
      <c r="O593" s="10" t="s">
        <v>2057</v>
      </c>
      <c r="P593" s="25" t="str">
        <f>IFERROR(
IF(OR(O593="anulado",O593="stand by"),CONCATENATE(O593,": ",H593),
IF(OR(YEAR(M593)=2022,YEAR(M593)=2023),CONCATENATE("Se activó en ",YEAR(M593)),
IF(AND(OR(O593="En proceso",O593="facturando"),AND(J593="-",M593="")),"Por revisar",
IF(M593="",IF(J593="NUEVAS",CONCATENATE("Estado: ",O593,", ",J593),
IF(L593=Meses!$A$3,"Por revisar",
IF(H593="","Sin registro","En programación Frcst."))),"En programación")))),
"Error")</f>
        <v>En programación</v>
      </c>
      <c r="Q593" s="9" t="str">
        <f t="shared" si="27"/>
        <v/>
      </c>
      <c r="R593" s="25">
        <f>IF(P593="En programación Frcst.",VLOOKUP(L593,Meses!$A$1:$H$14,3+HLOOKUP(Cronograma!J593,Meses!$D$1:$G$2,2,FALSE),FALSE),
IF(P593="En programación",M593,""))</f>
        <v>45365</v>
      </c>
      <c r="S593" s="25" t="str">
        <f t="shared" si="29"/>
        <v>2024/3</v>
      </c>
      <c r="T593" s="21">
        <f>IFERROR(
(VLOOKUP(MONTH(R593),Meses!$B$3:$C$14,2,FALSE)-DAY(R593))/VLOOKUP(MONTH(R593),Meses!$B$3:$C$14,2,FALSE)*U593,
"")</f>
        <v>13161.290322580644</v>
      </c>
      <c r="U593" s="22">
        <f t="shared" si="28"/>
        <v>24000</v>
      </c>
    </row>
    <row r="594" spans="1:21" ht="32.4" hidden="1" thickBot="1" x14ac:dyDescent="0.6">
      <c r="A594" s="10" t="s">
        <v>760</v>
      </c>
      <c r="B594" s="10" t="s">
        <v>763</v>
      </c>
      <c r="C594" s="12">
        <v>45148</v>
      </c>
      <c r="D594" s="10" t="s">
        <v>14</v>
      </c>
      <c r="E594" s="10" t="s">
        <v>14</v>
      </c>
      <c r="F594" s="10">
        <v>16140</v>
      </c>
      <c r="G594" s="10" t="s">
        <v>15</v>
      </c>
      <c r="H594" s="10" t="s">
        <v>17</v>
      </c>
      <c r="I594" s="10" t="s">
        <v>18</v>
      </c>
      <c r="J594" s="10" t="s">
        <v>19</v>
      </c>
      <c r="K594" s="10" t="s">
        <v>19</v>
      </c>
      <c r="L594" s="10" t="s">
        <v>19</v>
      </c>
      <c r="M594" s="12"/>
      <c r="N594" s="10" t="s">
        <v>20</v>
      </c>
      <c r="O594" s="10" t="s">
        <v>2054</v>
      </c>
      <c r="P594" s="25" t="str">
        <f>IFERROR(
IF(OR(O594="anulado",O594="stand by"),CONCATENATE(O594,": ",H594),
IF(OR(YEAR(M594)=2022,YEAR(M594)=2023),CONCATENATE("Se activó en ",YEAR(M594)),
IF(AND(OR(O594="En proceso",O594="facturando"),AND(J594="-",M594="")),"Por revisar",
IF(M594="",IF(J594="NUEVAS",CONCATENATE("Estado: ",O594,", ",J594),
IF(L594=Meses!$A$3,"Por revisar",
IF(H594="","Sin registro","En programación Frcst."))),"En programación")))),
"Error")</f>
        <v>Por revisar</v>
      </c>
      <c r="Q594" s="9" t="str">
        <f t="shared" si="27"/>
        <v>programación de act. NO, estado: Facturando, Comercializador: ENEL, Etapa: Instalado y Activado</v>
      </c>
      <c r="R594" s="25" t="str">
        <f>IF(P594="En programación Frcst.",VLOOKUP(L594,Meses!$A$1:$H$14,3+HLOOKUP(Cronograma!J594,Meses!$D$1:$G$2,2,FALSE),FALSE),
IF(P594="En programación",M594,""))</f>
        <v/>
      </c>
      <c r="S594" s="25" t="str">
        <f t="shared" si="29"/>
        <v/>
      </c>
      <c r="T594" s="21" t="str">
        <f>IFERROR(
(VLOOKUP(MONTH(R594),Meses!$B$3:$C$14,2,FALSE)-DAY(R594))/VLOOKUP(MONTH(R594),Meses!$B$3:$C$14,2,FALSE)*U594,
"")</f>
        <v/>
      </c>
      <c r="U594" s="22">
        <f t="shared" si="28"/>
        <v>16140</v>
      </c>
    </row>
    <row r="595" spans="1:21" ht="32.4" hidden="1" thickBot="1" x14ac:dyDescent="0.6">
      <c r="A595" s="10" t="s">
        <v>760</v>
      </c>
      <c r="B595" s="10" t="s">
        <v>764</v>
      </c>
      <c r="C595" s="12">
        <v>45134</v>
      </c>
      <c r="D595" s="10" t="s">
        <v>14</v>
      </c>
      <c r="E595" s="10" t="s">
        <v>14</v>
      </c>
      <c r="F595" s="10">
        <v>8393</v>
      </c>
      <c r="G595" s="10" t="s">
        <v>15</v>
      </c>
      <c r="H595" s="10" t="s">
        <v>17</v>
      </c>
      <c r="I595" s="10" t="s">
        <v>18</v>
      </c>
      <c r="J595" s="10" t="s">
        <v>19</v>
      </c>
      <c r="K595" s="10" t="s">
        <v>19</v>
      </c>
      <c r="L595" s="10" t="s">
        <v>19</v>
      </c>
      <c r="M595" s="12"/>
      <c r="N595" s="10" t="s">
        <v>20</v>
      </c>
      <c r="O595" s="10" t="s">
        <v>2054</v>
      </c>
      <c r="P595" s="25" t="str">
        <f>IFERROR(
IF(OR(O595="anulado",O595="stand by"),CONCATENATE(O595,": ",H595),
IF(OR(YEAR(M595)=2022,YEAR(M595)=2023),CONCATENATE("Se activó en ",YEAR(M595)),
IF(AND(OR(O595="En proceso",O595="facturando"),AND(J595="-",M595="")),"Por revisar",
IF(M595="",IF(J595="NUEVAS",CONCATENATE("Estado: ",O595,", ",J595),
IF(L595=Meses!$A$3,"Por revisar",
IF(H595="","Sin registro","En programación Frcst."))),"En programación")))),
"Error")</f>
        <v>Por revisar</v>
      </c>
      <c r="Q595" s="9" t="str">
        <f t="shared" si="27"/>
        <v>programación de act. NO, estado: Facturando, Comercializador: ENEL, Etapa: Instalado y Activado</v>
      </c>
      <c r="R595" s="25" t="str">
        <f>IF(P595="En programación Frcst.",VLOOKUP(L595,Meses!$A$1:$H$14,3+HLOOKUP(Cronograma!J595,Meses!$D$1:$G$2,2,FALSE),FALSE),
IF(P595="En programación",M595,""))</f>
        <v/>
      </c>
      <c r="S595" s="25" t="str">
        <f t="shared" si="29"/>
        <v/>
      </c>
      <c r="T595" s="21" t="str">
        <f>IFERROR(
(VLOOKUP(MONTH(R595),Meses!$B$3:$C$14,2,FALSE)-DAY(R595))/VLOOKUP(MONTH(R595),Meses!$B$3:$C$14,2,FALSE)*U595,
"")</f>
        <v/>
      </c>
      <c r="U595" s="22">
        <f t="shared" si="28"/>
        <v>8393</v>
      </c>
    </row>
    <row r="596" spans="1:21" ht="32.4" hidden="1" thickBot="1" x14ac:dyDescent="0.6">
      <c r="A596" s="10" t="s">
        <v>760</v>
      </c>
      <c r="B596" s="10" t="s">
        <v>765</v>
      </c>
      <c r="C596" s="12">
        <v>45148</v>
      </c>
      <c r="D596" s="10" t="s">
        <v>14</v>
      </c>
      <c r="E596" s="10" t="s">
        <v>14</v>
      </c>
      <c r="F596" s="10">
        <v>8615</v>
      </c>
      <c r="G596" s="10" t="s">
        <v>15</v>
      </c>
      <c r="H596" s="10" t="s">
        <v>17</v>
      </c>
      <c r="I596" s="10" t="s">
        <v>18</v>
      </c>
      <c r="J596" s="10" t="s">
        <v>19</v>
      </c>
      <c r="K596" s="10" t="s">
        <v>19</v>
      </c>
      <c r="L596" s="10" t="s">
        <v>19</v>
      </c>
      <c r="M596" s="12"/>
      <c r="N596" s="10" t="s">
        <v>20</v>
      </c>
      <c r="O596" s="10" t="s">
        <v>2054</v>
      </c>
      <c r="P596" s="25" t="str">
        <f>IFERROR(
IF(OR(O596="anulado",O596="stand by"),CONCATENATE(O596,": ",H596),
IF(OR(YEAR(M596)=2022,YEAR(M596)=2023),CONCATENATE("Se activó en ",YEAR(M596)),
IF(AND(OR(O596="En proceso",O596="facturando"),AND(J596="-",M596="")),"Por revisar",
IF(M596="",IF(J596="NUEVAS",CONCATENATE("Estado: ",O596,", ",J596),
IF(L596=Meses!$A$3,"Por revisar",
IF(H596="","Sin registro","En programación Frcst."))),"En programación")))),
"Error")</f>
        <v>Por revisar</v>
      </c>
      <c r="Q596" s="9" t="str">
        <f t="shared" si="27"/>
        <v>programación de act. NO, estado: Facturando, Comercializador: ENEL, Etapa: Instalado y Activado</v>
      </c>
      <c r="R596" s="25" t="str">
        <f>IF(P596="En programación Frcst.",VLOOKUP(L596,Meses!$A$1:$H$14,3+HLOOKUP(Cronograma!J596,Meses!$D$1:$G$2,2,FALSE),FALSE),
IF(P596="En programación",M596,""))</f>
        <v/>
      </c>
      <c r="S596" s="25" t="str">
        <f t="shared" si="29"/>
        <v/>
      </c>
      <c r="T596" s="21" t="str">
        <f>IFERROR(
(VLOOKUP(MONTH(R596),Meses!$B$3:$C$14,2,FALSE)-DAY(R596))/VLOOKUP(MONTH(R596),Meses!$B$3:$C$14,2,FALSE)*U596,
"")</f>
        <v/>
      </c>
      <c r="U596" s="22">
        <f t="shared" si="28"/>
        <v>8615</v>
      </c>
    </row>
    <row r="597" spans="1:21" ht="32.4" hidden="1" thickBot="1" x14ac:dyDescent="0.6">
      <c r="A597" s="10" t="s">
        <v>760</v>
      </c>
      <c r="B597" s="10" t="s">
        <v>766</v>
      </c>
      <c r="C597" s="12">
        <v>45148</v>
      </c>
      <c r="D597" s="10" t="s">
        <v>14</v>
      </c>
      <c r="E597" s="10" t="s">
        <v>14</v>
      </c>
      <c r="F597" s="10">
        <v>8800</v>
      </c>
      <c r="G597" s="10" t="s">
        <v>15</v>
      </c>
      <c r="H597" s="10" t="s">
        <v>17</v>
      </c>
      <c r="I597" s="10" t="s">
        <v>18</v>
      </c>
      <c r="J597" s="10" t="s">
        <v>19</v>
      </c>
      <c r="K597" s="10" t="s">
        <v>19</v>
      </c>
      <c r="L597" s="10" t="s">
        <v>19</v>
      </c>
      <c r="M597" s="12"/>
      <c r="N597" s="10" t="s">
        <v>20</v>
      </c>
      <c r="O597" s="10" t="s">
        <v>2054</v>
      </c>
      <c r="P597" s="25" t="str">
        <f>IFERROR(
IF(OR(O597="anulado",O597="stand by"),CONCATENATE(O597,": ",H597),
IF(OR(YEAR(M597)=2022,YEAR(M597)=2023),CONCATENATE("Se activó en ",YEAR(M597)),
IF(AND(OR(O597="En proceso",O597="facturando"),AND(J597="-",M597="")),"Por revisar",
IF(M597="",IF(J597="NUEVAS",CONCATENATE("Estado: ",O597,", ",J597),
IF(L597=Meses!$A$3,"Por revisar",
IF(H597="","Sin registro","En programación Frcst."))),"En programación")))),
"Error")</f>
        <v>Por revisar</v>
      </c>
      <c r="Q597" s="9" t="str">
        <f t="shared" si="27"/>
        <v>programación de act. NO, estado: Facturando, Comercializador: ENEL, Etapa: Instalado y Activado</v>
      </c>
      <c r="R597" s="25" t="str">
        <f>IF(P597="En programación Frcst.",VLOOKUP(L597,Meses!$A$1:$H$14,3+HLOOKUP(Cronograma!J597,Meses!$D$1:$G$2,2,FALSE),FALSE),
IF(P597="En programación",M597,""))</f>
        <v/>
      </c>
      <c r="S597" s="25" t="str">
        <f t="shared" si="29"/>
        <v/>
      </c>
      <c r="T597" s="21" t="str">
        <f>IFERROR(
(VLOOKUP(MONTH(R597),Meses!$B$3:$C$14,2,FALSE)-DAY(R597))/VLOOKUP(MONTH(R597),Meses!$B$3:$C$14,2,FALSE)*U597,
"")</f>
        <v/>
      </c>
      <c r="U597" s="22">
        <f t="shared" si="28"/>
        <v>8800</v>
      </c>
    </row>
    <row r="598" spans="1:21" ht="32.4" hidden="1" thickBot="1" x14ac:dyDescent="0.6">
      <c r="A598" s="10" t="s">
        <v>760</v>
      </c>
      <c r="B598" s="10" t="s">
        <v>767</v>
      </c>
      <c r="C598" s="12">
        <v>45148</v>
      </c>
      <c r="D598" s="10" t="s">
        <v>14</v>
      </c>
      <c r="E598" s="10" t="s">
        <v>14</v>
      </c>
      <c r="F598" s="10">
        <v>8964</v>
      </c>
      <c r="G598" s="10" t="s">
        <v>15</v>
      </c>
      <c r="H598" s="10" t="s">
        <v>17</v>
      </c>
      <c r="I598" s="10" t="s">
        <v>18</v>
      </c>
      <c r="J598" s="10" t="s">
        <v>19</v>
      </c>
      <c r="K598" s="10" t="s">
        <v>19</v>
      </c>
      <c r="L598" s="10" t="s">
        <v>19</v>
      </c>
      <c r="M598" s="12"/>
      <c r="N598" s="10" t="s">
        <v>20</v>
      </c>
      <c r="O598" s="10" t="s">
        <v>2054</v>
      </c>
      <c r="P598" s="25" t="str">
        <f>IFERROR(
IF(OR(O598="anulado",O598="stand by"),CONCATENATE(O598,": ",H598),
IF(OR(YEAR(M598)=2022,YEAR(M598)=2023),CONCATENATE("Se activó en ",YEAR(M598)),
IF(AND(OR(O598="En proceso",O598="facturando"),AND(J598="-",M598="")),"Por revisar",
IF(M598="",IF(J598="NUEVAS",CONCATENATE("Estado: ",O598,", ",J598),
IF(L598=Meses!$A$3,"Por revisar",
IF(H598="","Sin registro","En programación Frcst."))),"En programación")))),
"Error")</f>
        <v>Por revisar</v>
      </c>
      <c r="Q598" s="9" t="str">
        <f t="shared" si="27"/>
        <v>programación de act. NO, estado: Facturando, Comercializador: ENEL, Etapa: Instalado y Activado</v>
      </c>
      <c r="R598" s="25" t="str">
        <f>IF(P598="En programación Frcst.",VLOOKUP(L598,Meses!$A$1:$H$14,3+HLOOKUP(Cronograma!J598,Meses!$D$1:$G$2,2,FALSE),FALSE),
IF(P598="En programación",M598,""))</f>
        <v/>
      </c>
      <c r="S598" s="25" t="str">
        <f t="shared" si="29"/>
        <v/>
      </c>
      <c r="T598" s="21" t="str">
        <f>IFERROR(
(VLOOKUP(MONTH(R598),Meses!$B$3:$C$14,2,FALSE)-DAY(R598))/VLOOKUP(MONTH(R598),Meses!$B$3:$C$14,2,FALSE)*U598,
"")</f>
        <v/>
      </c>
      <c r="U598" s="22">
        <f t="shared" si="28"/>
        <v>8964</v>
      </c>
    </row>
    <row r="599" spans="1:21" ht="32.4" hidden="1" thickBot="1" x14ac:dyDescent="0.6">
      <c r="A599" s="10" t="s">
        <v>760</v>
      </c>
      <c r="B599" s="10" t="s">
        <v>768</v>
      </c>
      <c r="C599" s="12">
        <v>45148</v>
      </c>
      <c r="D599" s="10" t="s">
        <v>14</v>
      </c>
      <c r="E599" s="10" t="s">
        <v>14</v>
      </c>
      <c r="F599" s="10">
        <v>9901</v>
      </c>
      <c r="G599" s="10" t="s">
        <v>15</v>
      </c>
      <c r="H599" s="10" t="s">
        <v>17</v>
      </c>
      <c r="I599" s="10" t="s">
        <v>18</v>
      </c>
      <c r="J599" s="10" t="s">
        <v>19</v>
      </c>
      <c r="K599" s="10" t="s">
        <v>19</v>
      </c>
      <c r="L599" s="10" t="s">
        <v>19</v>
      </c>
      <c r="M599" s="12"/>
      <c r="N599" s="10" t="s">
        <v>20</v>
      </c>
      <c r="O599" s="10" t="s">
        <v>2054</v>
      </c>
      <c r="P599" s="25" t="str">
        <f>IFERROR(
IF(OR(O599="anulado",O599="stand by"),CONCATENATE(O599,": ",H599),
IF(OR(YEAR(M599)=2022,YEAR(M599)=2023),CONCATENATE("Se activó en ",YEAR(M599)),
IF(AND(OR(O599="En proceso",O599="facturando"),AND(J599="-",M599="")),"Por revisar",
IF(M599="",IF(J599="NUEVAS",CONCATENATE("Estado: ",O599,", ",J599),
IF(L599=Meses!$A$3,"Por revisar",
IF(H599="","Sin registro","En programación Frcst."))),"En programación")))),
"Error")</f>
        <v>Por revisar</v>
      </c>
      <c r="Q599" s="9" t="str">
        <f t="shared" si="27"/>
        <v>programación de act. NO, estado: Facturando, Comercializador: ENEL, Etapa: Instalado y Activado</v>
      </c>
      <c r="R599" s="25" t="str">
        <f>IF(P599="En programación Frcst.",VLOOKUP(L599,Meses!$A$1:$H$14,3+HLOOKUP(Cronograma!J599,Meses!$D$1:$G$2,2,FALSE),FALSE),
IF(P599="En programación",M599,""))</f>
        <v/>
      </c>
      <c r="S599" s="25" t="str">
        <f t="shared" si="29"/>
        <v/>
      </c>
      <c r="T599" s="21" t="str">
        <f>IFERROR(
(VLOOKUP(MONTH(R599),Meses!$B$3:$C$14,2,FALSE)-DAY(R599))/VLOOKUP(MONTH(R599),Meses!$B$3:$C$14,2,FALSE)*U599,
"")</f>
        <v/>
      </c>
      <c r="U599" s="22">
        <f t="shared" si="28"/>
        <v>9901</v>
      </c>
    </row>
    <row r="600" spans="1:21" ht="32.4" hidden="1" thickBot="1" x14ac:dyDescent="0.6">
      <c r="A600" s="10" t="s">
        <v>760</v>
      </c>
      <c r="B600" s="10" t="s">
        <v>769</v>
      </c>
      <c r="C600" s="12">
        <v>45134</v>
      </c>
      <c r="D600" s="10" t="s">
        <v>14</v>
      </c>
      <c r="E600" s="10" t="s">
        <v>14</v>
      </c>
      <c r="F600" s="10">
        <v>10549</v>
      </c>
      <c r="G600" s="10" t="s">
        <v>15</v>
      </c>
      <c r="H600" s="10" t="s">
        <v>17</v>
      </c>
      <c r="I600" s="10" t="s">
        <v>18</v>
      </c>
      <c r="J600" s="10" t="s">
        <v>19</v>
      </c>
      <c r="K600" s="10" t="s">
        <v>19</v>
      </c>
      <c r="L600" s="10" t="s">
        <v>19</v>
      </c>
      <c r="M600" s="12"/>
      <c r="N600" s="10" t="s">
        <v>20</v>
      </c>
      <c r="O600" s="10" t="s">
        <v>2054</v>
      </c>
      <c r="P600" s="25" t="str">
        <f>IFERROR(
IF(OR(O600="anulado",O600="stand by"),CONCATENATE(O600,": ",H600),
IF(OR(YEAR(M600)=2022,YEAR(M600)=2023),CONCATENATE("Se activó en ",YEAR(M600)),
IF(AND(OR(O600="En proceso",O600="facturando"),AND(J600="-",M600="")),"Por revisar",
IF(M600="",IF(J600="NUEVAS",CONCATENATE("Estado: ",O600,", ",J600),
IF(L600=Meses!$A$3,"Por revisar",
IF(H600="","Sin registro","En programación Frcst."))),"En programación")))),
"Error")</f>
        <v>Por revisar</v>
      </c>
      <c r="Q600" s="9" t="str">
        <f t="shared" si="27"/>
        <v>programación de act. NO, estado: Facturando, Comercializador: ENEL, Etapa: Instalado y Activado</v>
      </c>
      <c r="R600" s="25" t="str">
        <f>IF(P600="En programación Frcst.",VLOOKUP(L600,Meses!$A$1:$H$14,3+HLOOKUP(Cronograma!J600,Meses!$D$1:$G$2,2,FALSE),FALSE),
IF(P600="En programación",M600,""))</f>
        <v/>
      </c>
      <c r="S600" s="25" t="str">
        <f t="shared" si="29"/>
        <v/>
      </c>
      <c r="T600" s="21" t="str">
        <f>IFERROR(
(VLOOKUP(MONTH(R600),Meses!$B$3:$C$14,2,FALSE)-DAY(R600))/VLOOKUP(MONTH(R600),Meses!$B$3:$C$14,2,FALSE)*U600,
"")</f>
        <v/>
      </c>
      <c r="U600" s="22">
        <f t="shared" si="28"/>
        <v>10549</v>
      </c>
    </row>
    <row r="601" spans="1:21" ht="32.4" hidden="1" thickBot="1" x14ac:dyDescent="0.6">
      <c r="A601" s="10" t="s">
        <v>760</v>
      </c>
      <c r="B601" s="10" t="s">
        <v>770</v>
      </c>
      <c r="C601" s="12">
        <v>45134</v>
      </c>
      <c r="D601" s="10" t="s">
        <v>14</v>
      </c>
      <c r="E601" s="10" t="s">
        <v>14</v>
      </c>
      <c r="F601" s="10">
        <v>11040</v>
      </c>
      <c r="G601" s="10" t="s">
        <v>15</v>
      </c>
      <c r="H601" s="10" t="s">
        <v>17</v>
      </c>
      <c r="I601" s="10" t="s">
        <v>18</v>
      </c>
      <c r="J601" s="10" t="s">
        <v>19</v>
      </c>
      <c r="K601" s="10" t="s">
        <v>19</v>
      </c>
      <c r="L601" s="10" t="s">
        <v>19</v>
      </c>
      <c r="M601" s="12"/>
      <c r="N601" s="10" t="s">
        <v>20</v>
      </c>
      <c r="O601" s="10" t="s">
        <v>2054</v>
      </c>
      <c r="P601" s="25" t="str">
        <f>IFERROR(
IF(OR(O601="anulado",O601="stand by"),CONCATENATE(O601,": ",H601),
IF(OR(YEAR(M601)=2022,YEAR(M601)=2023),CONCATENATE("Se activó en ",YEAR(M601)),
IF(AND(OR(O601="En proceso",O601="facturando"),AND(J601="-",M601="")),"Por revisar",
IF(M601="",IF(J601="NUEVAS",CONCATENATE("Estado: ",O601,", ",J601),
IF(L601=Meses!$A$3,"Por revisar",
IF(H601="","Sin registro","En programación Frcst."))),"En programación")))),
"Error")</f>
        <v>Por revisar</v>
      </c>
      <c r="Q601" s="9" t="str">
        <f t="shared" si="27"/>
        <v>programación de act. NO, estado: Facturando, Comercializador: ENEL, Etapa: Instalado y Activado</v>
      </c>
      <c r="R601" s="25" t="str">
        <f>IF(P601="En programación Frcst.",VLOOKUP(L601,Meses!$A$1:$H$14,3+HLOOKUP(Cronograma!J601,Meses!$D$1:$G$2,2,FALSE),FALSE),
IF(P601="En programación",M601,""))</f>
        <v/>
      </c>
      <c r="S601" s="25" t="str">
        <f t="shared" si="29"/>
        <v/>
      </c>
      <c r="T601" s="21" t="str">
        <f>IFERROR(
(VLOOKUP(MONTH(R601),Meses!$B$3:$C$14,2,FALSE)-DAY(R601))/VLOOKUP(MONTH(R601),Meses!$B$3:$C$14,2,FALSE)*U601,
"")</f>
        <v/>
      </c>
      <c r="U601" s="22">
        <f t="shared" si="28"/>
        <v>11040</v>
      </c>
    </row>
    <row r="602" spans="1:21" ht="32.4" hidden="1" thickBot="1" x14ac:dyDescent="0.6">
      <c r="A602" s="10" t="s">
        <v>760</v>
      </c>
      <c r="B602" s="10" t="s">
        <v>771</v>
      </c>
      <c r="C602" s="12">
        <v>45148</v>
      </c>
      <c r="D602" s="10" t="s">
        <v>14</v>
      </c>
      <c r="E602" s="10" t="s">
        <v>14</v>
      </c>
      <c r="F602" s="10">
        <v>10295</v>
      </c>
      <c r="G602" s="10" t="s">
        <v>15</v>
      </c>
      <c r="H602" s="10" t="s">
        <v>17</v>
      </c>
      <c r="I602" s="10" t="s">
        <v>18</v>
      </c>
      <c r="J602" s="10" t="s">
        <v>19</v>
      </c>
      <c r="K602" s="10" t="s">
        <v>19</v>
      </c>
      <c r="L602" s="10" t="s">
        <v>19</v>
      </c>
      <c r="M602" s="12"/>
      <c r="N602" s="10" t="s">
        <v>20</v>
      </c>
      <c r="O602" s="10" t="s">
        <v>2054</v>
      </c>
      <c r="P602" s="25" t="str">
        <f>IFERROR(
IF(OR(O602="anulado",O602="stand by"),CONCATENATE(O602,": ",H602),
IF(OR(YEAR(M602)=2022,YEAR(M602)=2023),CONCATENATE("Se activó en ",YEAR(M602)),
IF(AND(OR(O602="En proceso",O602="facturando"),AND(J602="-",M602="")),"Por revisar",
IF(M602="",IF(J602="NUEVAS",CONCATENATE("Estado: ",O602,", ",J602),
IF(L602=Meses!$A$3,"Por revisar",
IF(H602="","Sin registro","En programación Frcst."))),"En programación")))),
"Error")</f>
        <v>Por revisar</v>
      </c>
      <c r="Q602" s="9" t="str">
        <f t="shared" si="27"/>
        <v>programación de act. NO, estado: Facturando, Comercializador: ENEL, Etapa: Instalado y Activado</v>
      </c>
      <c r="R602" s="25" t="str">
        <f>IF(P602="En programación Frcst.",VLOOKUP(L602,Meses!$A$1:$H$14,3+HLOOKUP(Cronograma!J602,Meses!$D$1:$G$2,2,FALSE),FALSE),
IF(P602="En programación",M602,""))</f>
        <v/>
      </c>
      <c r="S602" s="25" t="str">
        <f t="shared" si="29"/>
        <v/>
      </c>
      <c r="T602" s="21" t="str">
        <f>IFERROR(
(VLOOKUP(MONTH(R602),Meses!$B$3:$C$14,2,FALSE)-DAY(R602))/VLOOKUP(MONTH(R602),Meses!$B$3:$C$14,2,FALSE)*U602,
"")</f>
        <v/>
      </c>
      <c r="U602" s="22">
        <f t="shared" si="28"/>
        <v>10295</v>
      </c>
    </row>
    <row r="603" spans="1:21" ht="32.4" hidden="1" thickBot="1" x14ac:dyDescent="0.6">
      <c r="A603" s="10" t="s">
        <v>760</v>
      </c>
      <c r="B603" s="10" t="s">
        <v>772</v>
      </c>
      <c r="C603" s="12">
        <v>45134</v>
      </c>
      <c r="D603" s="10" t="s">
        <v>14</v>
      </c>
      <c r="E603" s="10" t="s">
        <v>14</v>
      </c>
      <c r="F603" s="10">
        <v>10362</v>
      </c>
      <c r="G603" s="10" t="s">
        <v>15</v>
      </c>
      <c r="H603" s="10" t="s">
        <v>17</v>
      </c>
      <c r="I603" s="10" t="s">
        <v>18</v>
      </c>
      <c r="J603" s="10" t="s">
        <v>19</v>
      </c>
      <c r="K603" s="10" t="s">
        <v>19</v>
      </c>
      <c r="L603" s="10" t="s">
        <v>19</v>
      </c>
      <c r="M603" s="12"/>
      <c r="N603" s="10" t="s">
        <v>20</v>
      </c>
      <c r="O603" s="10" t="s">
        <v>2054</v>
      </c>
      <c r="P603" s="25" t="str">
        <f>IFERROR(
IF(OR(O603="anulado",O603="stand by"),CONCATENATE(O603,": ",H603),
IF(OR(YEAR(M603)=2022,YEAR(M603)=2023),CONCATENATE("Se activó en ",YEAR(M603)),
IF(AND(OR(O603="En proceso",O603="facturando"),AND(J603="-",M603="")),"Por revisar",
IF(M603="",IF(J603="NUEVAS",CONCATENATE("Estado: ",O603,", ",J603),
IF(L603=Meses!$A$3,"Por revisar",
IF(H603="","Sin registro","En programación Frcst."))),"En programación")))),
"Error")</f>
        <v>Por revisar</v>
      </c>
      <c r="Q603" s="9" t="str">
        <f t="shared" si="27"/>
        <v>programación de act. NO, estado: Facturando, Comercializador: ENEL, Etapa: Instalado y Activado</v>
      </c>
      <c r="R603" s="25" t="str">
        <f>IF(P603="En programación Frcst.",VLOOKUP(L603,Meses!$A$1:$H$14,3+HLOOKUP(Cronograma!J603,Meses!$D$1:$G$2,2,FALSE),FALSE),
IF(P603="En programación",M603,""))</f>
        <v/>
      </c>
      <c r="S603" s="25" t="str">
        <f t="shared" si="29"/>
        <v/>
      </c>
      <c r="T603" s="21" t="str">
        <f>IFERROR(
(VLOOKUP(MONTH(R603),Meses!$B$3:$C$14,2,FALSE)-DAY(R603))/VLOOKUP(MONTH(R603),Meses!$B$3:$C$14,2,FALSE)*U603,
"")</f>
        <v/>
      </c>
      <c r="U603" s="22">
        <f t="shared" si="28"/>
        <v>10362</v>
      </c>
    </row>
    <row r="604" spans="1:21" ht="32.4" hidden="1" thickBot="1" x14ac:dyDescent="0.6">
      <c r="A604" s="10" t="s">
        <v>760</v>
      </c>
      <c r="B604" s="10" t="s">
        <v>773</v>
      </c>
      <c r="C604" s="12">
        <v>45134</v>
      </c>
      <c r="D604" s="10" t="s">
        <v>14</v>
      </c>
      <c r="E604" s="10" t="s">
        <v>14</v>
      </c>
      <c r="F604" s="10">
        <v>11021</v>
      </c>
      <c r="G604" s="10" t="s">
        <v>15</v>
      </c>
      <c r="H604" s="10" t="s">
        <v>17</v>
      </c>
      <c r="I604" s="10" t="s">
        <v>18</v>
      </c>
      <c r="J604" s="10" t="s">
        <v>19</v>
      </c>
      <c r="K604" s="10" t="s">
        <v>19</v>
      </c>
      <c r="L604" s="10" t="s">
        <v>19</v>
      </c>
      <c r="M604" s="12"/>
      <c r="N604" s="10" t="s">
        <v>20</v>
      </c>
      <c r="O604" s="10" t="s">
        <v>2054</v>
      </c>
      <c r="P604" s="25" t="str">
        <f>IFERROR(
IF(OR(O604="anulado",O604="stand by"),CONCATENATE(O604,": ",H604),
IF(OR(YEAR(M604)=2022,YEAR(M604)=2023),CONCATENATE("Se activó en ",YEAR(M604)),
IF(AND(OR(O604="En proceso",O604="facturando"),AND(J604="-",M604="")),"Por revisar",
IF(M604="",IF(J604="NUEVAS",CONCATENATE("Estado: ",O604,", ",J604),
IF(L604=Meses!$A$3,"Por revisar",
IF(H604="","Sin registro","En programación Frcst."))),"En programación")))),
"Error")</f>
        <v>Por revisar</v>
      </c>
      <c r="Q604" s="9" t="str">
        <f t="shared" si="27"/>
        <v>programación de act. NO, estado: Facturando, Comercializador: ENEL, Etapa: Instalado y Activado</v>
      </c>
      <c r="R604" s="25" t="str">
        <f>IF(P604="En programación Frcst.",VLOOKUP(L604,Meses!$A$1:$H$14,3+HLOOKUP(Cronograma!J604,Meses!$D$1:$G$2,2,FALSE),FALSE),
IF(P604="En programación",M604,""))</f>
        <v/>
      </c>
      <c r="S604" s="25" t="str">
        <f t="shared" si="29"/>
        <v/>
      </c>
      <c r="T604" s="21" t="str">
        <f>IFERROR(
(VLOOKUP(MONTH(R604),Meses!$B$3:$C$14,2,FALSE)-DAY(R604))/VLOOKUP(MONTH(R604),Meses!$B$3:$C$14,2,FALSE)*U604,
"")</f>
        <v/>
      </c>
      <c r="U604" s="22">
        <f t="shared" si="28"/>
        <v>11021</v>
      </c>
    </row>
    <row r="605" spans="1:21" ht="32.4" hidden="1" thickBot="1" x14ac:dyDescent="0.6">
      <c r="A605" s="10" t="s">
        <v>760</v>
      </c>
      <c r="B605" s="10" t="s">
        <v>774</v>
      </c>
      <c r="C605" s="12">
        <v>45134</v>
      </c>
      <c r="D605" s="10" t="s">
        <v>14</v>
      </c>
      <c r="E605" s="10" t="s">
        <v>14</v>
      </c>
      <c r="F605" s="10">
        <v>14293</v>
      </c>
      <c r="G605" s="10" t="s">
        <v>15</v>
      </c>
      <c r="H605" s="10" t="s">
        <v>17</v>
      </c>
      <c r="I605" s="10" t="s">
        <v>18</v>
      </c>
      <c r="J605" s="10" t="s">
        <v>19</v>
      </c>
      <c r="K605" s="10" t="s">
        <v>19</v>
      </c>
      <c r="L605" s="10" t="s">
        <v>19</v>
      </c>
      <c r="M605" s="12"/>
      <c r="N605" s="10" t="s">
        <v>20</v>
      </c>
      <c r="O605" s="10" t="s">
        <v>2054</v>
      </c>
      <c r="P605" s="25" t="str">
        <f>IFERROR(
IF(OR(O605="anulado",O605="stand by"),CONCATENATE(O605,": ",H605),
IF(OR(YEAR(M605)=2022,YEAR(M605)=2023),CONCATENATE("Se activó en ",YEAR(M605)),
IF(AND(OR(O605="En proceso",O605="facturando"),AND(J605="-",M605="")),"Por revisar",
IF(M605="",IF(J605="NUEVAS",CONCATENATE("Estado: ",O605,", ",J605),
IF(L605=Meses!$A$3,"Por revisar",
IF(H605="","Sin registro","En programación Frcst."))),"En programación")))),
"Error")</f>
        <v>Por revisar</v>
      </c>
      <c r="Q605" s="9" t="str">
        <f t="shared" si="27"/>
        <v>programación de act. NO, estado: Facturando, Comercializador: ENEL, Etapa: Instalado y Activado</v>
      </c>
      <c r="R605" s="25" t="str">
        <f>IF(P605="En programación Frcst.",VLOOKUP(L605,Meses!$A$1:$H$14,3+HLOOKUP(Cronograma!J605,Meses!$D$1:$G$2,2,FALSE),FALSE),
IF(P605="En programación",M605,""))</f>
        <v/>
      </c>
      <c r="S605" s="25" t="str">
        <f t="shared" si="29"/>
        <v/>
      </c>
      <c r="T605" s="21" t="str">
        <f>IFERROR(
(VLOOKUP(MONTH(R605),Meses!$B$3:$C$14,2,FALSE)-DAY(R605))/VLOOKUP(MONTH(R605),Meses!$B$3:$C$14,2,FALSE)*U605,
"")</f>
        <v/>
      </c>
      <c r="U605" s="22">
        <f t="shared" si="28"/>
        <v>14293</v>
      </c>
    </row>
    <row r="606" spans="1:21" ht="31.8" hidden="1" thickBot="1" x14ac:dyDescent="0.6">
      <c r="A606" s="10" t="s">
        <v>760</v>
      </c>
      <c r="B606" s="10" t="s">
        <v>775</v>
      </c>
      <c r="C606" s="12"/>
      <c r="D606" s="10" t="s">
        <v>74</v>
      </c>
      <c r="E606" s="10" t="s">
        <v>74</v>
      </c>
      <c r="F606" s="10">
        <v>24720</v>
      </c>
      <c r="G606" s="10" t="s">
        <v>15</v>
      </c>
      <c r="H606" s="10" t="s">
        <v>140</v>
      </c>
      <c r="I606" s="10" t="s">
        <v>43</v>
      </c>
      <c r="J606" s="10" t="s">
        <v>143</v>
      </c>
      <c r="K606" s="10" t="s">
        <v>2895</v>
      </c>
      <c r="L606" s="10" t="s">
        <v>2292</v>
      </c>
      <c r="M606" s="12">
        <v>45393</v>
      </c>
      <c r="N606" s="10" t="s">
        <v>15</v>
      </c>
      <c r="O606" s="10" t="s">
        <v>2056</v>
      </c>
      <c r="P606" s="25" t="str">
        <f>IFERROR(
IF(OR(O606="anulado",O606="stand by"),CONCATENATE(O606,": ",H606),
IF(OR(YEAR(M606)=2022,YEAR(M606)=2023),CONCATENATE("Se activó en ",YEAR(M606)),
IF(AND(OR(O606="En proceso",O606="facturando"),AND(J606="-",M606="")),"Por revisar",
IF(M606="",IF(J606="NUEVAS",CONCATENATE("Estado: ",O606,", ",J606),
IF(L606=Meses!$A$3,"Por revisar",
IF(H606="","Sin registro","En programación Frcst."))),"En programación")))),
"Error")</f>
        <v>anulado: Desistido</v>
      </c>
      <c r="Q606" s="9" t="str">
        <f t="shared" si="27"/>
        <v/>
      </c>
      <c r="R606" s="25" t="str">
        <f>IF(P606="En programación Frcst.",VLOOKUP(L606,Meses!$A$1:$H$14,3+HLOOKUP(Cronograma!J606,Meses!$D$1:$G$2,2,FALSE),FALSE),
IF(P606="En programación",M606,""))</f>
        <v/>
      </c>
      <c r="S606" s="25" t="str">
        <f t="shared" si="29"/>
        <v/>
      </c>
      <c r="T606" s="21" t="str">
        <f>IFERROR(
(VLOOKUP(MONTH(R606),Meses!$B$3:$C$14,2,FALSE)-DAY(R606))/VLOOKUP(MONTH(R606),Meses!$B$3:$C$14,2,FALSE)*U606,
"")</f>
        <v/>
      </c>
      <c r="U606" s="22">
        <f t="shared" si="28"/>
        <v>24720</v>
      </c>
    </row>
    <row r="607" spans="1:21" ht="31.8" hidden="1" thickBot="1" x14ac:dyDescent="0.6">
      <c r="A607" s="10" t="s">
        <v>776</v>
      </c>
      <c r="B607" s="10" t="s">
        <v>777</v>
      </c>
      <c r="C607" s="12"/>
      <c r="D607" s="10" t="s">
        <v>44</v>
      </c>
      <c r="E607" s="10" t="s">
        <v>44</v>
      </c>
      <c r="F607" s="10">
        <v>17600</v>
      </c>
      <c r="G607" s="10" t="s">
        <v>15</v>
      </c>
      <c r="H607" s="10" t="s">
        <v>2921</v>
      </c>
      <c r="I607" s="10" t="s">
        <v>43</v>
      </c>
      <c r="J607" s="10" t="s">
        <v>292</v>
      </c>
      <c r="K607" s="10" t="s">
        <v>1697</v>
      </c>
      <c r="L607" s="10" t="s">
        <v>1120</v>
      </c>
      <c r="M607" s="12">
        <v>45379</v>
      </c>
      <c r="N607" s="10" t="s">
        <v>15</v>
      </c>
      <c r="O607" s="10" t="s">
        <v>2057</v>
      </c>
      <c r="P607" s="25" t="str">
        <f>IFERROR(
IF(OR(O607="anulado",O607="stand by"),CONCATENATE(O607,": ",H607),
IF(OR(YEAR(M607)=2022,YEAR(M607)=2023),CONCATENATE("Se activó en ",YEAR(M607)),
IF(AND(OR(O607="En proceso",O607="facturando"),AND(J607="-",M607="")),"Por revisar",
IF(M607="",IF(J607="NUEVAS",CONCATENATE("Estado: ",O607,", ",J607),
IF(L607=Meses!$A$3,"Por revisar",
IF(H607="","Sin registro","En programación Frcst."))),"En programación")))),
"Error")</f>
        <v>En programación</v>
      </c>
      <c r="Q607" s="9" t="str">
        <f t="shared" si="27"/>
        <v/>
      </c>
      <c r="R607" s="25">
        <f>IF(P607="En programación Frcst.",VLOOKUP(L607,Meses!$A$1:$H$14,3+HLOOKUP(Cronograma!J607,Meses!$D$1:$G$2,2,FALSE),FALSE),
IF(P607="En programación",M607,""))</f>
        <v>45379</v>
      </c>
      <c r="S607" s="25" t="str">
        <f t="shared" si="29"/>
        <v>2024/3</v>
      </c>
      <c r="T607" s="21">
        <f>IFERROR(
(VLOOKUP(MONTH(R607),Meses!$B$3:$C$14,2,FALSE)-DAY(R607))/VLOOKUP(MONTH(R607),Meses!$B$3:$C$14,2,FALSE)*U607,
"")</f>
        <v>1703.2258064516129</v>
      </c>
      <c r="U607" s="22">
        <f t="shared" si="28"/>
        <v>17600</v>
      </c>
    </row>
    <row r="608" spans="1:21" ht="32.4" hidden="1" thickBot="1" x14ac:dyDescent="0.6">
      <c r="A608" s="10" t="s">
        <v>778</v>
      </c>
      <c r="B608" s="10" t="s">
        <v>779</v>
      </c>
      <c r="C608" s="12">
        <v>45120</v>
      </c>
      <c r="D608" s="10" t="s">
        <v>171</v>
      </c>
      <c r="E608" s="10" t="s">
        <v>14</v>
      </c>
      <c r="F608" s="10">
        <v>7075</v>
      </c>
      <c r="G608" s="10" t="s">
        <v>15</v>
      </c>
      <c r="H608" s="10" t="s">
        <v>17</v>
      </c>
      <c r="I608" s="10" t="s">
        <v>66</v>
      </c>
      <c r="J608" s="10" t="s">
        <v>19</v>
      </c>
      <c r="K608" s="10" t="s">
        <v>19</v>
      </c>
      <c r="L608" s="10" t="s">
        <v>19</v>
      </c>
      <c r="M608" s="12"/>
      <c r="N608" s="10" t="s">
        <v>20</v>
      </c>
      <c r="O608" s="10" t="s">
        <v>2054</v>
      </c>
      <c r="P608" s="25" t="str">
        <f>IFERROR(
IF(OR(O608="anulado",O608="stand by"),CONCATENATE(O608,": ",H608),
IF(OR(YEAR(M608)=2022,YEAR(M608)=2023),CONCATENATE("Se activó en ",YEAR(M608)),
IF(AND(OR(O608="En proceso",O608="facturando"),AND(J608="-",M608="")),"Por revisar",
IF(M608="",IF(J608="NUEVAS",CONCATENATE("Estado: ",O608,", ",J608),
IF(L608=Meses!$A$3,"Por revisar",
IF(H608="","Sin registro","En programación Frcst."))),"En programación")))),
"Error")</f>
        <v>Por revisar</v>
      </c>
      <c r="Q608" s="9" t="str">
        <f t="shared" si="27"/>
        <v>programación de act. NO, estado: Facturando, Comercializador: VATIA, Etapa: Instalado y Activado</v>
      </c>
      <c r="R608" s="25" t="str">
        <f>IF(P608="En programación Frcst.",VLOOKUP(L608,Meses!$A$1:$H$14,3+HLOOKUP(Cronograma!J608,Meses!$D$1:$G$2,2,FALSE),FALSE),
IF(P608="En programación",M608,""))</f>
        <v/>
      </c>
      <c r="S608" s="25" t="str">
        <f t="shared" si="29"/>
        <v/>
      </c>
      <c r="T608" s="21" t="str">
        <f>IFERROR(
(VLOOKUP(MONTH(R608),Meses!$B$3:$C$14,2,FALSE)-DAY(R608))/VLOOKUP(MONTH(R608),Meses!$B$3:$C$14,2,FALSE)*U608,
"")</f>
        <v/>
      </c>
      <c r="U608" s="22">
        <f t="shared" si="28"/>
        <v>7075</v>
      </c>
    </row>
    <row r="609" spans="1:21" ht="32.4" hidden="1" thickBot="1" x14ac:dyDescent="0.6">
      <c r="A609" s="10" t="s">
        <v>778</v>
      </c>
      <c r="B609" s="10" t="s">
        <v>780</v>
      </c>
      <c r="C609" s="12">
        <v>45120</v>
      </c>
      <c r="D609" s="10" t="s">
        <v>171</v>
      </c>
      <c r="E609" s="10" t="s">
        <v>14</v>
      </c>
      <c r="F609" s="10">
        <v>8675</v>
      </c>
      <c r="G609" s="10" t="s">
        <v>15</v>
      </c>
      <c r="H609" s="10" t="s">
        <v>17</v>
      </c>
      <c r="I609" s="10" t="s">
        <v>66</v>
      </c>
      <c r="J609" s="10" t="s">
        <v>19</v>
      </c>
      <c r="K609" s="10" t="s">
        <v>19</v>
      </c>
      <c r="L609" s="10" t="s">
        <v>19</v>
      </c>
      <c r="M609" s="12"/>
      <c r="N609" s="10" t="s">
        <v>20</v>
      </c>
      <c r="O609" s="10" t="s">
        <v>2054</v>
      </c>
      <c r="P609" s="25" t="str">
        <f>IFERROR(
IF(OR(O609="anulado",O609="stand by"),CONCATENATE(O609,": ",H609),
IF(OR(YEAR(M609)=2022,YEAR(M609)=2023),CONCATENATE("Se activó en ",YEAR(M609)),
IF(AND(OR(O609="En proceso",O609="facturando"),AND(J609="-",M609="")),"Por revisar",
IF(M609="",IF(J609="NUEVAS",CONCATENATE("Estado: ",O609,", ",J609),
IF(L609=Meses!$A$3,"Por revisar",
IF(H609="","Sin registro","En programación Frcst."))),"En programación")))),
"Error")</f>
        <v>Por revisar</v>
      </c>
      <c r="Q609" s="9" t="str">
        <f t="shared" si="27"/>
        <v>programación de act. NO, estado: Facturando, Comercializador: VATIA, Etapa: Instalado y Activado</v>
      </c>
      <c r="R609" s="25" t="str">
        <f>IF(P609="En programación Frcst.",VLOOKUP(L609,Meses!$A$1:$H$14,3+HLOOKUP(Cronograma!J609,Meses!$D$1:$G$2,2,FALSE),FALSE),
IF(P609="En programación",M609,""))</f>
        <v/>
      </c>
      <c r="S609" s="25" t="str">
        <f t="shared" si="29"/>
        <v/>
      </c>
      <c r="T609" s="21" t="str">
        <f>IFERROR(
(VLOOKUP(MONTH(R609),Meses!$B$3:$C$14,2,FALSE)-DAY(R609))/VLOOKUP(MONTH(R609),Meses!$B$3:$C$14,2,FALSE)*U609,
"")</f>
        <v/>
      </c>
      <c r="U609" s="22">
        <f t="shared" si="28"/>
        <v>8675</v>
      </c>
    </row>
    <row r="610" spans="1:21" ht="32.4" hidden="1" thickBot="1" x14ac:dyDescent="0.6">
      <c r="A610" s="10" t="s">
        <v>778</v>
      </c>
      <c r="B610" s="10" t="s">
        <v>781</v>
      </c>
      <c r="C610" s="12">
        <v>45120</v>
      </c>
      <c r="D610" s="10" t="s">
        <v>171</v>
      </c>
      <c r="E610" s="10" t="s">
        <v>14</v>
      </c>
      <c r="F610" s="10">
        <v>48936</v>
      </c>
      <c r="G610" s="10" t="s">
        <v>15</v>
      </c>
      <c r="H610" s="10" t="s">
        <v>17</v>
      </c>
      <c r="I610" s="10" t="s">
        <v>66</v>
      </c>
      <c r="J610" s="10" t="s">
        <v>19</v>
      </c>
      <c r="K610" s="10" t="s">
        <v>19</v>
      </c>
      <c r="L610" s="10" t="s">
        <v>19</v>
      </c>
      <c r="M610" s="12"/>
      <c r="N610" s="10" t="s">
        <v>20</v>
      </c>
      <c r="O610" s="10" t="s">
        <v>2054</v>
      </c>
      <c r="P610" s="25" t="str">
        <f>IFERROR(
IF(OR(O610="anulado",O610="stand by"),CONCATENATE(O610,": ",H610),
IF(OR(YEAR(M610)=2022,YEAR(M610)=2023),CONCATENATE("Se activó en ",YEAR(M610)),
IF(AND(OR(O610="En proceso",O610="facturando"),AND(J610="-",M610="")),"Por revisar",
IF(M610="",IF(J610="NUEVAS",CONCATENATE("Estado: ",O610,", ",J610),
IF(L610=Meses!$A$3,"Por revisar",
IF(H610="","Sin registro","En programación Frcst."))),"En programación")))),
"Error")</f>
        <v>Por revisar</v>
      </c>
      <c r="Q610" s="9" t="str">
        <f t="shared" si="27"/>
        <v>programación de act. NO, estado: Facturando, Comercializador: VATIA, Etapa: Instalado y Activado</v>
      </c>
      <c r="R610" s="25" t="str">
        <f>IF(P610="En programación Frcst.",VLOOKUP(L610,Meses!$A$1:$H$14,3+HLOOKUP(Cronograma!J610,Meses!$D$1:$G$2,2,FALSE),FALSE),
IF(P610="En programación",M610,""))</f>
        <v/>
      </c>
      <c r="S610" s="25" t="str">
        <f t="shared" si="29"/>
        <v/>
      </c>
      <c r="T610" s="21" t="str">
        <f>IFERROR(
(VLOOKUP(MONTH(R610),Meses!$B$3:$C$14,2,FALSE)-DAY(R610))/VLOOKUP(MONTH(R610),Meses!$B$3:$C$14,2,FALSE)*U610,
"")</f>
        <v/>
      </c>
      <c r="U610" s="22">
        <f t="shared" si="28"/>
        <v>48936</v>
      </c>
    </row>
    <row r="611" spans="1:21" ht="32.4" hidden="1" thickBot="1" x14ac:dyDescent="0.6">
      <c r="A611" s="10" t="s">
        <v>778</v>
      </c>
      <c r="B611" s="10" t="s">
        <v>782</v>
      </c>
      <c r="C611" s="12">
        <v>45127</v>
      </c>
      <c r="D611" s="10" t="s">
        <v>171</v>
      </c>
      <c r="E611" s="10" t="s">
        <v>14</v>
      </c>
      <c r="F611" s="10">
        <v>84185</v>
      </c>
      <c r="G611" s="10" t="s">
        <v>15</v>
      </c>
      <c r="H611" s="10" t="s">
        <v>17</v>
      </c>
      <c r="I611" s="10" t="s">
        <v>66</v>
      </c>
      <c r="J611" s="10" t="s">
        <v>19</v>
      </c>
      <c r="K611" s="10" t="s">
        <v>19</v>
      </c>
      <c r="L611" s="10" t="s">
        <v>19</v>
      </c>
      <c r="M611" s="12"/>
      <c r="N611" s="10" t="s">
        <v>20</v>
      </c>
      <c r="O611" s="10" t="s">
        <v>2054</v>
      </c>
      <c r="P611" s="25" t="str">
        <f>IFERROR(
IF(OR(O611="anulado",O611="stand by"),CONCATENATE(O611,": ",H611),
IF(OR(YEAR(M611)=2022,YEAR(M611)=2023),CONCATENATE("Se activó en ",YEAR(M611)),
IF(AND(OR(O611="En proceso",O611="facturando"),AND(J611="-",M611="")),"Por revisar",
IF(M611="",IF(J611="NUEVAS",CONCATENATE("Estado: ",O611,", ",J611),
IF(L611=Meses!$A$3,"Por revisar",
IF(H611="","Sin registro","En programación Frcst."))),"En programación")))),
"Error")</f>
        <v>Por revisar</v>
      </c>
      <c r="Q611" s="9" t="str">
        <f t="shared" si="27"/>
        <v>programación de act. NO, estado: Facturando, Comercializador: VATIA, Etapa: Instalado y Activado</v>
      </c>
      <c r="R611" s="25" t="str">
        <f>IF(P611="En programación Frcst.",VLOOKUP(L611,Meses!$A$1:$H$14,3+HLOOKUP(Cronograma!J611,Meses!$D$1:$G$2,2,FALSE),FALSE),
IF(P611="En programación",M611,""))</f>
        <v/>
      </c>
      <c r="S611" s="25" t="str">
        <f t="shared" si="29"/>
        <v/>
      </c>
      <c r="T611" s="21" t="str">
        <f>IFERROR(
(VLOOKUP(MONTH(R611),Meses!$B$3:$C$14,2,FALSE)-DAY(R611))/VLOOKUP(MONTH(R611),Meses!$B$3:$C$14,2,FALSE)*U611,
"")</f>
        <v/>
      </c>
      <c r="U611" s="22">
        <f t="shared" si="28"/>
        <v>84185</v>
      </c>
    </row>
    <row r="612" spans="1:21" ht="32.4" hidden="1" thickBot="1" x14ac:dyDescent="0.6">
      <c r="A612" s="10" t="s">
        <v>778</v>
      </c>
      <c r="B612" s="10" t="s">
        <v>783</v>
      </c>
      <c r="C612" s="12">
        <v>45120</v>
      </c>
      <c r="D612" s="10" t="s">
        <v>171</v>
      </c>
      <c r="E612" s="10" t="s">
        <v>14</v>
      </c>
      <c r="F612" s="10">
        <v>840</v>
      </c>
      <c r="G612" s="10" t="s">
        <v>15</v>
      </c>
      <c r="H612" s="10" t="s">
        <v>17</v>
      </c>
      <c r="I612" s="10" t="s">
        <v>66</v>
      </c>
      <c r="J612" s="10" t="s">
        <v>19</v>
      </c>
      <c r="K612" s="10" t="s">
        <v>19</v>
      </c>
      <c r="L612" s="10" t="s">
        <v>19</v>
      </c>
      <c r="M612" s="12"/>
      <c r="N612" s="10" t="s">
        <v>20</v>
      </c>
      <c r="O612" s="10" t="s">
        <v>2054</v>
      </c>
      <c r="P612" s="25" t="str">
        <f>IFERROR(
IF(OR(O612="anulado",O612="stand by"),CONCATENATE(O612,": ",H612),
IF(OR(YEAR(M612)=2022,YEAR(M612)=2023),CONCATENATE("Se activó en ",YEAR(M612)),
IF(AND(OR(O612="En proceso",O612="facturando"),AND(J612="-",M612="")),"Por revisar",
IF(M612="",IF(J612="NUEVAS",CONCATENATE("Estado: ",O612,", ",J612),
IF(L612=Meses!$A$3,"Por revisar",
IF(H612="","Sin registro","En programación Frcst."))),"En programación")))),
"Error")</f>
        <v>Por revisar</v>
      </c>
      <c r="Q612" s="9" t="str">
        <f t="shared" si="27"/>
        <v>programación de act. NO, estado: Facturando, Comercializador: VATIA, Etapa: Instalado y Activado</v>
      </c>
      <c r="R612" s="25" t="str">
        <f>IF(P612="En programación Frcst.",VLOOKUP(L612,Meses!$A$1:$H$14,3+HLOOKUP(Cronograma!J612,Meses!$D$1:$G$2,2,FALSE),FALSE),
IF(P612="En programación",M612,""))</f>
        <v/>
      </c>
      <c r="S612" s="25" t="str">
        <f t="shared" si="29"/>
        <v/>
      </c>
      <c r="T612" s="21" t="str">
        <f>IFERROR(
(VLOOKUP(MONTH(R612),Meses!$B$3:$C$14,2,FALSE)-DAY(R612))/VLOOKUP(MONTH(R612),Meses!$B$3:$C$14,2,FALSE)*U612,
"")</f>
        <v/>
      </c>
      <c r="U612" s="22">
        <f t="shared" si="28"/>
        <v>840</v>
      </c>
    </row>
    <row r="613" spans="1:21" ht="63" hidden="1" thickBot="1" x14ac:dyDescent="0.6">
      <c r="A613" s="10" t="s">
        <v>784</v>
      </c>
      <c r="B613" s="10" t="s">
        <v>785</v>
      </c>
      <c r="C613" s="12">
        <v>45190</v>
      </c>
      <c r="D613" s="10" t="s">
        <v>171</v>
      </c>
      <c r="E613" s="10" t="s">
        <v>291</v>
      </c>
      <c r="F613" s="10">
        <v>5078</v>
      </c>
      <c r="G613" s="10" t="s">
        <v>15</v>
      </c>
      <c r="H613" s="10" t="s">
        <v>17</v>
      </c>
      <c r="I613" s="10" t="s">
        <v>66</v>
      </c>
      <c r="J613" s="10" t="s">
        <v>19</v>
      </c>
      <c r="K613" s="10" t="s">
        <v>19</v>
      </c>
      <c r="L613" s="10" t="s">
        <v>19</v>
      </c>
      <c r="M613" s="12"/>
      <c r="N613" s="10" t="s">
        <v>20</v>
      </c>
      <c r="O613" s="10" t="s">
        <v>2054</v>
      </c>
      <c r="P613" s="25" t="str">
        <f>IFERROR(
IF(OR(O613="anulado",O613="stand by"),CONCATENATE(O613,": ",H613),
IF(OR(YEAR(M613)=2022,YEAR(M613)=2023),CONCATENATE("Se activó en ",YEAR(M613)),
IF(AND(OR(O613="En proceso",O613="facturando"),AND(J613="-",M613="")),"Por revisar",
IF(M613="",IF(J613="NUEVAS",CONCATENATE("Estado: ",O613,", ",J613),
IF(L613=Meses!$A$3,"Por revisar",
IF(H613="","Sin registro","En programación Frcst."))),"En programación")))),
"Error")</f>
        <v>Por revisar</v>
      </c>
      <c r="Q613" s="9" t="str">
        <f t="shared" si="27"/>
        <v>programación de act. NO, estado: Facturando, Comercializador: VATIA, Etapa: Instalado y Activado</v>
      </c>
      <c r="R613" s="25" t="str">
        <f>IF(P613="En programación Frcst.",VLOOKUP(L613,Meses!$A$1:$H$14,3+HLOOKUP(Cronograma!J613,Meses!$D$1:$G$2,2,FALSE),FALSE),
IF(P613="En programación",M613,""))</f>
        <v/>
      </c>
      <c r="S613" s="25" t="str">
        <f t="shared" si="29"/>
        <v/>
      </c>
      <c r="T613" s="21" t="str">
        <f>IFERROR(
(VLOOKUP(MONTH(R613),Meses!$B$3:$C$14,2,FALSE)-DAY(R613))/VLOOKUP(MONTH(R613),Meses!$B$3:$C$14,2,FALSE)*U613,
"")</f>
        <v/>
      </c>
      <c r="U613" s="22">
        <f t="shared" si="28"/>
        <v>5078</v>
      </c>
    </row>
    <row r="614" spans="1:21" ht="31.8" hidden="1" thickBot="1" x14ac:dyDescent="0.6">
      <c r="A614" s="10" t="s">
        <v>786</v>
      </c>
      <c r="B614" s="10" t="s">
        <v>787</v>
      </c>
      <c r="C614" s="12"/>
      <c r="D614" s="10" t="s">
        <v>14</v>
      </c>
      <c r="E614" s="10" t="s">
        <v>14</v>
      </c>
      <c r="F614" s="10">
        <v>3451</v>
      </c>
      <c r="G614" s="10" t="s">
        <v>15</v>
      </c>
      <c r="H614" s="10" t="s">
        <v>140</v>
      </c>
      <c r="I614" s="10" t="s">
        <v>18</v>
      </c>
      <c r="J614" s="10" t="s">
        <v>19</v>
      </c>
      <c r="K614" s="10" t="s">
        <v>19</v>
      </c>
      <c r="L614" s="10" t="s">
        <v>19</v>
      </c>
      <c r="M614" s="12"/>
      <c r="N614" s="10" t="s">
        <v>15</v>
      </c>
      <c r="O614" s="10" t="s">
        <v>2056</v>
      </c>
      <c r="P614" s="25" t="str">
        <f>IFERROR(
IF(OR(O614="anulado",O614="stand by"),CONCATENATE(O614,": ",H614),
IF(OR(YEAR(M614)=2022,YEAR(M614)=2023),CONCATENATE("Se activó en ",YEAR(M614)),
IF(AND(OR(O614="En proceso",O614="facturando"),AND(J614="-",M614="")),"Por revisar",
IF(M614="",IF(J614="NUEVAS",CONCATENATE("Estado: ",O614,", ",J614),
IF(L614=Meses!$A$3,"Por revisar",
IF(H614="","Sin registro","En programación Frcst."))),"En programación")))),
"Error")</f>
        <v>anulado: Desistido</v>
      </c>
      <c r="Q614" s="9" t="str">
        <f t="shared" si="27"/>
        <v/>
      </c>
      <c r="R614" s="25" t="str">
        <f>IF(P614="En programación Frcst.",VLOOKUP(L614,Meses!$A$1:$H$14,3+HLOOKUP(Cronograma!J614,Meses!$D$1:$G$2,2,FALSE),FALSE),
IF(P614="En programación",M614,""))</f>
        <v/>
      </c>
      <c r="S614" s="25" t="str">
        <f t="shared" si="29"/>
        <v/>
      </c>
      <c r="T614" s="21" t="str">
        <f>IFERROR(
(VLOOKUP(MONTH(R614),Meses!$B$3:$C$14,2,FALSE)-DAY(R614))/VLOOKUP(MONTH(R614),Meses!$B$3:$C$14,2,FALSE)*U614,
"")</f>
        <v/>
      </c>
      <c r="U614" s="22">
        <f t="shared" si="28"/>
        <v>3451</v>
      </c>
    </row>
    <row r="615" spans="1:21" ht="31.8" hidden="1" thickBot="1" x14ac:dyDescent="0.6">
      <c r="A615" s="10" t="s">
        <v>786</v>
      </c>
      <c r="B615" s="10" t="s">
        <v>788</v>
      </c>
      <c r="C615" s="12"/>
      <c r="D615" s="10" t="s">
        <v>14</v>
      </c>
      <c r="E615" s="10" t="s">
        <v>14</v>
      </c>
      <c r="F615" s="10">
        <v>4968</v>
      </c>
      <c r="G615" s="10" t="s">
        <v>15</v>
      </c>
      <c r="H615" s="10" t="s">
        <v>140</v>
      </c>
      <c r="I615" s="10" t="s">
        <v>18</v>
      </c>
      <c r="J615" s="10" t="s">
        <v>19</v>
      </c>
      <c r="K615" s="10" t="s">
        <v>19</v>
      </c>
      <c r="L615" s="10" t="s">
        <v>19</v>
      </c>
      <c r="M615" s="12"/>
      <c r="N615" s="10" t="s">
        <v>15</v>
      </c>
      <c r="O615" s="10" t="s">
        <v>2056</v>
      </c>
      <c r="P615" s="25" t="str">
        <f>IFERROR(
IF(OR(O615="anulado",O615="stand by"),CONCATENATE(O615,": ",H615),
IF(OR(YEAR(M615)=2022,YEAR(M615)=2023),CONCATENATE("Se activó en ",YEAR(M615)),
IF(AND(OR(O615="En proceso",O615="facturando"),AND(J615="-",M615="")),"Por revisar",
IF(M615="",IF(J615="NUEVAS",CONCATENATE("Estado: ",O615,", ",J615),
IF(L615=Meses!$A$3,"Por revisar",
IF(H615="","Sin registro","En programación Frcst."))),"En programación")))),
"Error")</f>
        <v>anulado: Desistido</v>
      </c>
      <c r="Q615" s="9" t="str">
        <f t="shared" si="27"/>
        <v/>
      </c>
      <c r="R615" s="25" t="str">
        <f>IF(P615="En programación Frcst.",VLOOKUP(L615,Meses!$A$1:$H$14,3+HLOOKUP(Cronograma!J615,Meses!$D$1:$G$2,2,FALSE),FALSE),
IF(P615="En programación",M615,""))</f>
        <v/>
      </c>
      <c r="S615" s="25" t="str">
        <f t="shared" si="29"/>
        <v/>
      </c>
      <c r="T615" s="21" t="str">
        <f>IFERROR(
(VLOOKUP(MONTH(R615),Meses!$B$3:$C$14,2,FALSE)-DAY(R615))/VLOOKUP(MONTH(R615),Meses!$B$3:$C$14,2,FALSE)*U615,
"")</f>
        <v/>
      </c>
      <c r="U615" s="22">
        <f t="shared" si="28"/>
        <v>4968</v>
      </c>
    </row>
    <row r="616" spans="1:21" ht="31.8" hidden="1" thickBot="1" x14ac:dyDescent="0.6">
      <c r="A616" s="10" t="s">
        <v>786</v>
      </c>
      <c r="B616" s="10" t="s">
        <v>789</v>
      </c>
      <c r="C616" s="12"/>
      <c r="D616" s="10" t="s">
        <v>14</v>
      </c>
      <c r="E616" s="10" t="s">
        <v>14</v>
      </c>
      <c r="F616" s="10">
        <v>0</v>
      </c>
      <c r="G616" s="10" t="s">
        <v>15</v>
      </c>
      <c r="H616" s="10" t="s">
        <v>140</v>
      </c>
      <c r="I616" s="10" t="s">
        <v>18</v>
      </c>
      <c r="J616" s="10" t="s">
        <v>19</v>
      </c>
      <c r="K616" s="10" t="s">
        <v>19</v>
      </c>
      <c r="L616" s="10" t="s">
        <v>19</v>
      </c>
      <c r="M616" s="12"/>
      <c r="N616" s="10" t="s">
        <v>15</v>
      </c>
      <c r="O616" s="10" t="s">
        <v>2056</v>
      </c>
      <c r="P616" s="25" t="str">
        <f>IFERROR(
IF(OR(O616="anulado",O616="stand by"),CONCATENATE(O616,": ",H616),
IF(OR(YEAR(M616)=2022,YEAR(M616)=2023),CONCATENATE("Se activó en ",YEAR(M616)),
IF(AND(OR(O616="En proceso",O616="facturando"),AND(J616="-",M616="")),"Por revisar",
IF(M616="",IF(J616="NUEVAS",CONCATENATE("Estado: ",O616,", ",J616),
IF(L616=Meses!$A$3,"Por revisar",
IF(H616="","Sin registro","En programación Frcst."))),"En programación")))),
"Error")</f>
        <v>anulado: Desistido</v>
      </c>
      <c r="Q616" s="9" t="str">
        <f t="shared" si="27"/>
        <v/>
      </c>
      <c r="R616" s="25" t="str">
        <f>IF(P616="En programación Frcst.",VLOOKUP(L616,Meses!$A$1:$H$14,3+HLOOKUP(Cronograma!J616,Meses!$D$1:$G$2,2,FALSE),FALSE),
IF(P616="En programación",M616,""))</f>
        <v/>
      </c>
      <c r="S616" s="25" t="str">
        <f t="shared" si="29"/>
        <v/>
      </c>
      <c r="T616" s="21" t="str">
        <f>IFERROR(
(VLOOKUP(MONTH(R616),Meses!$B$3:$C$14,2,FALSE)-DAY(R616))/VLOOKUP(MONTH(R616),Meses!$B$3:$C$14,2,FALSE)*U616,
"")</f>
        <v/>
      </c>
      <c r="U616" s="22">
        <f t="shared" si="28"/>
        <v>0</v>
      </c>
    </row>
    <row r="617" spans="1:21" ht="31.8" hidden="1" thickBot="1" x14ac:dyDescent="0.6">
      <c r="A617" s="10" t="s">
        <v>786</v>
      </c>
      <c r="B617" s="10" t="s">
        <v>790</v>
      </c>
      <c r="C617" s="12"/>
      <c r="D617" s="10" t="s">
        <v>14</v>
      </c>
      <c r="E617" s="10" t="s">
        <v>14</v>
      </c>
      <c r="F617" s="10">
        <v>3444</v>
      </c>
      <c r="G617" s="10" t="s">
        <v>15</v>
      </c>
      <c r="H617" s="10" t="s">
        <v>140</v>
      </c>
      <c r="I617" s="10" t="s">
        <v>18</v>
      </c>
      <c r="J617" s="10" t="s">
        <v>19</v>
      </c>
      <c r="K617" s="10" t="s">
        <v>19</v>
      </c>
      <c r="L617" s="10" t="s">
        <v>19</v>
      </c>
      <c r="M617" s="12"/>
      <c r="N617" s="10" t="s">
        <v>15</v>
      </c>
      <c r="O617" s="10" t="s">
        <v>2056</v>
      </c>
      <c r="P617" s="25" t="str">
        <f>IFERROR(
IF(OR(O617="anulado",O617="stand by"),CONCATENATE(O617,": ",H617),
IF(OR(YEAR(M617)=2022,YEAR(M617)=2023),CONCATENATE("Se activó en ",YEAR(M617)),
IF(AND(OR(O617="En proceso",O617="facturando"),AND(J617="-",M617="")),"Por revisar",
IF(M617="",IF(J617="NUEVAS",CONCATENATE("Estado: ",O617,", ",J617),
IF(L617=Meses!$A$3,"Por revisar",
IF(H617="","Sin registro","En programación Frcst."))),"En programación")))),
"Error")</f>
        <v>anulado: Desistido</v>
      </c>
      <c r="Q617" s="9" t="str">
        <f t="shared" si="27"/>
        <v/>
      </c>
      <c r="R617" s="25" t="str">
        <f>IF(P617="En programación Frcst.",VLOOKUP(L617,Meses!$A$1:$H$14,3+HLOOKUP(Cronograma!J617,Meses!$D$1:$G$2,2,FALSE),FALSE),
IF(P617="En programación",M617,""))</f>
        <v/>
      </c>
      <c r="S617" s="25" t="str">
        <f t="shared" si="29"/>
        <v/>
      </c>
      <c r="T617" s="21" t="str">
        <f>IFERROR(
(VLOOKUP(MONTH(R617),Meses!$B$3:$C$14,2,FALSE)-DAY(R617))/VLOOKUP(MONTH(R617),Meses!$B$3:$C$14,2,FALSE)*U617,
"")</f>
        <v/>
      </c>
      <c r="U617" s="22">
        <f t="shared" si="28"/>
        <v>3444</v>
      </c>
    </row>
    <row r="618" spans="1:21" ht="31.8" hidden="1" thickBot="1" x14ac:dyDescent="0.6">
      <c r="A618" s="10" t="s">
        <v>786</v>
      </c>
      <c r="B618" s="10" t="s">
        <v>791</v>
      </c>
      <c r="C618" s="12">
        <v>45309</v>
      </c>
      <c r="D618" s="10" t="s">
        <v>14</v>
      </c>
      <c r="E618" s="10" t="s">
        <v>14</v>
      </c>
      <c r="F618" s="10">
        <v>6441</v>
      </c>
      <c r="G618" s="10" t="s">
        <v>15</v>
      </c>
      <c r="H618" s="10" t="s">
        <v>2406</v>
      </c>
      <c r="I618" s="10" t="s">
        <v>18</v>
      </c>
      <c r="J618" s="10" t="s">
        <v>143</v>
      </c>
      <c r="K618" s="10" t="s">
        <v>538</v>
      </c>
      <c r="L618" s="10" t="s">
        <v>279</v>
      </c>
      <c r="M618" s="12"/>
      <c r="N618" s="10" t="s">
        <v>15</v>
      </c>
      <c r="O618" s="10" t="s">
        <v>2054</v>
      </c>
      <c r="P618" s="25" t="str">
        <f>IFERROR(
IF(OR(O618="anulado",O618="stand by"),CONCATENATE(O618,": ",H618),
IF(OR(YEAR(M618)=2022,YEAR(M618)=2023),CONCATENATE("Se activó en ",YEAR(M618)),
IF(AND(OR(O618="En proceso",O618="facturando"),AND(J618="-",M618="")),"Por revisar",
IF(M618="",IF(J618="NUEVAS",CONCATENATE("Estado: ",O618,", ",J618),
IF(L618=Meses!$A$3,"Por revisar",
IF(H618="","Sin registro","En programación Frcst."))),"En programación")))),
"Error")</f>
        <v>En programación Frcst.</v>
      </c>
      <c r="Q618" s="9" t="str">
        <f t="shared" si="27"/>
        <v/>
      </c>
      <c r="R618" s="25">
        <f>IF(P618="En programación Frcst.",VLOOKUP(L618,Meses!$A$1:$H$14,3+HLOOKUP(Cronograma!J618,Meses!$D$1:$G$2,2,FALSE),FALSE),
IF(P618="En programación",M618,""))</f>
        <v>45302</v>
      </c>
      <c r="S618" s="25" t="str">
        <f t="shared" si="29"/>
        <v>2024/1</v>
      </c>
      <c r="T618" s="21">
        <f>IFERROR(
(VLOOKUP(MONTH(R618),Meses!$B$3:$C$14,2,FALSE)-DAY(R618))/VLOOKUP(MONTH(R618),Meses!$B$3:$C$14,2,FALSE)*U618,
"")</f>
        <v>4155.4838709677415</v>
      </c>
      <c r="U618" s="22">
        <f t="shared" si="28"/>
        <v>6441</v>
      </c>
    </row>
    <row r="619" spans="1:21" ht="31.8" hidden="1" thickBot="1" x14ac:dyDescent="0.6">
      <c r="A619" s="10" t="s">
        <v>786</v>
      </c>
      <c r="B619" s="10" t="s">
        <v>792</v>
      </c>
      <c r="C619" s="12">
        <v>45309</v>
      </c>
      <c r="D619" s="10" t="s">
        <v>14</v>
      </c>
      <c r="E619" s="10" t="s">
        <v>14</v>
      </c>
      <c r="F619" s="10">
        <v>4147</v>
      </c>
      <c r="G619" s="10" t="s">
        <v>15</v>
      </c>
      <c r="H619" s="10" t="s">
        <v>2406</v>
      </c>
      <c r="I619" s="10" t="s">
        <v>18</v>
      </c>
      <c r="J619" s="10" t="s">
        <v>143</v>
      </c>
      <c r="K619" s="10" t="s">
        <v>538</v>
      </c>
      <c r="L619" s="10" t="s">
        <v>279</v>
      </c>
      <c r="M619" s="12"/>
      <c r="N619" s="10" t="s">
        <v>15</v>
      </c>
      <c r="O619" s="10" t="s">
        <v>2054</v>
      </c>
      <c r="P619" s="25" t="str">
        <f>IFERROR(
IF(OR(O619="anulado",O619="stand by"),CONCATENATE(O619,": ",H619),
IF(OR(YEAR(M619)=2022,YEAR(M619)=2023),CONCATENATE("Se activó en ",YEAR(M619)),
IF(AND(OR(O619="En proceso",O619="facturando"),AND(J619="-",M619="")),"Por revisar",
IF(M619="",IF(J619="NUEVAS",CONCATENATE("Estado: ",O619,", ",J619),
IF(L619=Meses!$A$3,"Por revisar",
IF(H619="","Sin registro","En programación Frcst."))),"En programación")))),
"Error")</f>
        <v>En programación Frcst.</v>
      </c>
      <c r="Q619" s="9" t="str">
        <f t="shared" si="27"/>
        <v/>
      </c>
      <c r="R619" s="25">
        <f>IF(P619="En programación Frcst.",VLOOKUP(L619,Meses!$A$1:$H$14,3+HLOOKUP(Cronograma!J619,Meses!$D$1:$G$2,2,FALSE),FALSE),
IF(P619="En programación",M619,""))</f>
        <v>45302</v>
      </c>
      <c r="S619" s="25" t="str">
        <f t="shared" si="29"/>
        <v>2024/1</v>
      </c>
      <c r="T619" s="21">
        <f>IFERROR(
(VLOOKUP(MONTH(R619),Meses!$B$3:$C$14,2,FALSE)-DAY(R619))/VLOOKUP(MONTH(R619),Meses!$B$3:$C$14,2,FALSE)*U619,
"")</f>
        <v>2675.483870967742</v>
      </c>
      <c r="U619" s="22">
        <f t="shared" si="28"/>
        <v>4147</v>
      </c>
    </row>
    <row r="620" spans="1:21" ht="31.8" hidden="1" thickBot="1" x14ac:dyDescent="0.6">
      <c r="A620" s="10" t="s">
        <v>786</v>
      </c>
      <c r="B620" s="10" t="s">
        <v>793</v>
      </c>
      <c r="C620" s="12">
        <v>45309</v>
      </c>
      <c r="D620" s="10" t="s">
        <v>14</v>
      </c>
      <c r="E620" s="10" t="s">
        <v>14</v>
      </c>
      <c r="F620" s="10">
        <v>368</v>
      </c>
      <c r="G620" s="10" t="s">
        <v>15</v>
      </c>
      <c r="H620" s="10" t="s">
        <v>2406</v>
      </c>
      <c r="I620" s="10" t="s">
        <v>18</v>
      </c>
      <c r="J620" s="10" t="s">
        <v>143</v>
      </c>
      <c r="K620" s="10" t="s">
        <v>538</v>
      </c>
      <c r="L620" s="10" t="s">
        <v>279</v>
      </c>
      <c r="M620" s="12"/>
      <c r="N620" s="10" t="s">
        <v>15</v>
      </c>
      <c r="O620" s="10" t="s">
        <v>2054</v>
      </c>
      <c r="P620" s="25" t="str">
        <f>IFERROR(
IF(OR(O620="anulado",O620="stand by"),CONCATENATE(O620,": ",H620),
IF(OR(YEAR(M620)=2022,YEAR(M620)=2023),CONCATENATE("Se activó en ",YEAR(M620)),
IF(AND(OR(O620="En proceso",O620="facturando"),AND(J620="-",M620="")),"Por revisar",
IF(M620="",IF(J620="NUEVAS",CONCATENATE("Estado: ",O620,", ",J620),
IF(L620=Meses!$A$3,"Por revisar",
IF(H620="","Sin registro","En programación Frcst."))),"En programación")))),
"Error")</f>
        <v>En programación Frcst.</v>
      </c>
      <c r="Q620" s="9" t="str">
        <f t="shared" si="27"/>
        <v/>
      </c>
      <c r="R620" s="25">
        <f>IF(P620="En programación Frcst.",VLOOKUP(L620,Meses!$A$1:$H$14,3+HLOOKUP(Cronograma!J620,Meses!$D$1:$G$2,2,FALSE),FALSE),
IF(P620="En programación",M620,""))</f>
        <v>45302</v>
      </c>
      <c r="S620" s="25" t="str">
        <f t="shared" si="29"/>
        <v>2024/1</v>
      </c>
      <c r="T620" s="21">
        <f>IFERROR(
(VLOOKUP(MONTH(R620),Meses!$B$3:$C$14,2,FALSE)-DAY(R620))/VLOOKUP(MONTH(R620),Meses!$B$3:$C$14,2,FALSE)*U620,
"")</f>
        <v>237.41935483870967</v>
      </c>
      <c r="U620" s="22">
        <f t="shared" si="28"/>
        <v>368</v>
      </c>
    </row>
    <row r="621" spans="1:21" ht="32.4" hidden="1" thickBot="1" x14ac:dyDescent="0.6">
      <c r="A621" s="10" t="s">
        <v>794</v>
      </c>
      <c r="B621" s="10" t="s">
        <v>795</v>
      </c>
      <c r="C621" s="12">
        <v>45148</v>
      </c>
      <c r="D621" s="10" t="s">
        <v>14</v>
      </c>
      <c r="E621" s="10" t="s">
        <v>14</v>
      </c>
      <c r="F621" s="10">
        <v>1071</v>
      </c>
      <c r="G621" s="10" t="s">
        <v>15</v>
      </c>
      <c r="H621" s="10" t="s">
        <v>17</v>
      </c>
      <c r="I621" s="10" t="s">
        <v>18</v>
      </c>
      <c r="J621" s="10" t="s">
        <v>19</v>
      </c>
      <c r="K621" s="10" t="s">
        <v>19</v>
      </c>
      <c r="L621" s="10" t="s">
        <v>19</v>
      </c>
      <c r="M621" s="12"/>
      <c r="N621" s="10" t="s">
        <v>20</v>
      </c>
      <c r="O621" s="10" t="s">
        <v>2054</v>
      </c>
      <c r="P621" s="25" t="str">
        <f>IFERROR(
IF(OR(O621="anulado",O621="stand by"),CONCATENATE(O621,": ",H621),
IF(OR(YEAR(M621)=2022,YEAR(M621)=2023),CONCATENATE("Se activó en ",YEAR(M621)),
IF(AND(OR(O621="En proceso",O621="facturando"),AND(J621="-",M621="")),"Por revisar",
IF(M621="",IF(J621="NUEVAS",CONCATENATE("Estado: ",O621,", ",J621),
IF(L621=Meses!$A$3,"Por revisar",
IF(H621="","Sin registro","En programación Frcst."))),"En programación")))),
"Error")</f>
        <v>Por revisar</v>
      </c>
      <c r="Q621" s="9" t="str">
        <f t="shared" si="27"/>
        <v>programación de act. NO, estado: Facturando, Comercializador: ENEL, Etapa: Instalado y Activado</v>
      </c>
      <c r="R621" s="25" t="str">
        <f>IF(P621="En programación Frcst.",VLOOKUP(L621,Meses!$A$1:$H$14,3+HLOOKUP(Cronograma!J621,Meses!$D$1:$G$2,2,FALSE),FALSE),
IF(P621="En programación",M621,""))</f>
        <v/>
      </c>
      <c r="S621" s="25" t="str">
        <f t="shared" si="29"/>
        <v/>
      </c>
      <c r="T621" s="21" t="str">
        <f>IFERROR(
(VLOOKUP(MONTH(R621),Meses!$B$3:$C$14,2,FALSE)-DAY(R621))/VLOOKUP(MONTH(R621),Meses!$B$3:$C$14,2,FALSE)*U621,
"")</f>
        <v/>
      </c>
      <c r="U621" s="22">
        <f t="shared" si="28"/>
        <v>1071</v>
      </c>
    </row>
    <row r="622" spans="1:21" ht="31.8" hidden="1" thickBot="1" x14ac:dyDescent="0.6">
      <c r="A622" s="10" t="s">
        <v>794</v>
      </c>
      <c r="B622" s="10" t="s">
        <v>796</v>
      </c>
      <c r="C622" s="12">
        <v>45148</v>
      </c>
      <c r="D622" s="10" t="s">
        <v>14</v>
      </c>
      <c r="E622" s="10" t="s">
        <v>14</v>
      </c>
      <c r="F622" s="10">
        <v>553</v>
      </c>
      <c r="G622" s="10" t="s">
        <v>15</v>
      </c>
      <c r="H622" s="10" t="s">
        <v>2406</v>
      </c>
      <c r="I622" s="10" t="s">
        <v>18</v>
      </c>
      <c r="J622" s="10" t="s">
        <v>143</v>
      </c>
      <c r="K622" s="10" t="s">
        <v>2897</v>
      </c>
      <c r="L622" s="10" t="s">
        <v>2296</v>
      </c>
      <c r="M622" s="12"/>
      <c r="N622" s="10" t="s">
        <v>20</v>
      </c>
      <c r="O622" s="10" t="s">
        <v>2054</v>
      </c>
      <c r="P622" s="25" t="str">
        <f>IFERROR(
IF(OR(O622="anulado",O622="stand by"),CONCATENATE(O622,": ",H622),
IF(OR(YEAR(M622)=2022,YEAR(M622)=2023),CONCATENATE("Se activó en ",YEAR(M622)),
IF(AND(OR(O622="En proceso",O622="facturando"),AND(J622="-",M622="")),"Por revisar",
IF(M622="",IF(J622="NUEVAS",CONCATENATE("Estado: ",O622,", ",J622),
IF(L622=Meses!$A$3,"Por revisar",
IF(H622="","Sin registro","En programación Frcst."))),"En programación")))),
"Error")</f>
        <v>En programación Frcst.</v>
      </c>
      <c r="Q622" s="9" t="str">
        <f t="shared" si="27"/>
        <v/>
      </c>
      <c r="R622" s="25">
        <f>IF(P622="En programación Frcst.",VLOOKUP(L622,Meses!$A$1:$H$14,3+HLOOKUP(Cronograma!J622,Meses!$D$1:$G$2,2,FALSE),FALSE),
IF(P622="En programación",M622,""))</f>
        <v>0</v>
      </c>
      <c r="S622" s="25" t="str">
        <f t="shared" si="29"/>
        <v>1900/1</v>
      </c>
      <c r="T622" s="21">
        <f>IFERROR(
(VLOOKUP(MONTH(R622),Meses!$B$3:$C$14,2,FALSE)-DAY(R622))/VLOOKUP(MONTH(R622),Meses!$B$3:$C$14,2,FALSE)*U622,
"")</f>
        <v>553</v>
      </c>
      <c r="U622" s="22">
        <f t="shared" si="28"/>
        <v>553</v>
      </c>
    </row>
    <row r="623" spans="1:21" ht="32.4" hidden="1" thickBot="1" x14ac:dyDescent="0.6">
      <c r="A623" s="10" t="s">
        <v>794</v>
      </c>
      <c r="B623" s="10" t="s">
        <v>797</v>
      </c>
      <c r="C623" s="12">
        <v>45148</v>
      </c>
      <c r="D623" s="10" t="s">
        <v>14</v>
      </c>
      <c r="E623" s="10" t="s">
        <v>14</v>
      </c>
      <c r="F623" s="10">
        <v>2068</v>
      </c>
      <c r="G623" s="10" t="s">
        <v>15</v>
      </c>
      <c r="H623" s="10" t="s">
        <v>17</v>
      </c>
      <c r="I623" s="10" t="s">
        <v>18</v>
      </c>
      <c r="J623" s="10" t="s">
        <v>19</v>
      </c>
      <c r="K623" s="10" t="s">
        <v>19</v>
      </c>
      <c r="L623" s="10" t="s">
        <v>19</v>
      </c>
      <c r="M623" s="12"/>
      <c r="N623" s="10" t="s">
        <v>20</v>
      </c>
      <c r="O623" s="10" t="s">
        <v>2054</v>
      </c>
      <c r="P623" s="25" t="str">
        <f>IFERROR(
IF(OR(O623="anulado",O623="stand by"),CONCATENATE(O623,": ",H623),
IF(OR(YEAR(M623)=2022,YEAR(M623)=2023),CONCATENATE("Se activó en ",YEAR(M623)),
IF(AND(OR(O623="En proceso",O623="facturando"),AND(J623="-",M623="")),"Por revisar",
IF(M623="",IF(J623="NUEVAS",CONCATENATE("Estado: ",O623,", ",J623),
IF(L623=Meses!$A$3,"Por revisar",
IF(H623="","Sin registro","En programación Frcst."))),"En programación")))),
"Error")</f>
        <v>Por revisar</v>
      </c>
      <c r="Q623" s="9" t="str">
        <f t="shared" si="27"/>
        <v>programación de act. NO, estado: Facturando, Comercializador: ENEL, Etapa: Instalado y Activado</v>
      </c>
      <c r="R623" s="25" t="str">
        <f>IF(P623="En programación Frcst.",VLOOKUP(L623,Meses!$A$1:$H$14,3+HLOOKUP(Cronograma!J623,Meses!$D$1:$G$2,2,FALSE),FALSE),
IF(P623="En programación",M623,""))</f>
        <v/>
      </c>
      <c r="S623" s="25" t="str">
        <f t="shared" si="29"/>
        <v/>
      </c>
      <c r="T623" s="21" t="str">
        <f>IFERROR(
(VLOOKUP(MONTH(R623),Meses!$B$3:$C$14,2,FALSE)-DAY(R623))/VLOOKUP(MONTH(R623),Meses!$B$3:$C$14,2,FALSE)*U623,
"")</f>
        <v/>
      </c>
      <c r="U623" s="22">
        <f t="shared" si="28"/>
        <v>2068</v>
      </c>
    </row>
    <row r="624" spans="1:21" ht="32.4" hidden="1" thickBot="1" x14ac:dyDescent="0.6">
      <c r="A624" s="10" t="s">
        <v>794</v>
      </c>
      <c r="B624" s="10" t="s">
        <v>798</v>
      </c>
      <c r="C624" s="12">
        <v>45148</v>
      </c>
      <c r="D624" s="10" t="s">
        <v>14</v>
      </c>
      <c r="E624" s="10" t="s">
        <v>14</v>
      </c>
      <c r="F624" s="10">
        <v>4720</v>
      </c>
      <c r="G624" s="10" t="s">
        <v>15</v>
      </c>
      <c r="H624" s="10" t="s">
        <v>17</v>
      </c>
      <c r="I624" s="10" t="s">
        <v>18</v>
      </c>
      <c r="J624" s="10" t="s">
        <v>19</v>
      </c>
      <c r="K624" s="10" t="s">
        <v>19</v>
      </c>
      <c r="L624" s="10" t="s">
        <v>19</v>
      </c>
      <c r="M624" s="12"/>
      <c r="N624" s="10" t="s">
        <v>20</v>
      </c>
      <c r="O624" s="10" t="s">
        <v>2054</v>
      </c>
      <c r="P624" s="25" t="str">
        <f>IFERROR(
IF(OR(O624="anulado",O624="stand by"),CONCATENATE(O624,": ",H624),
IF(OR(YEAR(M624)=2022,YEAR(M624)=2023),CONCATENATE("Se activó en ",YEAR(M624)),
IF(AND(OR(O624="En proceso",O624="facturando"),AND(J624="-",M624="")),"Por revisar",
IF(M624="",IF(J624="NUEVAS",CONCATENATE("Estado: ",O624,", ",J624),
IF(L624=Meses!$A$3,"Por revisar",
IF(H624="","Sin registro","En programación Frcst."))),"En programación")))),
"Error")</f>
        <v>Por revisar</v>
      </c>
      <c r="Q624" s="9" t="str">
        <f t="shared" si="27"/>
        <v>programación de act. NO, estado: Facturando, Comercializador: ENEL, Etapa: Instalado y Activado</v>
      </c>
      <c r="R624" s="25" t="str">
        <f>IF(P624="En programación Frcst.",VLOOKUP(L624,Meses!$A$1:$H$14,3+HLOOKUP(Cronograma!J624,Meses!$D$1:$G$2,2,FALSE),FALSE),
IF(P624="En programación",M624,""))</f>
        <v/>
      </c>
      <c r="S624" s="25" t="str">
        <f t="shared" si="29"/>
        <v/>
      </c>
      <c r="T624" s="21" t="str">
        <f>IFERROR(
(VLOOKUP(MONTH(R624),Meses!$B$3:$C$14,2,FALSE)-DAY(R624))/VLOOKUP(MONTH(R624),Meses!$B$3:$C$14,2,FALSE)*U624,
"")</f>
        <v/>
      </c>
      <c r="U624" s="22">
        <f t="shared" si="28"/>
        <v>4720</v>
      </c>
    </row>
    <row r="625" spans="1:21" ht="63" hidden="1" thickBot="1" x14ac:dyDescent="0.6">
      <c r="A625" s="10" t="s">
        <v>799</v>
      </c>
      <c r="B625" s="10" t="s">
        <v>800</v>
      </c>
      <c r="C625" s="12">
        <v>45127</v>
      </c>
      <c r="D625" s="10" t="s">
        <v>41</v>
      </c>
      <c r="E625" s="10" t="s">
        <v>41</v>
      </c>
      <c r="F625" s="10">
        <v>8360</v>
      </c>
      <c r="G625" s="10" t="s">
        <v>15</v>
      </c>
      <c r="H625" s="10" t="s">
        <v>17</v>
      </c>
      <c r="I625" s="10" t="s">
        <v>43</v>
      </c>
      <c r="J625" s="10" t="s">
        <v>19</v>
      </c>
      <c r="K625" s="10" t="s">
        <v>19</v>
      </c>
      <c r="L625" s="10" t="s">
        <v>19</v>
      </c>
      <c r="M625" s="12"/>
      <c r="N625" s="10" t="s">
        <v>20</v>
      </c>
      <c r="O625" s="10" t="s">
        <v>2054</v>
      </c>
      <c r="P625" s="25" t="str">
        <f>IFERROR(
IF(OR(O625="anulado",O625="stand by"),CONCATENATE(O625,": ",H625),
IF(OR(YEAR(M625)=2022,YEAR(M625)=2023),CONCATENATE("Se activó en ",YEAR(M625)),
IF(AND(OR(O625="En proceso",O625="facturando"),AND(J625="-",M625="")),"Por revisar",
IF(M625="",IF(J625="NUEVAS",CONCATENATE("Estado: ",O625,", ",J625),
IF(L625=Meses!$A$3,"Por revisar",
IF(H625="","Sin registro","En programación Frcst."))),"En programación")))),
"Error")</f>
        <v>Por revisar</v>
      </c>
      <c r="Q625" s="9" t="str">
        <f t="shared" si="27"/>
        <v>programación de act. NO, estado: Facturando, Comercializador: EPM, Etapa: Instalado y Activado</v>
      </c>
      <c r="R625" s="25" t="str">
        <f>IF(P625="En programación Frcst.",VLOOKUP(L625,Meses!$A$1:$H$14,3+HLOOKUP(Cronograma!J625,Meses!$D$1:$G$2,2,FALSE),FALSE),
IF(P625="En programación",M625,""))</f>
        <v/>
      </c>
      <c r="S625" s="25" t="str">
        <f t="shared" si="29"/>
        <v/>
      </c>
      <c r="T625" s="21" t="str">
        <f>IFERROR(
(VLOOKUP(MONTH(R625),Meses!$B$3:$C$14,2,FALSE)-DAY(R625))/VLOOKUP(MONTH(R625),Meses!$B$3:$C$14,2,FALSE)*U625,
"")</f>
        <v/>
      </c>
      <c r="U625" s="22">
        <f t="shared" si="28"/>
        <v>8360</v>
      </c>
    </row>
    <row r="626" spans="1:21" ht="47.4" hidden="1" thickBot="1" x14ac:dyDescent="0.6">
      <c r="A626" s="10" t="s">
        <v>801</v>
      </c>
      <c r="B626" s="10" t="s">
        <v>802</v>
      </c>
      <c r="C626" s="12">
        <v>45155</v>
      </c>
      <c r="D626" s="10" t="s">
        <v>14</v>
      </c>
      <c r="E626" s="10" t="s">
        <v>14</v>
      </c>
      <c r="F626" s="10">
        <v>6279</v>
      </c>
      <c r="G626" s="10" t="s">
        <v>15</v>
      </c>
      <c r="H626" s="10" t="s">
        <v>17</v>
      </c>
      <c r="I626" s="10" t="s">
        <v>18</v>
      </c>
      <c r="J626" s="10" t="s">
        <v>19</v>
      </c>
      <c r="K626" s="10" t="s">
        <v>19</v>
      </c>
      <c r="L626" s="10" t="s">
        <v>19</v>
      </c>
      <c r="M626" s="12"/>
      <c r="N626" s="10" t="s">
        <v>20</v>
      </c>
      <c r="O626" s="10" t="s">
        <v>2054</v>
      </c>
      <c r="P626" s="25" t="str">
        <f>IFERROR(
IF(OR(O626="anulado",O626="stand by"),CONCATENATE(O626,": ",H626),
IF(OR(YEAR(M626)=2022,YEAR(M626)=2023),CONCATENATE("Se activó en ",YEAR(M626)),
IF(AND(OR(O626="En proceso",O626="facturando"),AND(J626="-",M626="")),"Por revisar",
IF(M626="",IF(J626="NUEVAS",CONCATENATE("Estado: ",O626,", ",J626),
IF(L626=Meses!$A$3,"Por revisar",
IF(H626="","Sin registro","En programación Frcst."))),"En programación")))),
"Error")</f>
        <v>Por revisar</v>
      </c>
      <c r="Q626" s="9" t="str">
        <f t="shared" si="27"/>
        <v>programación de act. NO, estado: Facturando, Comercializador: ENEL, Etapa: Instalado y Activado</v>
      </c>
      <c r="R626" s="25" t="str">
        <f>IF(P626="En programación Frcst.",VLOOKUP(L626,Meses!$A$1:$H$14,3+HLOOKUP(Cronograma!J626,Meses!$D$1:$G$2,2,FALSE),FALSE),
IF(P626="En programación",M626,""))</f>
        <v/>
      </c>
      <c r="S626" s="25" t="str">
        <f t="shared" si="29"/>
        <v/>
      </c>
      <c r="T626" s="21" t="str">
        <f>IFERROR(
(VLOOKUP(MONTH(R626),Meses!$B$3:$C$14,2,FALSE)-DAY(R626))/VLOOKUP(MONTH(R626),Meses!$B$3:$C$14,2,FALSE)*U626,
"")</f>
        <v/>
      </c>
      <c r="U626" s="22">
        <f t="shared" si="28"/>
        <v>6279</v>
      </c>
    </row>
    <row r="627" spans="1:21" ht="32.4" hidden="1" thickBot="1" x14ac:dyDescent="0.6">
      <c r="A627" s="10" t="s">
        <v>803</v>
      </c>
      <c r="B627" s="10" t="s">
        <v>804</v>
      </c>
      <c r="C627" s="12">
        <v>45148</v>
      </c>
      <c r="D627" s="10" t="s">
        <v>14</v>
      </c>
      <c r="E627" s="10" t="s">
        <v>14</v>
      </c>
      <c r="F627" s="10">
        <v>62</v>
      </c>
      <c r="G627" s="10" t="s">
        <v>15</v>
      </c>
      <c r="H627" s="10" t="s">
        <v>17</v>
      </c>
      <c r="I627" s="10" t="s">
        <v>18</v>
      </c>
      <c r="J627" s="10" t="s">
        <v>19</v>
      </c>
      <c r="K627" s="10" t="s">
        <v>19</v>
      </c>
      <c r="L627" s="10" t="s">
        <v>19</v>
      </c>
      <c r="M627" s="12"/>
      <c r="N627" s="10" t="s">
        <v>20</v>
      </c>
      <c r="O627" s="10" t="s">
        <v>2054</v>
      </c>
      <c r="P627" s="25" t="str">
        <f>IFERROR(
IF(OR(O627="anulado",O627="stand by"),CONCATENATE(O627,": ",H627),
IF(OR(YEAR(M627)=2022,YEAR(M627)=2023),CONCATENATE("Se activó en ",YEAR(M627)),
IF(AND(OR(O627="En proceso",O627="facturando"),AND(J627="-",M627="")),"Por revisar",
IF(M627="",IF(J627="NUEVAS",CONCATENATE("Estado: ",O627,", ",J627),
IF(L627=Meses!$A$3,"Por revisar",
IF(H627="","Sin registro","En programación Frcst."))),"En programación")))),
"Error")</f>
        <v>Por revisar</v>
      </c>
      <c r="Q627" s="9" t="str">
        <f t="shared" si="27"/>
        <v>programación de act. NO, estado: Facturando, Comercializador: ENEL, Etapa: Instalado y Activado</v>
      </c>
      <c r="R627" s="25" t="str">
        <f>IF(P627="En programación Frcst.",VLOOKUP(L627,Meses!$A$1:$H$14,3+HLOOKUP(Cronograma!J627,Meses!$D$1:$G$2,2,FALSE),FALSE),
IF(P627="En programación",M627,""))</f>
        <v/>
      </c>
      <c r="S627" s="25" t="str">
        <f t="shared" si="29"/>
        <v/>
      </c>
      <c r="T627" s="21" t="str">
        <f>IFERROR(
(VLOOKUP(MONTH(R627),Meses!$B$3:$C$14,2,FALSE)-DAY(R627))/VLOOKUP(MONTH(R627),Meses!$B$3:$C$14,2,FALSE)*U627,
"")</f>
        <v/>
      </c>
      <c r="U627" s="22">
        <f t="shared" si="28"/>
        <v>62</v>
      </c>
    </row>
    <row r="628" spans="1:21" ht="32.4" hidden="1" thickBot="1" x14ac:dyDescent="0.6">
      <c r="A628" s="10" t="s">
        <v>803</v>
      </c>
      <c r="B628" s="10" t="s">
        <v>805</v>
      </c>
      <c r="C628" s="12">
        <v>45148</v>
      </c>
      <c r="D628" s="10" t="s">
        <v>14</v>
      </c>
      <c r="E628" s="10" t="s">
        <v>14</v>
      </c>
      <c r="F628" s="10">
        <v>2676</v>
      </c>
      <c r="G628" s="10" t="s">
        <v>15</v>
      </c>
      <c r="H628" s="10" t="s">
        <v>17</v>
      </c>
      <c r="I628" s="10" t="s">
        <v>18</v>
      </c>
      <c r="J628" s="10" t="s">
        <v>19</v>
      </c>
      <c r="K628" s="10" t="s">
        <v>19</v>
      </c>
      <c r="L628" s="10" t="s">
        <v>19</v>
      </c>
      <c r="M628" s="12"/>
      <c r="N628" s="10" t="s">
        <v>20</v>
      </c>
      <c r="O628" s="10" t="s">
        <v>2054</v>
      </c>
      <c r="P628" s="25" t="str">
        <f>IFERROR(
IF(OR(O628="anulado",O628="stand by"),CONCATENATE(O628,": ",H628),
IF(OR(YEAR(M628)=2022,YEAR(M628)=2023),CONCATENATE("Se activó en ",YEAR(M628)),
IF(AND(OR(O628="En proceso",O628="facturando"),AND(J628="-",M628="")),"Por revisar",
IF(M628="",IF(J628="NUEVAS",CONCATENATE("Estado: ",O628,", ",J628),
IF(L628=Meses!$A$3,"Por revisar",
IF(H628="","Sin registro","En programación Frcst."))),"En programación")))),
"Error")</f>
        <v>Por revisar</v>
      </c>
      <c r="Q628" s="9" t="str">
        <f t="shared" si="27"/>
        <v>programación de act. NO, estado: Facturando, Comercializador: ENEL, Etapa: Instalado y Activado</v>
      </c>
      <c r="R628" s="25" t="str">
        <f>IF(P628="En programación Frcst.",VLOOKUP(L628,Meses!$A$1:$H$14,3+HLOOKUP(Cronograma!J628,Meses!$D$1:$G$2,2,FALSE),FALSE),
IF(P628="En programación",M628,""))</f>
        <v/>
      </c>
      <c r="S628" s="25" t="str">
        <f t="shared" si="29"/>
        <v/>
      </c>
      <c r="T628" s="21" t="str">
        <f>IFERROR(
(VLOOKUP(MONTH(R628),Meses!$B$3:$C$14,2,FALSE)-DAY(R628))/VLOOKUP(MONTH(R628),Meses!$B$3:$C$14,2,FALSE)*U628,
"")</f>
        <v/>
      </c>
      <c r="U628" s="22">
        <f t="shared" si="28"/>
        <v>2676</v>
      </c>
    </row>
    <row r="629" spans="1:21" ht="32.4" hidden="1" thickBot="1" x14ac:dyDescent="0.6">
      <c r="A629" s="10" t="s">
        <v>803</v>
      </c>
      <c r="B629" s="10" t="s">
        <v>806</v>
      </c>
      <c r="C629" s="12">
        <v>45148</v>
      </c>
      <c r="D629" s="10" t="s">
        <v>14</v>
      </c>
      <c r="E629" s="10" t="s">
        <v>14</v>
      </c>
      <c r="F629" s="10">
        <v>2439</v>
      </c>
      <c r="G629" s="10" t="s">
        <v>15</v>
      </c>
      <c r="H629" s="10" t="s">
        <v>17</v>
      </c>
      <c r="I629" s="10" t="s">
        <v>18</v>
      </c>
      <c r="J629" s="10" t="s">
        <v>19</v>
      </c>
      <c r="K629" s="10" t="s">
        <v>19</v>
      </c>
      <c r="L629" s="10" t="s">
        <v>19</v>
      </c>
      <c r="M629" s="12"/>
      <c r="N629" s="10" t="s">
        <v>20</v>
      </c>
      <c r="O629" s="10" t="s">
        <v>2054</v>
      </c>
      <c r="P629" s="25" t="str">
        <f>IFERROR(
IF(OR(O629="anulado",O629="stand by"),CONCATENATE(O629,": ",H629),
IF(OR(YEAR(M629)=2022,YEAR(M629)=2023),CONCATENATE("Se activó en ",YEAR(M629)),
IF(AND(OR(O629="En proceso",O629="facturando"),AND(J629="-",M629="")),"Por revisar",
IF(M629="",IF(J629="NUEVAS",CONCATENATE("Estado: ",O629,", ",J629),
IF(L629=Meses!$A$3,"Por revisar",
IF(H629="","Sin registro","En programación Frcst."))),"En programación")))),
"Error")</f>
        <v>Por revisar</v>
      </c>
      <c r="Q629" s="9" t="str">
        <f t="shared" si="27"/>
        <v>programación de act. NO, estado: Facturando, Comercializador: ENEL, Etapa: Instalado y Activado</v>
      </c>
      <c r="R629" s="25" t="str">
        <f>IF(P629="En programación Frcst.",VLOOKUP(L629,Meses!$A$1:$H$14,3+HLOOKUP(Cronograma!J629,Meses!$D$1:$G$2,2,FALSE),FALSE),
IF(P629="En programación",M629,""))</f>
        <v/>
      </c>
      <c r="S629" s="25" t="str">
        <f t="shared" si="29"/>
        <v/>
      </c>
      <c r="T629" s="21" t="str">
        <f>IFERROR(
(VLOOKUP(MONTH(R629),Meses!$B$3:$C$14,2,FALSE)-DAY(R629))/VLOOKUP(MONTH(R629),Meses!$B$3:$C$14,2,FALSE)*U629,
"")</f>
        <v/>
      </c>
      <c r="U629" s="22">
        <f t="shared" si="28"/>
        <v>2439</v>
      </c>
    </row>
    <row r="630" spans="1:21" ht="32.4" hidden="1" thickBot="1" x14ac:dyDescent="0.6">
      <c r="A630" s="10" t="s">
        <v>803</v>
      </c>
      <c r="B630" s="10" t="s">
        <v>807</v>
      </c>
      <c r="C630" s="12">
        <v>45148</v>
      </c>
      <c r="D630" s="10" t="s">
        <v>14</v>
      </c>
      <c r="E630" s="10" t="s">
        <v>14</v>
      </c>
      <c r="F630" s="10">
        <v>464</v>
      </c>
      <c r="G630" s="10" t="s">
        <v>15</v>
      </c>
      <c r="H630" s="10" t="s">
        <v>17</v>
      </c>
      <c r="I630" s="10" t="s">
        <v>18</v>
      </c>
      <c r="J630" s="10" t="s">
        <v>19</v>
      </c>
      <c r="K630" s="10" t="s">
        <v>19</v>
      </c>
      <c r="L630" s="10" t="s">
        <v>19</v>
      </c>
      <c r="M630" s="12"/>
      <c r="N630" s="10" t="s">
        <v>20</v>
      </c>
      <c r="O630" s="10" t="s">
        <v>2054</v>
      </c>
      <c r="P630" s="25" t="str">
        <f>IFERROR(
IF(OR(O630="anulado",O630="stand by"),CONCATENATE(O630,": ",H630),
IF(OR(YEAR(M630)=2022,YEAR(M630)=2023),CONCATENATE("Se activó en ",YEAR(M630)),
IF(AND(OR(O630="En proceso",O630="facturando"),AND(J630="-",M630="")),"Por revisar",
IF(M630="",IF(J630="NUEVAS",CONCATENATE("Estado: ",O630,", ",J630),
IF(L630=Meses!$A$3,"Por revisar",
IF(H630="","Sin registro","En programación Frcst."))),"En programación")))),
"Error")</f>
        <v>Por revisar</v>
      </c>
      <c r="Q630" s="9" t="str">
        <f t="shared" si="27"/>
        <v>programación de act. NO, estado: Facturando, Comercializador: ENEL, Etapa: Instalado y Activado</v>
      </c>
      <c r="R630" s="25" t="str">
        <f>IF(P630="En programación Frcst.",VLOOKUP(L630,Meses!$A$1:$H$14,3+HLOOKUP(Cronograma!J630,Meses!$D$1:$G$2,2,FALSE),FALSE),
IF(P630="En programación",M630,""))</f>
        <v/>
      </c>
      <c r="S630" s="25" t="str">
        <f t="shared" si="29"/>
        <v/>
      </c>
      <c r="T630" s="21" t="str">
        <f>IFERROR(
(VLOOKUP(MONTH(R630),Meses!$B$3:$C$14,2,FALSE)-DAY(R630))/VLOOKUP(MONTH(R630),Meses!$B$3:$C$14,2,FALSE)*U630,
"")</f>
        <v/>
      </c>
      <c r="U630" s="22">
        <f t="shared" si="28"/>
        <v>464</v>
      </c>
    </row>
    <row r="631" spans="1:21" ht="32.4" hidden="1" thickBot="1" x14ac:dyDescent="0.6">
      <c r="A631" s="10" t="s">
        <v>803</v>
      </c>
      <c r="B631" s="10" t="s">
        <v>808</v>
      </c>
      <c r="C631" s="12">
        <v>45155</v>
      </c>
      <c r="D631" s="10" t="s">
        <v>14</v>
      </c>
      <c r="E631" s="10" t="s">
        <v>14</v>
      </c>
      <c r="F631" s="10">
        <v>1568</v>
      </c>
      <c r="G631" s="10" t="s">
        <v>15</v>
      </c>
      <c r="H631" s="10" t="s">
        <v>17</v>
      </c>
      <c r="I631" s="10" t="s">
        <v>18</v>
      </c>
      <c r="J631" s="10" t="s">
        <v>19</v>
      </c>
      <c r="K631" s="10" t="s">
        <v>19</v>
      </c>
      <c r="L631" s="10" t="s">
        <v>19</v>
      </c>
      <c r="M631" s="12"/>
      <c r="N631" s="10" t="s">
        <v>20</v>
      </c>
      <c r="O631" s="10" t="s">
        <v>2054</v>
      </c>
      <c r="P631" s="25" t="str">
        <f>IFERROR(
IF(OR(O631="anulado",O631="stand by"),CONCATENATE(O631,": ",H631),
IF(OR(YEAR(M631)=2022,YEAR(M631)=2023),CONCATENATE("Se activó en ",YEAR(M631)),
IF(AND(OR(O631="En proceso",O631="facturando"),AND(J631="-",M631="")),"Por revisar",
IF(M631="",IF(J631="NUEVAS",CONCATENATE("Estado: ",O631,", ",J631),
IF(L631=Meses!$A$3,"Por revisar",
IF(H631="","Sin registro","En programación Frcst."))),"En programación")))),
"Error")</f>
        <v>Por revisar</v>
      </c>
      <c r="Q631" s="9" t="str">
        <f t="shared" si="27"/>
        <v>programación de act. NO, estado: Facturando, Comercializador: ENEL, Etapa: Instalado y Activado</v>
      </c>
      <c r="R631" s="25" t="str">
        <f>IF(P631="En programación Frcst.",VLOOKUP(L631,Meses!$A$1:$H$14,3+HLOOKUP(Cronograma!J631,Meses!$D$1:$G$2,2,FALSE),FALSE),
IF(P631="En programación",M631,""))</f>
        <v/>
      </c>
      <c r="S631" s="25" t="str">
        <f t="shared" si="29"/>
        <v/>
      </c>
      <c r="T631" s="21" t="str">
        <f>IFERROR(
(VLOOKUP(MONTH(R631),Meses!$B$3:$C$14,2,FALSE)-DAY(R631))/VLOOKUP(MONTH(R631),Meses!$B$3:$C$14,2,FALSE)*U631,
"")</f>
        <v/>
      </c>
      <c r="U631" s="22">
        <f t="shared" si="28"/>
        <v>1568</v>
      </c>
    </row>
    <row r="632" spans="1:21" ht="32.4" hidden="1" thickBot="1" x14ac:dyDescent="0.6">
      <c r="A632" s="10" t="s">
        <v>803</v>
      </c>
      <c r="B632" s="10" t="s">
        <v>809</v>
      </c>
      <c r="C632" s="12">
        <v>45148</v>
      </c>
      <c r="D632" s="10" t="s">
        <v>14</v>
      </c>
      <c r="E632" s="10" t="s">
        <v>14</v>
      </c>
      <c r="F632" s="10">
        <v>2887</v>
      </c>
      <c r="G632" s="10" t="s">
        <v>15</v>
      </c>
      <c r="H632" s="10" t="s">
        <v>17</v>
      </c>
      <c r="I632" s="10" t="s">
        <v>18</v>
      </c>
      <c r="J632" s="10" t="s">
        <v>19</v>
      </c>
      <c r="K632" s="10" t="s">
        <v>19</v>
      </c>
      <c r="L632" s="10" t="s">
        <v>19</v>
      </c>
      <c r="M632" s="12"/>
      <c r="N632" s="10" t="s">
        <v>20</v>
      </c>
      <c r="O632" s="10" t="s">
        <v>2054</v>
      </c>
      <c r="P632" s="25" t="str">
        <f>IFERROR(
IF(OR(O632="anulado",O632="stand by"),CONCATENATE(O632,": ",H632),
IF(OR(YEAR(M632)=2022,YEAR(M632)=2023),CONCATENATE("Se activó en ",YEAR(M632)),
IF(AND(OR(O632="En proceso",O632="facturando"),AND(J632="-",M632="")),"Por revisar",
IF(M632="",IF(J632="NUEVAS",CONCATENATE("Estado: ",O632,", ",J632),
IF(L632=Meses!$A$3,"Por revisar",
IF(H632="","Sin registro","En programación Frcst."))),"En programación")))),
"Error")</f>
        <v>Por revisar</v>
      </c>
      <c r="Q632" s="9" t="str">
        <f t="shared" si="27"/>
        <v>programación de act. NO, estado: Facturando, Comercializador: ENEL, Etapa: Instalado y Activado</v>
      </c>
      <c r="R632" s="25" t="str">
        <f>IF(P632="En programación Frcst.",VLOOKUP(L632,Meses!$A$1:$H$14,3+HLOOKUP(Cronograma!J632,Meses!$D$1:$G$2,2,FALSE),FALSE),
IF(P632="En programación",M632,""))</f>
        <v/>
      </c>
      <c r="S632" s="25" t="str">
        <f t="shared" si="29"/>
        <v/>
      </c>
      <c r="T632" s="21" t="str">
        <f>IFERROR(
(VLOOKUP(MONTH(R632),Meses!$B$3:$C$14,2,FALSE)-DAY(R632))/VLOOKUP(MONTH(R632),Meses!$B$3:$C$14,2,FALSE)*U632,
"")</f>
        <v/>
      </c>
      <c r="U632" s="22">
        <f t="shared" si="28"/>
        <v>2887</v>
      </c>
    </row>
    <row r="633" spans="1:21" ht="32.4" hidden="1" thickBot="1" x14ac:dyDescent="0.6">
      <c r="A633" s="10" t="s">
        <v>803</v>
      </c>
      <c r="B633" s="10" t="s">
        <v>810</v>
      </c>
      <c r="C633" s="12">
        <v>45148</v>
      </c>
      <c r="D633" s="10" t="s">
        <v>14</v>
      </c>
      <c r="E633" s="10" t="s">
        <v>14</v>
      </c>
      <c r="F633" s="10">
        <v>2115</v>
      </c>
      <c r="G633" s="10" t="s">
        <v>15</v>
      </c>
      <c r="H633" s="10" t="s">
        <v>17</v>
      </c>
      <c r="I633" s="10" t="s">
        <v>18</v>
      </c>
      <c r="J633" s="10" t="s">
        <v>19</v>
      </c>
      <c r="K633" s="10" t="s">
        <v>19</v>
      </c>
      <c r="L633" s="10" t="s">
        <v>19</v>
      </c>
      <c r="M633" s="12"/>
      <c r="N633" s="10" t="s">
        <v>20</v>
      </c>
      <c r="O633" s="10" t="s">
        <v>2054</v>
      </c>
      <c r="P633" s="25" t="str">
        <f>IFERROR(
IF(OR(O633="anulado",O633="stand by"),CONCATENATE(O633,": ",H633),
IF(OR(YEAR(M633)=2022,YEAR(M633)=2023),CONCATENATE("Se activó en ",YEAR(M633)),
IF(AND(OR(O633="En proceso",O633="facturando"),AND(J633="-",M633="")),"Por revisar",
IF(M633="",IF(J633="NUEVAS",CONCATENATE("Estado: ",O633,", ",J633),
IF(L633=Meses!$A$3,"Por revisar",
IF(H633="","Sin registro","En programación Frcst."))),"En programación")))),
"Error")</f>
        <v>Por revisar</v>
      </c>
      <c r="Q633" s="9" t="str">
        <f t="shared" si="27"/>
        <v>programación de act. NO, estado: Facturando, Comercializador: ENEL, Etapa: Instalado y Activado</v>
      </c>
      <c r="R633" s="25" t="str">
        <f>IF(P633="En programación Frcst.",VLOOKUP(L633,Meses!$A$1:$H$14,3+HLOOKUP(Cronograma!J633,Meses!$D$1:$G$2,2,FALSE),FALSE),
IF(P633="En programación",M633,""))</f>
        <v/>
      </c>
      <c r="S633" s="25" t="str">
        <f t="shared" si="29"/>
        <v/>
      </c>
      <c r="T633" s="21" t="str">
        <f>IFERROR(
(VLOOKUP(MONTH(R633),Meses!$B$3:$C$14,2,FALSE)-DAY(R633))/VLOOKUP(MONTH(R633),Meses!$B$3:$C$14,2,FALSE)*U633,
"")</f>
        <v/>
      </c>
      <c r="U633" s="22">
        <f t="shared" si="28"/>
        <v>2115</v>
      </c>
    </row>
    <row r="634" spans="1:21" ht="32.4" hidden="1" thickBot="1" x14ac:dyDescent="0.6">
      <c r="A634" s="10" t="s">
        <v>803</v>
      </c>
      <c r="B634" s="10" t="s">
        <v>811</v>
      </c>
      <c r="C634" s="12">
        <v>45148</v>
      </c>
      <c r="D634" s="10" t="s">
        <v>14</v>
      </c>
      <c r="E634" s="10" t="s">
        <v>14</v>
      </c>
      <c r="F634" s="10">
        <v>716</v>
      </c>
      <c r="G634" s="10" t="s">
        <v>15</v>
      </c>
      <c r="H634" s="10" t="s">
        <v>17</v>
      </c>
      <c r="I634" s="10" t="s">
        <v>18</v>
      </c>
      <c r="J634" s="10" t="s">
        <v>19</v>
      </c>
      <c r="K634" s="10" t="s">
        <v>19</v>
      </c>
      <c r="L634" s="10" t="s">
        <v>19</v>
      </c>
      <c r="M634" s="12"/>
      <c r="N634" s="10" t="s">
        <v>20</v>
      </c>
      <c r="O634" s="10" t="s">
        <v>2054</v>
      </c>
      <c r="P634" s="25" t="str">
        <f>IFERROR(
IF(OR(O634="anulado",O634="stand by"),CONCATENATE(O634,": ",H634),
IF(OR(YEAR(M634)=2022,YEAR(M634)=2023),CONCATENATE("Se activó en ",YEAR(M634)),
IF(AND(OR(O634="En proceso",O634="facturando"),AND(J634="-",M634="")),"Por revisar",
IF(M634="",IF(J634="NUEVAS",CONCATENATE("Estado: ",O634,", ",J634),
IF(L634=Meses!$A$3,"Por revisar",
IF(H634="","Sin registro","En programación Frcst."))),"En programación")))),
"Error")</f>
        <v>Por revisar</v>
      </c>
      <c r="Q634" s="9" t="str">
        <f t="shared" si="27"/>
        <v>programación de act. NO, estado: Facturando, Comercializador: ENEL, Etapa: Instalado y Activado</v>
      </c>
      <c r="R634" s="25" t="str">
        <f>IF(P634="En programación Frcst.",VLOOKUP(L634,Meses!$A$1:$H$14,3+HLOOKUP(Cronograma!J634,Meses!$D$1:$G$2,2,FALSE),FALSE),
IF(P634="En programación",M634,""))</f>
        <v/>
      </c>
      <c r="S634" s="25" t="str">
        <f t="shared" si="29"/>
        <v/>
      </c>
      <c r="T634" s="21" t="str">
        <f>IFERROR(
(VLOOKUP(MONTH(R634),Meses!$B$3:$C$14,2,FALSE)-DAY(R634))/VLOOKUP(MONTH(R634),Meses!$B$3:$C$14,2,FALSE)*U634,
"")</f>
        <v/>
      </c>
      <c r="U634" s="22">
        <f t="shared" si="28"/>
        <v>716</v>
      </c>
    </row>
    <row r="635" spans="1:21" ht="32.4" hidden="1" thickBot="1" x14ac:dyDescent="0.6">
      <c r="A635" s="10" t="s">
        <v>803</v>
      </c>
      <c r="B635" s="10" t="s">
        <v>812</v>
      </c>
      <c r="C635" s="12">
        <v>45148</v>
      </c>
      <c r="D635" s="10" t="s">
        <v>14</v>
      </c>
      <c r="E635" s="10" t="s">
        <v>14</v>
      </c>
      <c r="F635" s="10">
        <v>1865</v>
      </c>
      <c r="G635" s="10" t="s">
        <v>15</v>
      </c>
      <c r="H635" s="10" t="s">
        <v>17</v>
      </c>
      <c r="I635" s="10" t="s">
        <v>18</v>
      </c>
      <c r="J635" s="10" t="s">
        <v>19</v>
      </c>
      <c r="K635" s="10" t="s">
        <v>19</v>
      </c>
      <c r="L635" s="10" t="s">
        <v>19</v>
      </c>
      <c r="M635" s="12"/>
      <c r="N635" s="10" t="s">
        <v>20</v>
      </c>
      <c r="O635" s="10" t="s">
        <v>2054</v>
      </c>
      <c r="P635" s="25" t="str">
        <f>IFERROR(
IF(OR(O635="anulado",O635="stand by"),CONCATENATE(O635,": ",H635),
IF(OR(YEAR(M635)=2022,YEAR(M635)=2023),CONCATENATE("Se activó en ",YEAR(M635)),
IF(AND(OR(O635="En proceso",O635="facturando"),AND(J635="-",M635="")),"Por revisar",
IF(M635="",IF(J635="NUEVAS",CONCATENATE("Estado: ",O635,", ",J635),
IF(L635=Meses!$A$3,"Por revisar",
IF(H635="","Sin registro","En programación Frcst."))),"En programación")))),
"Error")</f>
        <v>Por revisar</v>
      </c>
      <c r="Q635" s="9" t="str">
        <f t="shared" si="27"/>
        <v>programación de act. NO, estado: Facturando, Comercializador: ENEL, Etapa: Instalado y Activado</v>
      </c>
      <c r="R635" s="25" t="str">
        <f>IF(P635="En programación Frcst.",VLOOKUP(L635,Meses!$A$1:$H$14,3+HLOOKUP(Cronograma!J635,Meses!$D$1:$G$2,2,FALSE),FALSE),
IF(P635="En programación",M635,""))</f>
        <v/>
      </c>
      <c r="S635" s="25" t="str">
        <f t="shared" si="29"/>
        <v/>
      </c>
      <c r="T635" s="21" t="str">
        <f>IFERROR(
(VLOOKUP(MONTH(R635),Meses!$B$3:$C$14,2,FALSE)-DAY(R635))/VLOOKUP(MONTH(R635),Meses!$B$3:$C$14,2,FALSE)*U635,
"")</f>
        <v/>
      </c>
      <c r="U635" s="22">
        <f t="shared" si="28"/>
        <v>1865</v>
      </c>
    </row>
    <row r="636" spans="1:21" ht="32.4" hidden="1" thickBot="1" x14ac:dyDescent="0.6">
      <c r="A636" s="10" t="s">
        <v>803</v>
      </c>
      <c r="B636" s="10" t="s">
        <v>813</v>
      </c>
      <c r="C636" s="12">
        <v>45148</v>
      </c>
      <c r="D636" s="10" t="s">
        <v>14</v>
      </c>
      <c r="E636" s="10" t="s">
        <v>14</v>
      </c>
      <c r="F636" s="10">
        <v>232</v>
      </c>
      <c r="G636" s="10" t="s">
        <v>15</v>
      </c>
      <c r="H636" s="10" t="s">
        <v>17</v>
      </c>
      <c r="I636" s="10" t="s">
        <v>18</v>
      </c>
      <c r="J636" s="10" t="s">
        <v>19</v>
      </c>
      <c r="K636" s="10" t="s">
        <v>19</v>
      </c>
      <c r="L636" s="10" t="s">
        <v>19</v>
      </c>
      <c r="M636" s="12"/>
      <c r="N636" s="10" t="s">
        <v>20</v>
      </c>
      <c r="O636" s="10" t="s">
        <v>2054</v>
      </c>
      <c r="P636" s="25" t="str">
        <f>IFERROR(
IF(OR(O636="anulado",O636="stand by"),CONCATENATE(O636,": ",H636),
IF(OR(YEAR(M636)=2022,YEAR(M636)=2023),CONCATENATE("Se activó en ",YEAR(M636)),
IF(AND(OR(O636="En proceso",O636="facturando"),AND(J636="-",M636="")),"Por revisar",
IF(M636="",IF(J636="NUEVAS",CONCATENATE("Estado: ",O636,", ",J636),
IF(L636=Meses!$A$3,"Por revisar",
IF(H636="","Sin registro","En programación Frcst."))),"En programación")))),
"Error")</f>
        <v>Por revisar</v>
      </c>
      <c r="Q636" s="9" t="str">
        <f t="shared" si="27"/>
        <v>programación de act. NO, estado: Facturando, Comercializador: ENEL, Etapa: Instalado y Activado</v>
      </c>
      <c r="R636" s="25" t="str">
        <f>IF(P636="En programación Frcst.",VLOOKUP(L636,Meses!$A$1:$H$14,3+HLOOKUP(Cronograma!J636,Meses!$D$1:$G$2,2,FALSE),FALSE),
IF(P636="En programación",M636,""))</f>
        <v/>
      </c>
      <c r="S636" s="25" t="str">
        <f t="shared" si="29"/>
        <v/>
      </c>
      <c r="T636" s="21" t="str">
        <f>IFERROR(
(VLOOKUP(MONTH(R636),Meses!$B$3:$C$14,2,FALSE)-DAY(R636))/VLOOKUP(MONTH(R636),Meses!$B$3:$C$14,2,FALSE)*U636,
"")</f>
        <v/>
      </c>
      <c r="U636" s="22">
        <f t="shared" si="28"/>
        <v>232</v>
      </c>
    </row>
    <row r="637" spans="1:21" ht="32.4" hidden="1" thickBot="1" x14ac:dyDescent="0.6">
      <c r="A637" s="10" t="s">
        <v>803</v>
      </c>
      <c r="B637" s="10" t="s">
        <v>814</v>
      </c>
      <c r="C637" s="12">
        <v>45155</v>
      </c>
      <c r="D637" s="10" t="s">
        <v>14</v>
      </c>
      <c r="E637" s="10" t="s">
        <v>14</v>
      </c>
      <c r="F637" s="10">
        <v>1992</v>
      </c>
      <c r="G637" s="10" t="s">
        <v>15</v>
      </c>
      <c r="H637" s="10" t="s">
        <v>17</v>
      </c>
      <c r="I637" s="10" t="s">
        <v>18</v>
      </c>
      <c r="J637" s="10" t="s">
        <v>19</v>
      </c>
      <c r="K637" s="10" t="s">
        <v>19</v>
      </c>
      <c r="L637" s="10" t="s">
        <v>19</v>
      </c>
      <c r="M637" s="12"/>
      <c r="N637" s="10" t="s">
        <v>20</v>
      </c>
      <c r="O637" s="10" t="s">
        <v>2054</v>
      </c>
      <c r="P637" s="25" t="str">
        <f>IFERROR(
IF(OR(O637="anulado",O637="stand by"),CONCATENATE(O637,": ",H637),
IF(OR(YEAR(M637)=2022,YEAR(M637)=2023),CONCATENATE("Se activó en ",YEAR(M637)),
IF(AND(OR(O637="En proceso",O637="facturando"),AND(J637="-",M637="")),"Por revisar",
IF(M637="",IF(J637="NUEVAS",CONCATENATE("Estado: ",O637,", ",J637),
IF(L637=Meses!$A$3,"Por revisar",
IF(H637="","Sin registro","En programación Frcst."))),"En programación")))),
"Error")</f>
        <v>Por revisar</v>
      </c>
      <c r="Q637" s="9" t="str">
        <f t="shared" si="27"/>
        <v>programación de act. NO, estado: Facturando, Comercializador: ENEL, Etapa: Instalado y Activado</v>
      </c>
      <c r="R637" s="25" t="str">
        <f>IF(P637="En programación Frcst.",VLOOKUP(L637,Meses!$A$1:$H$14,3+HLOOKUP(Cronograma!J637,Meses!$D$1:$G$2,2,FALSE),FALSE),
IF(P637="En programación",M637,""))</f>
        <v/>
      </c>
      <c r="S637" s="25" t="str">
        <f t="shared" si="29"/>
        <v/>
      </c>
      <c r="T637" s="21" t="str">
        <f>IFERROR(
(VLOOKUP(MONTH(R637),Meses!$B$3:$C$14,2,FALSE)-DAY(R637))/VLOOKUP(MONTH(R637),Meses!$B$3:$C$14,2,FALSE)*U637,
"")</f>
        <v/>
      </c>
      <c r="U637" s="22">
        <f t="shared" si="28"/>
        <v>1992</v>
      </c>
    </row>
    <row r="638" spans="1:21" ht="32.4" hidden="1" thickBot="1" x14ac:dyDescent="0.6">
      <c r="A638" s="10" t="s">
        <v>803</v>
      </c>
      <c r="B638" s="10" t="s">
        <v>815</v>
      </c>
      <c r="C638" s="12">
        <v>45148</v>
      </c>
      <c r="D638" s="10" t="s">
        <v>14</v>
      </c>
      <c r="E638" s="10" t="s">
        <v>14</v>
      </c>
      <c r="F638" s="10">
        <v>5939</v>
      </c>
      <c r="G638" s="10" t="s">
        <v>15</v>
      </c>
      <c r="H638" s="10" t="s">
        <v>17</v>
      </c>
      <c r="I638" s="10" t="s">
        <v>18</v>
      </c>
      <c r="J638" s="10" t="s">
        <v>19</v>
      </c>
      <c r="K638" s="10" t="s">
        <v>19</v>
      </c>
      <c r="L638" s="10" t="s">
        <v>19</v>
      </c>
      <c r="M638" s="12"/>
      <c r="N638" s="10" t="s">
        <v>20</v>
      </c>
      <c r="O638" s="10" t="s">
        <v>2054</v>
      </c>
      <c r="P638" s="25" t="str">
        <f>IFERROR(
IF(OR(O638="anulado",O638="stand by"),CONCATENATE(O638,": ",H638),
IF(OR(YEAR(M638)=2022,YEAR(M638)=2023),CONCATENATE("Se activó en ",YEAR(M638)),
IF(AND(OR(O638="En proceso",O638="facturando"),AND(J638="-",M638="")),"Por revisar",
IF(M638="",IF(J638="NUEVAS",CONCATENATE("Estado: ",O638,", ",J638),
IF(L638=Meses!$A$3,"Por revisar",
IF(H638="","Sin registro","En programación Frcst."))),"En programación")))),
"Error")</f>
        <v>Por revisar</v>
      </c>
      <c r="Q638" s="9" t="str">
        <f t="shared" si="27"/>
        <v>programación de act. NO, estado: Facturando, Comercializador: ENEL, Etapa: Instalado y Activado</v>
      </c>
      <c r="R638" s="25" t="str">
        <f>IF(P638="En programación Frcst.",VLOOKUP(L638,Meses!$A$1:$H$14,3+HLOOKUP(Cronograma!J638,Meses!$D$1:$G$2,2,FALSE),FALSE),
IF(P638="En programación",M638,""))</f>
        <v/>
      </c>
      <c r="S638" s="25" t="str">
        <f t="shared" si="29"/>
        <v/>
      </c>
      <c r="T638" s="21" t="str">
        <f>IFERROR(
(VLOOKUP(MONTH(R638),Meses!$B$3:$C$14,2,FALSE)-DAY(R638))/VLOOKUP(MONTH(R638),Meses!$B$3:$C$14,2,FALSE)*U638,
"")</f>
        <v/>
      </c>
      <c r="U638" s="22">
        <f t="shared" si="28"/>
        <v>5939</v>
      </c>
    </row>
    <row r="639" spans="1:21" ht="31.8" hidden="1" thickBot="1" x14ac:dyDescent="0.6">
      <c r="A639" s="10" t="s">
        <v>803</v>
      </c>
      <c r="B639" s="10" t="s">
        <v>816</v>
      </c>
      <c r="C639" s="12"/>
      <c r="D639" s="10" t="s">
        <v>14</v>
      </c>
      <c r="E639" s="10" t="s">
        <v>14</v>
      </c>
      <c r="F639" s="10">
        <v>2907</v>
      </c>
      <c r="G639" s="10" t="s">
        <v>15</v>
      </c>
      <c r="H639" s="10" t="s">
        <v>140</v>
      </c>
      <c r="I639" s="10" t="s">
        <v>18</v>
      </c>
      <c r="J639" s="10" t="s">
        <v>292</v>
      </c>
      <c r="K639" s="10" t="s">
        <v>1697</v>
      </c>
      <c r="L639" s="10" t="s">
        <v>1120</v>
      </c>
      <c r="M639" s="12">
        <v>45379</v>
      </c>
      <c r="N639" s="10" t="s">
        <v>15</v>
      </c>
      <c r="O639" s="10" t="s">
        <v>2056</v>
      </c>
      <c r="P639" s="25" t="str">
        <f>IFERROR(
IF(OR(O639="anulado",O639="stand by"),CONCATENATE(O639,": ",H639),
IF(OR(YEAR(M639)=2022,YEAR(M639)=2023),CONCATENATE("Se activó en ",YEAR(M639)),
IF(AND(OR(O639="En proceso",O639="facturando"),AND(J639="-",M639="")),"Por revisar",
IF(M639="",IF(J639="NUEVAS",CONCATENATE("Estado: ",O639,", ",J639),
IF(L639=Meses!$A$3,"Por revisar",
IF(H639="","Sin registro","En programación Frcst."))),"En programación")))),
"Error")</f>
        <v>anulado: Desistido</v>
      </c>
      <c r="Q639" s="9" t="str">
        <f t="shared" si="27"/>
        <v/>
      </c>
      <c r="R639" s="25" t="str">
        <f>IF(P639="En programación Frcst.",VLOOKUP(L639,Meses!$A$1:$H$14,3+HLOOKUP(Cronograma!J639,Meses!$D$1:$G$2,2,FALSE),FALSE),
IF(P639="En programación",M639,""))</f>
        <v/>
      </c>
      <c r="S639" s="25" t="str">
        <f t="shared" si="29"/>
        <v/>
      </c>
      <c r="T639" s="21" t="str">
        <f>IFERROR(
(VLOOKUP(MONTH(R639),Meses!$B$3:$C$14,2,FALSE)-DAY(R639))/VLOOKUP(MONTH(R639),Meses!$B$3:$C$14,2,FALSE)*U639,
"")</f>
        <v/>
      </c>
      <c r="U639" s="22">
        <f t="shared" si="28"/>
        <v>2907</v>
      </c>
    </row>
    <row r="640" spans="1:21" ht="32.4" hidden="1" thickBot="1" x14ac:dyDescent="0.6">
      <c r="A640" s="10" t="s">
        <v>803</v>
      </c>
      <c r="B640" s="10" t="s">
        <v>817</v>
      </c>
      <c r="C640" s="12">
        <v>45148</v>
      </c>
      <c r="D640" s="10" t="s">
        <v>14</v>
      </c>
      <c r="E640" s="10" t="s">
        <v>14</v>
      </c>
      <c r="F640" s="10">
        <v>1283</v>
      </c>
      <c r="G640" s="10" t="s">
        <v>15</v>
      </c>
      <c r="H640" s="10" t="s">
        <v>17</v>
      </c>
      <c r="I640" s="10" t="s">
        <v>18</v>
      </c>
      <c r="J640" s="10" t="s">
        <v>19</v>
      </c>
      <c r="K640" s="10" t="s">
        <v>19</v>
      </c>
      <c r="L640" s="10" t="s">
        <v>19</v>
      </c>
      <c r="M640" s="12"/>
      <c r="N640" s="10" t="s">
        <v>20</v>
      </c>
      <c r="O640" s="10" t="s">
        <v>2054</v>
      </c>
      <c r="P640" s="25" t="str">
        <f>IFERROR(
IF(OR(O640="anulado",O640="stand by"),CONCATENATE(O640,": ",H640),
IF(OR(YEAR(M640)=2022,YEAR(M640)=2023),CONCATENATE("Se activó en ",YEAR(M640)),
IF(AND(OR(O640="En proceso",O640="facturando"),AND(J640="-",M640="")),"Por revisar",
IF(M640="",IF(J640="NUEVAS",CONCATENATE("Estado: ",O640,", ",J640),
IF(L640=Meses!$A$3,"Por revisar",
IF(H640="","Sin registro","En programación Frcst."))),"En programación")))),
"Error")</f>
        <v>Por revisar</v>
      </c>
      <c r="Q640" s="9" t="str">
        <f t="shared" si="27"/>
        <v>programación de act. NO, estado: Facturando, Comercializador: ENEL, Etapa: Instalado y Activado</v>
      </c>
      <c r="R640" s="25" t="str">
        <f>IF(P640="En programación Frcst.",VLOOKUP(L640,Meses!$A$1:$H$14,3+HLOOKUP(Cronograma!J640,Meses!$D$1:$G$2,2,FALSE),FALSE),
IF(P640="En programación",M640,""))</f>
        <v/>
      </c>
      <c r="S640" s="25" t="str">
        <f t="shared" si="29"/>
        <v/>
      </c>
      <c r="T640" s="21" t="str">
        <f>IFERROR(
(VLOOKUP(MONTH(R640),Meses!$B$3:$C$14,2,FALSE)-DAY(R640))/VLOOKUP(MONTH(R640),Meses!$B$3:$C$14,2,FALSE)*U640,
"")</f>
        <v/>
      </c>
      <c r="U640" s="22">
        <f t="shared" si="28"/>
        <v>1283</v>
      </c>
    </row>
    <row r="641" spans="1:21" ht="32.4" hidden="1" thickBot="1" x14ac:dyDescent="0.6">
      <c r="A641" s="10" t="s">
        <v>818</v>
      </c>
      <c r="B641" s="10" t="s">
        <v>819</v>
      </c>
      <c r="C641" s="12">
        <v>45148</v>
      </c>
      <c r="D641" s="10" t="s">
        <v>657</v>
      </c>
      <c r="E641" s="10" t="s">
        <v>657</v>
      </c>
      <c r="F641" s="10">
        <v>1722</v>
      </c>
      <c r="G641" s="10" t="s">
        <v>15</v>
      </c>
      <c r="H641" s="10" t="s">
        <v>17</v>
      </c>
      <c r="I641" s="10" t="s">
        <v>18</v>
      </c>
      <c r="J641" s="10" t="s">
        <v>19</v>
      </c>
      <c r="K641" s="10" t="s">
        <v>19</v>
      </c>
      <c r="L641" s="10" t="s">
        <v>19</v>
      </c>
      <c r="M641" s="12"/>
      <c r="N641" s="10" t="s">
        <v>20</v>
      </c>
      <c r="O641" s="10" t="s">
        <v>2054</v>
      </c>
      <c r="P641" s="25" t="str">
        <f>IFERROR(
IF(OR(O641="anulado",O641="stand by"),CONCATENATE(O641,": ",H641),
IF(OR(YEAR(M641)=2022,YEAR(M641)=2023),CONCATENATE("Se activó en ",YEAR(M641)),
IF(AND(OR(O641="En proceso",O641="facturando"),AND(J641="-",M641="")),"Por revisar",
IF(M641="",IF(J641="NUEVAS",CONCATENATE("Estado: ",O641,", ",J641),
IF(L641=Meses!$A$3,"Por revisar",
IF(H641="","Sin registro","En programación Frcst."))),"En programación")))),
"Error")</f>
        <v>Por revisar</v>
      </c>
      <c r="Q641" s="9" t="str">
        <f t="shared" si="27"/>
        <v>programación de act. NO, estado: Facturando, Comercializador: EDEQ, Etapa: Instalado y Activado</v>
      </c>
      <c r="R641" s="25" t="str">
        <f>IF(P641="En programación Frcst.",VLOOKUP(L641,Meses!$A$1:$H$14,3+HLOOKUP(Cronograma!J641,Meses!$D$1:$G$2,2,FALSE),FALSE),
IF(P641="En programación",M641,""))</f>
        <v/>
      </c>
      <c r="S641" s="25" t="str">
        <f t="shared" si="29"/>
        <v/>
      </c>
      <c r="T641" s="21" t="str">
        <f>IFERROR(
(VLOOKUP(MONTH(R641),Meses!$B$3:$C$14,2,FALSE)-DAY(R641))/VLOOKUP(MONTH(R641),Meses!$B$3:$C$14,2,FALSE)*U641,
"")</f>
        <v/>
      </c>
      <c r="U641" s="22">
        <f t="shared" si="28"/>
        <v>1722</v>
      </c>
    </row>
    <row r="642" spans="1:21" ht="31.8" hidden="1" thickBot="1" x14ac:dyDescent="0.6">
      <c r="A642" s="10" t="s">
        <v>820</v>
      </c>
      <c r="B642" s="10" t="s">
        <v>821</v>
      </c>
      <c r="C642" s="12"/>
      <c r="D642" s="10" t="s">
        <v>156</v>
      </c>
      <c r="E642" s="10" t="s">
        <v>156</v>
      </c>
      <c r="F642" s="10">
        <v>11000</v>
      </c>
      <c r="G642" s="10" t="s">
        <v>15</v>
      </c>
      <c r="H642" s="10" t="s">
        <v>2921</v>
      </c>
      <c r="I642" s="10" t="s">
        <v>43</v>
      </c>
      <c r="J642" s="10" t="s">
        <v>292</v>
      </c>
      <c r="K642" s="10" t="s">
        <v>1697</v>
      </c>
      <c r="L642" s="10" t="s">
        <v>1120</v>
      </c>
      <c r="M642" s="12">
        <v>45379</v>
      </c>
      <c r="N642" s="10" t="s">
        <v>15</v>
      </c>
      <c r="O642" s="10" t="s">
        <v>2057</v>
      </c>
      <c r="P642" s="25" t="str">
        <f>IFERROR(
IF(OR(O642="anulado",O642="stand by"),CONCATENATE(O642,": ",H642),
IF(OR(YEAR(M642)=2022,YEAR(M642)=2023),CONCATENATE("Se activó en ",YEAR(M642)),
IF(AND(OR(O642="En proceso",O642="facturando"),AND(J642="-",M642="")),"Por revisar",
IF(M642="",IF(J642="NUEVAS",CONCATENATE("Estado: ",O642,", ",J642),
IF(L642=Meses!$A$3,"Por revisar",
IF(H642="","Sin registro","En programación Frcst."))),"En programación")))),
"Error")</f>
        <v>En programación</v>
      </c>
      <c r="Q642" s="9" t="str">
        <f t="shared" ref="Q642:Q705" si="30">IF(P642="Por revisar",CONCATENATE("programación de act. ",N642,", estado: ",O642,", Comercializador: ",D642,", Etapa: ",H642),"")</f>
        <v/>
      </c>
      <c r="R642" s="25">
        <f>IF(P642="En programación Frcst.",VLOOKUP(L642,Meses!$A$1:$H$14,3+HLOOKUP(Cronograma!J642,Meses!$D$1:$G$2,2,FALSE),FALSE),
IF(P642="En programación",M642,""))</f>
        <v>45379</v>
      </c>
      <c r="S642" s="25" t="str">
        <f t="shared" si="29"/>
        <v>2024/3</v>
      </c>
      <c r="T642" s="21">
        <f>IFERROR(
(VLOOKUP(MONTH(R642),Meses!$B$3:$C$14,2,FALSE)-DAY(R642))/VLOOKUP(MONTH(R642),Meses!$B$3:$C$14,2,FALSE)*U642,
"")</f>
        <v>1064.516129032258</v>
      </c>
      <c r="U642" s="22">
        <f t="shared" ref="U642:U705" si="31">F642</f>
        <v>11000</v>
      </c>
    </row>
    <row r="643" spans="1:21" ht="31.8" hidden="1" thickBot="1" x14ac:dyDescent="0.6">
      <c r="A643" s="10" t="s">
        <v>820</v>
      </c>
      <c r="B643" s="10" t="s">
        <v>822</v>
      </c>
      <c r="C643" s="12"/>
      <c r="D643" s="10" t="s">
        <v>41</v>
      </c>
      <c r="E643" s="10" t="s">
        <v>41</v>
      </c>
      <c r="F643" s="10">
        <v>6800</v>
      </c>
      <c r="G643" s="10" t="s">
        <v>15</v>
      </c>
      <c r="H643" s="10" t="s">
        <v>2917</v>
      </c>
      <c r="I643" s="10" t="s">
        <v>43</v>
      </c>
      <c r="J643" s="10" t="s">
        <v>143</v>
      </c>
      <c r="K643" s="10" t="s">
        <v>2895</v>
      </c>
      <c r="L643" s="10" t="s">
        <v>2292</v>
      </c>
      <c r="M643" s="12">
        <v>45400</v>
      </c>
      <c r="N643" s="10" t="s">
        <v>15</v>
      </c>
      <c r="O643" s="10" t="s">
        <v>2057</v>
      </c>
      <c r="P643" s="25" t="str">
        <f>IFERROR(
IF(OR(O643="anulado",O643="stand by"),CONCATENATE(O643,": ",H643),
IF(OR(YEAR(M643)=2022,YEAR(M643)=2023),CONCATENATE("Se activó en ",YEAR(M643)),
IF(AND(OR(O643="En proceso",O643="facturando"),AND(J643="-",M643="")),"Por revisar",
IF(M643="",IF(J643="NUEVAS",CONCATENATE("Estado: ",O643,", ",J643),
IF(L643=Meses!$A$3,"Por revisar",
IF(H643="","Sin registro","En programación Frcst."))),"En programación")))),
"Error")</f>
        <v>En programación</v>
      </c>
      <c r="Q643" s="9" t="str">
        <f t="shared" si="30"/>
        <v/>
      </c>
      <c r="R643" s="25">
        <f>IF(P643="En programación Frcst.",VLOOKUP(L643,Meses!$A$1:$H$14,3+HLOOKUP(Cronograma!J643,Meses!$D$1:$G$2,2,FALSE),FALSE),
IF(P643="En programación",M643,""))</f>
        <v>45400</v>
      </c>
      <c r="S643" s="25" t="str">
        <f t="shared" ref="S643:S706" si="32">IFERROR(CONCATENATE(YEAR(R643),"/",MONTH(R643)),"")</f>
        <v>2024/4</v>
      </c>
      <c r="T643" s="21">
        <f>IFERROR(
(VLOOKUP(MONTH(R643),Meses!$B$3:$C$14,2,FALSE)-DAY(R643))/VLOOKUP(MONTH(R643),Meses!$B$3:$C$14,2,FALSE)*U643,
"")</f>
        <v>2720</v>
      </c>
      <c r="U643" s="22">
        <f t="shared" si="31"/>
        <v>6800</v>
      </c>
    </row>
    <row r="644" spans="1:21" ht="31.8" hidden="1" thickBot="1" x14ac:dyDescent="0.6">
      <c r="A644" s="10" t="s">
        <v>820</v>
      </c>
      <c r="B644" s="10" t="s">
        <v>823</v>
      </c>
      <c r="C644" s="12"/>
      <c r="D644" s="10" t="s">
        <v>41</v>
      </c>
      <c r="E644" s="10" t="s">
        <v>41</v>
      </c>
      <c r="F644" s="10">
        <v>8300</v>
      </c>
      <c r="G644" s="10" t="s">
        <v>15</v>
      </c>
      <c r="H644" s="10" t="s">
        <v>2921</v>
      </c>
      <c r="I644" s="10" t="s">
        <v>43</v>
      </c>
      <c r="J644" s="10" t="s">
        <v>143</v>
      </c>
      <c r="K644" s="10" t="s">
        <v>1697</v>
      </c>
      <c r="L644" s="10" t="s">
        <v>1120</v>
      </c>
      <c r="M644" s="12">
        <v>45365</v>
      </c>
      <c r="N644" s="10" t="s">
        <v>15</v>
      </c>
      <c r="O644" s="10" t="s">
        <v>2057</v>
      </c>
      <c r="P644" s="25" t="str">
        <f>IFERROR(
IF(OR(O644="anulado",O644="stand by"),CONCATENATE(O644,": ",H644),
IF(OR(YEAR(M644)=2022,YEAR(M644)=2023),CONCATENATE("Se activó en ",YEAR(M644)),
IF(AND(OR(O644="En proceso",O644="facturando"),AND(J644="-",M644="")),"Por revisar",
IF(M644="",IF(J644="NUEVAS",CONCATENATE("Estado: ",O644,", ",J644),
IF(L644=Meses!$A$3,"Por revisar",
IF(H644="","Sin registro","En programación Frcst."))),"En programación")))),
"Error")</f>
        <v>En programación</v>
      </c>
      <c r="Q644" s="9" t="str">
        <f t="shared" si="30"/>
        <v/>
      </c>
      <c r="R644" s="25">
        <f>IF(P644="En programación Frcst.",VLOOKUP(L644,Meses!$A$1:$H$14,3+HLOOKUP(Cronograma!J644,Meses!$D$1:$G$2,2,FALSE),FALSE),
IF(P644="En programación",M644,""))</f>
        <v>45365</v>
      </c>
      <c r="S644" s="25" t="str">
        <f t="shared" si="32"/>
        <v>2024/3</v>
      </c>
      <c r="T644" s="21">
        <f>IFERROR(
(VLOOKUP(MONTH(R644),Meses!$B$3:$C$14,2,FALSE)-DAY(R644))/VLOOKUP(MONTH(R644),Meses!$B$3:$C$14,2,FALSE)*U644,
"")</f>
        <v>4551.6129032258059</v>
      </c>
      <c r="U644" s="22">
        <f t="shared" si="31"/>
        <v>8300</v>
      </c>
    </row>
    <row r="645" spans="1:21" ht="31.8" hidden="1" thickBot="1" x14ac:dyDescent="0.6">
      <c r="A645" s="10" t="s">
        <v>820</v>
      </c>
      <c r="B645" s="10" t="s">
        <v>824</v>
      </c>
      <c r="C645" s="12"/>
      <c r="D645" s="10" t="s">
        <v>41</v>
      </c>
      <c r="E645" s="10" t="s">
        <v>41</v>
      </c>
      <c r="F645" s="10">
        <v>10000</v>
      </c>
      <c r="G645" s="10" t="s">
        <v>15</v>
      </c>
      <c r="H645" s="10" t="s">
        <v>2916</v>
      </c>
      <c r="I645" s="10" t="s">
        <v>43</v>
      </c>
      <c r="J645" s="10" t="s">
        <v>143</v>
      </c>
      <c r="K645" s="10" t="s">
        <v>2895</v>
      </c>
      <c r="L645" s="10" t="s">
        <v>2292</v>
      </c>
      <c r="M645" s="12">
        <v>45400</v>
      </c>
      <c r="N645" s="10" t="s">
        <v>15</v>
      </c>
      <c r="O645" s="10" t="s">
        <v>2057</v>
      </c>
      <c r="P645" s="25" t="str">
        <f>IFERROR(
IF(OR(O645="anulado",O645="stand by"),CONCATENATE(O645,": ",H645),
IF(OR(YEAR(M645)=2022,YEAR(M645)=2023),CONCATENATE("Se activó en ",YEAR(M645)),
IF(AND(OR(O645="En proceso",O645="facturando"),AND(J645="-",M645="")),"Por revisar",
IF(M645="",IF(J645="NUEVAS",CONCATENATE("Estado: ",O645,", ",J645),
IF(L645=Meses!$A$3,"Por revisar",
IF(H645="","Sin registro","En programación Frcst."))),"En programación")))),
"Error")</f>
        <v>En programación</v>
      </c>
      <c r="Q645" s="9" t="str">
        <f t="shared" si="30"/>
        <v/>
      </c>
      <c r="R645" s="25">
        <f>IF(P645="En programación Frcst.",VLOOKUP(L645,Meses!$A$1:$H$14,3+HLOOKUP(Cronograma!J645,Meses!$D$1:$G$2,2,FALSE),FALSE),
IF(P645="En programación",M645,""))</f>
        <v>45400</v>
      </c>
      <c r="S645" s="25" t="str">
        <f t="shared" si="32"/>
        <v>2024/4</v>
      </c>
      <c r="T645" s="21">
        <f>IFERROR(
(VLOOKUP(MONTH(R645),Meses!$B$3:$C$14,2,FALSE)-DAY(R645))/VLOOKUP(MONTH(R645),Meses!$B$3:$C$14,2,FALSE)*U645,
"")</f>
        <v>4000</v>
      </c>
      <c r="U645" s="22">
        <f t="shared" si="31"/>
        <v>10000</v>
      </c>
    </row>
    <row r="646" spans="1:21" ht="31.8" hidden="1" thickBot="1" x14ac:dyDescent="0.6">
      <c r="A646" s="10" t="s">
        <v>820</v>
      </c>
      <c r="B646" s="10" t="s">
        <v>825</v>
      </c>
      <c r="C646" s="12">
        <v>45113</v>
      </c>
      <c r="D646" s="10" t="s">
        <v>65</v>
      </c>
      <c r="E646" s="10" t="s">
        <v>41</v>
      </c>
      <c r="F646" s="10">
        <v>8500</v>
      </c>
      <c r="G646" s="10" t="s">
        <v>15</v>
      </c>
      <c r="H646" s="10" t="s">
        <v>2406</v>
      </c>
      <c r="I646" s="10" t="s">
        <v>66</v>
      </c>
      <c r="J646" s="10" t="s">
        <v>282</v>
      </c>
      <c r="K646" s="10" t="s">
        <v>2898</v>
      </c>
      <c r="L646" s="10" t="s">
        <v>2295</v>
      </c>
      <c r="M646" s="12"/>
      <c r="N646" s="10" t="s">
        <v>20</v>
      </c>
      <c r="O646" s="10" t="s">
        <v>2054</v>
      </c>
      <c r="P646" s="25" t="str">
        <f>IFERROR(
IF(OR(O646="anulado",O646="stand by"),CONCATENATE(O646,": ",H646),
IF(OR(YEAR(M646)=2022,YEAR(M646)=2023),CONCATENATE("Se activó en ",YEAR(M646)),
IF(AND(OR(O646="En proceso",O646="facturando"),AND(J646="-",M646="")),"Por revisar",
IF(M646="",IF(J646="NUEVAS",CONCATENATE("Estado: ",O646,", ",J646),
IF(L646=Meses!$A$3,"Por revisar",
IF(H646="","Sin registro","En programación Frcst."))),"En programación")))),
"Error")</f>
        <v>En programación Frcst.</v>
      </c>
      <c r="Q646" s="9" t="str">
        <f t="shared" si="30"/>
        <v/>
      </c>
      <c r="R646" s="25">
        <f>IF(P646="En programación Frcst.",VLOOKUP(L646,Meses!$A$1:$H$14,3+HLOOKUP(Cronograma!J646,Meses!$D$1:$G$2,2,FALSE),FALSE),
IF(P646="En programación",M646,""))</f>
        <v>0</v>
      </c>
      <c r="S646" s="25" t="str">
        <f t="shared" si="32"/>
        <v>1900/1</v>
      </c>
      <c r="T646" s="21">
        <f>IFERROR(
(VLOOKUP(MONTH(R646),Meses!$B$3:$C$14,2,FALSE)-DAY(R646))/VLOOKUP(MONTH(R646),Meses!$B$3:$C$14,2,FALSE)*U646,
"")</f>
        <v>8500</v>
      </c>
      <c r="U646" s="22">
        <f t="shared" si="31"/>
        <v>8500</v>
      </c>
    </row>
    <row r="647" spans="1:21" ht="31.8" hidden="1" thickBot="1" x14ac:dyDescent="0.6">
      <c r="A647" s="10" t="s">
        <v>820</v>
      </c>
      <c r="B647" s="10" t="s">
        <v>826</v>
      </c>
      <c r="C647" s="12">
        <v>45113</v>
      </c>
      <c r="D647" s="10" t="s">
        <v>65</v>
      </c>
      <c r="E647" s="10" t="s">
        <v>41</v>
      </c>
      <c r="F647" s="10">
        <v>8800</v>
      </c>
      <c r="G647" s="10" t="s">
        <v>15</v>
      </c>
      <c r="H647" s="10" t="s">
        <v>2406</v>
      </c>
      <c r="I647" s="10" t="s">
        <v>66</v>
      </c>
      <c r="J647" s="10" t="s">
        <v>282</v>
      </c>
      <c r="K647" s="10" t="s">
        <v>2898</v>
      </c>
      <c r="L647" s="10" t="s">
        <v>2295</v>
      </c>
      <c r="M647" s="12"/>
      <c r="N647" s="10" t="s">
        <v>20</v>
      </c>
      <c r="O647" s="10" t="s">
        <v>2054</v>
      </c>
      <c r="P647" s="25" t="str">
        <f>IFERROR(
IF(OR(O647="anulado",O647="stand by"),CONCATENATE(O647,": ",H647),
IF(OR(YEAR(M647)=2022,YEAR(M647)=2023),CONCATENATE("Se activó en ",YEAR(M647)),
IF(AND(OR(O647="En proceso",O647="facturando"),AND(J647="-",M647="")),"Por revisar",
IF(M647="",IF(J647="NUEVAS",CONCATENATE("Estado: ",O647,", ",J647),
IF(L647=Meses!$A$3,"Por revisar",
IF(H647="","Sin registro","En programación Frcst."))),"En programación")))),
"Error")</f>
        <v>En programación Frcst.</v>
      </c>
      <c r="Q647" s="9" t="str">
        <f t="shared" si="30"/>
        <v/>
      </c>
      <c r="R647" s="25">
        <f>IF(P647="En programación Frcst.",VLOOKUP(L647,Meses!$A$1:$H$14,3+HLOOKUP(Cronograma!J647,Meses!$D$1:$G$2,2,FALSE),FALSE),
IF(P647="En programación",M647,""))</f>
        <v>0</v>
      </c>
      <c r="S647" s="25" t="str">
        <f t="shared" si="32"/>
        <v>1900/1</v>
      </c>
      <c r="T647" s="21">
        <f>IFERROR(
(VLOOKUP(MONTH(R647),Meses!$B$3:$C$14,2,FALSE)-DAY(R647))/VLOOKUP(MONTH(R647),Meses!$B$3:$C$14,2,FALSE)*U647,
"")</f>
        <v>8800</v>
      </c>
      <c r="U647" s="22">
        <f t="shared" si="31"/>
        <v>8800</v>
      </c>
    </row>
    <row r="648" spans="1:21" ht="32.4" hidden="1" thickBot="1" x14ac:dyDescent="0.6">
      <c r="A648" s="10" t="s">
        <v>820</v>
      </c>
      <c r="B648" s="10" t="s">
        <v>827</v>
      </c>
      <c r="C648" s="12">
        <v>45113</v>
      </c>
      <c r="D648" s="10" t="s">
        <v>65</v>
      </c>
      <c r="E648" s="10" t="s">
        <v>74</v>
      </c>
      <c r="F648" s="10">
        <v>1700</v>
      </c>
      <c r="G648" s="10" t="s">
        <v>15</v>
      </c>
      <c r="H648" s="10" t="s">
        <v>17</v>
      </c>
      <c r="I648" s="10" t="s">
        <v>66</v>
      </c>
      <c r="J648" s="10" t="s">
        <v>19</v>
      </c>
      <c r="K648" s="10" t="s">
        <v>19</v>
      </c>
      <c r="L648" s="10" t="s">
        <v>19</v>
      </c>
      <c r="M648" s="12"/>
      <c r="N648" s="10" t="s">
        <v>20</v>
      </c>
      <c r="O648" s="10" t="s">
        <v>2054</v>
      </c>
      <c r="P648" s="25" t="str">
        <f>IFERROR(
IF(OR(O648="anulado",O648="stand by"),CONCATENATE(O648,": ",H648),
IF(OR(YEAR(M648)=2022,YEAR(M648)=2023),CONCATENATE("Se activó en ",YEAR(M648)),
IF(AND(OR(O648="En proceso",O648="facturando"),AND(J648="-",M648="")),"Por revisar",
IF(M648="",IF(J648="NUEVAS",CONCATENATE("Estado: ",O648,", ",J648),
IF(L648=Meses!$A$3,"Por revisar",
IF(H648="","Sin registro","En programación Frcst."))),"En programación")))),
"Error")</f>
        <v>Por revisar</v>
      </c>
      <c r="Q648" s="9" t="str">
        <f t="shared" si="30"/>
        <v>programación de act. NO, estado: Facturando, Comercializador: NEU, Etapa: Instalado y Activado</v>
      </c>
      <c r="R648" s="25" t="str">
        <f>IF(P648="En programación Frcst.",VLOOKUP(L648,Meses!$A$1:$H$14,3+HLOOKUP(Cronograma!J648,Meses!$D$1:$G$2,2,FALSE),FALSE),
IF(P648="En programación",M648,""))</f>
        <v/>
      </c>
      <c r="S648" s="25" t="str">
        <f t="shared" si="32"/>
        <v/>
      </c>
      <c r="T648" s="21" t="str">
        <f>IFERROR(
(VLOOKUP(MONTH(R648),Meses!$B$3:$C$14,2,FALSE)-DAY(R648))/VLOOKUP(MONTH(R648),Meses!$B$3:$C$14,2,FALSE)*U648,
"")</f>
        <v/>
      </c>
      <c r="U648" s="22">
        <f t="shared" si="31"/>
        <v>1700</v>
      </c>
    </row>
    <row r="649" spans="1:21" ht="32.4" hidden="1" thickBot="1" x14ac:dyDescent="0.6">
      <c r="A649" s="10" t="s">
        <v>820</v>
      </c>
      <c r="B649" s="10" t="s">
        <v>828</v>
      </c>
      <c r="C649" s="12">
        <v>45113</v>
      </c>
      <c r="D649" s="10" t="s">
        <v>65</v>
      </c>
      <c r="E649" s="10" t="s">
        <v>74</v>
      </c>
      <c r="F649" s="10">
        <v>3200</v>
      </c>
      <c r="G649" s="10" t="s">
        <v>15</v>
      </c>
      <c r="H649" s="10" t="s">
        <v>17</v>
      </c>
      <c r="I649" s="10" t="s">
        <v>66</v>
      </c>
      <c r="J649" s="10" t="s">
        <v>19</v>
      </c>
      <c r="K649" s="10" t="s">
        <v>19</v>
      </c>
      <c r="L649" s="10" t="s">
        <v>19</v>
      </c>
      <c r="M649" s="12"/>
      <c r="N649" s="10" t="s">
        <v>20</v>
      </c>
      <c r="O649" s="10" t="s">
        <v>2054</v>
      </c>
      <c r="P649" s="25" t="str">
        <f>IFERROR(
IF(OR(O649="anulado",O649="stand by"),CONCATENATE(O649,": ",H649),
IF(OR(YEAR(M649)=2022,YEAR(M649)=2023),CONCATENATE("Se activó en ",YEAR(M649)),
IF(AND(OR(O649="En proceso",O649="facturando"),AND(J649="-",M649="")),"Por revisar",
IF(M649="",IF(J649="NUEVAS",CONCATENATE("Estado: ",O649,", ",J649),
IF(L649=Meses!$A$3,"Por revisar",
IF(H649="","Sin registro","En programación Frcst."))),"En programación")))),
"Error")</f>
        <v>Por revisar</v>
      </c>
      <c r="Q649" s="9" t="str">
        <f t="shared" si="30"/>
        <v>programación de act. NO, estado: Facturando, Comercializador: NEU, Etapa: Instalado y Activado</v>
      </c>
      <c r="R649" s="25" t="str">
        <f>IF(P649="En programación Frcst.",VLOOKUP(L649,Meses!$A$1:$H$14,3+HLOOKUP(Cronograma!J649,Meses!$D$1:$G$2,2,FALSE),FALSE),
IF(P649="En programación",M649,""))</f>
        <v/>
      </c>
      <c r="S649" s="25" t="str">
        <f t="shared" si="32"/>
        <v/>
      </c>
      <c r="T649" s="21" t="str">
        <f>IFERROR(
(VLOOKUP(MONTH(R649),Meses!$B$3:$C$14,2,FALSE)-DAY(R649))/VLOOKUP(MONTH(R649),Meses!$B$3:$C$14,2,FALSE)*U649,
"")</f>
        <v/>
      </c>
      <c r="U649" s="22">
        <f t="shared" si="31"/>
        <v>3200</v>
      </c>
    </row>
    <row r="650" spans="1:21" ht="32.4" hidden="1" thickBot="1" x14ac:dyDescent="0.6">
      <c r="A650" s="10" t="s">
        <v>820</v>
      </c>
      <c r="B650" s="10" t="s">
        <v>829</v>
      </c>
      <c r="C650" s="12">
        <v>45162</v>
      </c>
      <c r="D650" s="10" t="s">
        <v>14</v>
      </c>
      <c r="E650" s="10" t="s">
        <v>14</v>
      </c>
      <c r="F650" s="10">
        <v>4200</v>
      </c>
      <c r="G650" s="10" t="s">
        <v>15</v>
      </c>
      <c r="H650" s="10" t="s">
        <v>17</v>
      </c>
      <c r="I650" s="10" t="s">
        <v>18</v>
      </c>
      <c r="J650" s="10" t="s">
        <v>19</v>
      </c>
      <c r="K650" s="10" t="s">
        <v>19</v>
      </c>
      <c r="L650" s="10" t="s">
        <v>19</v>
      </c>
      <c r="M650" s="12"/>
      <c r="N650" s="10" t="s">
        <v>20</v>
      </c>
      <c r="O650" s="10" t="s">
        <v>2054</v>
      </c>
      <c r="P650" s="25" t="str">
        <f>IFERROR(
IF(OR(O650="anulado",O650="stand by"),CONCATENATE(O650,": ",H650),
IF(OR(YEAR(M650)=2022,YEAR(M650)=2023),CONCATENATE("Se activó en ",YEAR(M650)),
IF(AND(OR(O650="En proceso",O650="facturando"),AND(J650="-",M650="")),"Por revisar",
IF(M650="",IF(J650="NUEVAS",CONCATENATE("Estado: ",O650,", ",J650),
IF(L650=Meses!$A$3,"Por revisar",
IF(H650="","Sin registro","En programación Frcst."))),"En programación")))),
"Error")</f>
        <v>Por revisar</v>
      </c>
      <c r="Q650" s="9" t="str">
        <f t="shared" si="30"/>
        <v>programación de act. NO, estado: Facturando, Comercializador: ENEL, Etapa: Instalado y Activado</v>
      </c>
      <c r="R650" s="25" t="str">
        <f>IF(P650="En programación Frcst.",VLOOKUP(L650,Meses!$A$1:$H$14,3+HLOOKUP(Cronograma!J650,Meses!$D$1:$G$2,2,FALSE),FALSE),
IF(P650="En programación",M650,""))</f>
        <v/>
      </c>
      <c r="S650" s="25" t="str">
        <f t="shared" si="32"/>
        <v/>
      </c>
      <c r="T650" s="21" t="str">
        <f>IFERROR(
(VLOOKUP(MONTH(R650),Meses!$B$3:$C$14,2,FALSE)-DAY(R650))/VLOOKUP(MONTH(R650),Meses!$B$3:$C$14,2,FALSE)*U650,
"")</f>
        <v/>
      </c>
      <c r="U650" s="22">
        <f t="shared" si="31"/>
        <v>4200</v>
      </c>
    </row>
    <row r="651" spans="1:21" ht="32.4" hidden="1" thickBot="1" x14ac:dyDescent="0.6">
      <c r="A651" s="10" t="s">
        <v>820</v>
      </c>
      <c r="B651" s="10" t="s">
        <v>830</v>
      </c>
      <c r="C651" s="12">
        <v>45162</v>
      </c>
      <c r="D651" s="10" t="s">
        <v>14</v>
      </c>
      <c r="E651" s="10" t="s">
        <v>14</v>
      </c>
      <c r="F651" s="10">
        <v>3600</v>
      </c>
      <c r="G651" s="10" t="s">
        <v>15</v>
      </c>
      <c r="H651" s="10" t="s">
        <v>17</v>
      </c>
      <c r="I651" s="10" t="s">
        <v>18</v>
      </c>
      <c r="J651" s="10" t="s">
        <v>19</v>
      </c>
      <c r="K651" s="10" t="s">
        <v>19</v>
      </c>
      <c r="L651" s="10" t="s">
        <v>19</v>
      </c>
      <c r="M651" s="12"/>
      <c r="N651" s="10" t="s">
        <v>20</v>
      </c>
      <c r="O651" s="10" t="s">
        <v>2054</v>
      </c>
      <c r="P651" s="25" t="str">
        <f>IFERROR(
IF(OR(O651="anulado",O651="stand by"),CONCATENATE(O651,": ",H651),
IF(OR(YEAR(M651)=2022,YEAR(M651)=2023),CONCATENATE("Se activó en ",YEAR(M651)),
IF(AND(OR(O651="En proceso",O651="facturando"),AND(J651="-",M651="")),"Por revisar",
IF(M651="",IF(J651="NUEVAS",CONCATENATE("Estado: ",O651,", ",J651),
IF(L651=Meses!$A$3,"Por revisar",
IF(H651="","Sin registro","En programación Frcst."))),"En programación")))),
"Error")</f>
        <v>Por revisar</v>
      </c>
      <c r="Q651" s="9" t="str">
        <f t="shared" si="30"/>
        <v>programación de act. NO, estado: Facturando, Comercializador: ENEL, Etapa: Instalado y Activado</v>
      </c>
      <c r="R651" s="25" t="str">
        <f>IF(P651="En programación Frcst.",VLOOKUP(L651,Meses!$A$1:$H$14,3+HLOOKUP(Cronograma!J651,Meses!$D$1:$G$2,2,FALSE),FALSE),
IF(P651="En programación",M651,""))</f>
        <v/>
      </c>
      <c r="S651" s="25" t="str">
        <f t="shared" si="32"/>
        <v/>
      </c>
      <c r="T651" s="21" t="str">
        <f>IFERROR(
(VLOOKUP(MONTH(R651),Meses!$B$3:$C$14,2,FALSE)-DAY(R651))/VLOOKUP(MONTH(R651),Meses!$B$3:$C$14,2,FALSE)*U651,
"")</f>
        <v/>
      </c>
      <c r="U651" s="22">
        <f t="shared" si="31"/>
        <v>3600</v>
      </c>
    </row>
    <row r="652" spans="1:21" ht="32.4" hidden="1" thickBot="1" x14ac:dyDescent="0.6">
      <c r="A652" s="10" t="s">
        <v>820</v>
      </c>
      <c r="B652" s="10" t="s">
        <v>831</v>
      </c>
      <c r="C652" s="12">
        <v>45162</v>
      </c>
      <c r="D652" s="10" t="s">
        <v>14</v>
      </c>
      <c r="E652" s="10" t="s">
        <v>14</v>
      </c>
      <c r="F652" s="10">
        <v>4700</v>
      </c>
      <c r="G652" s="10" t="s">
        <v>15</v>
      </c>
      <c r="H652" s="10" t="s">
        <v>17</v>
      </c>
      <c r="I652" s="10" t="s">
        <v>18</v>
      </c>
      <c r="J652" s="10" t="s">
        <v>19</v>
      </c>
      <c r="K652" s="10" t="s">
        <v>19</v>
      </c>
      <c r="L652" s="10" t="s">
        <v>19</v>
      </c>
      <c r="M652" s="12"/>
      <c r="N652" s="10" t="s">
        <v>20</v>
      </c>
      <c r="O652" s="10" t="s">
        <v>2054</v>
      </c>
      <c r="P652" s="25" t="str">
        <f>IFERROR(
IF(OR(O652="anulado",O652="stand by"),CONCATENATE(O652,": ",H652),
IF(OR(YEAR(M652)=2022,YEAR(M652)=2023),CONCATENATE("Se activó en ",YEAR(M652)),
IF(AND(OR(O652="En proceso",O652="facturando"),AND(J652="-",M652="")),"Por revisar",
IF(M652="",IF(J652="NUEVAS",CONCATENATE("Estado: ",O652,", ",J652),
IF(L652=Meses!$A$3,"Por revisar",
IF(H652="","Sin registro","En programación Frcst."))),"En programación")))),
"Error")</f>
        <v>Por revisar</v>
      </c>
      <c r="Q652" s="9" t="str">
        <f t="shared" si="30"/>
        <v>programación de act. NO, estado: Facturando, Comercializador: ENEL, Etapa: Instalado y Activado</v>
      </c>
      <c r="R652" s="25" t="str">
        <f>IF(P652="En programación Frcst.",VLOOKUP(L652,Meses!$A$1:$H$14,3+HLOOKUP(Cronograma!J652,Meses!$D$1:$G$2,2,FALSE),FALSE),
IF(P652="En programación",M652,""))</f>
        <v/>
      </c>
      <c r="S652" s="25" t="str">
        <f t="shared" si="32"/>
        <v/>
      </c>
      <c r="T652" s="21" t="str">
        <f>IFERROR(
(VLOOKUP(MONTH(R652),Meses!$B$3:$C$14,2,FALSE)-DAY(R652))/VLOOKUP(MONTH(R652),Meses!$B$3:$C$14,2,FALSE)*U652,
"")</f>
        <v/>
      </c>
      <c r="U652" s="22">
        <f t="shared" si="31"/>
        <v>4700</v>
      </c>
    </row>
    <row r="653" spans="1:21" ht="32.4" hidden="1" thickBot="1" x14ac:dyDescent="0.6">
      <c r="A653" s="10" t="s">
        <v>820</v>
      </c>
      <c r="B653" s="10" t="s">
        <v>832</v>
      </c>
      <c r="C653" s="12">
        <v>45162</v>
      </c>
      <c r="D653" s="10" t="s">
        <v>14</v>
      </c>
      <c r="E653" s="10" t="s">
        <v>14</v>
      </c>
      <c r="F653" s="10">
        <v>6500</v>
      </c>
      <c r="G653" s="10" t="s">
        <v>15</v>
      </c>
      <c r="H653" s="10" t="s">
        <v>17</v>
      </c>
      <c r="I653" s="10" t="s">
        <v>18</v>
      </c>
      <c r="J653" s="10" t="s">
        <v>19</v>
      </c>
      <c r="K653" s="10" t="s">
        <v>19</v>
      </c>
      <c r="L653" s="10" t="s">
        <v>19</v>
      </c>
      <c r="M653" s="12"/>
      <c r="N653" s="10" t="s">
        <v>20</v>
      </c>
      <c r="O653" s="10" t="s">
        <v>2054</v>
      </c>
      <c r="P653" s="25" t="str">
        <f>IFERROR(
IF(OR(O653="anulado",O653="stand by"),CONCATENATE(O653,": ",H653),
IF(OR(YEAR(M653)=2022,YEAR(M653)=2023),CONCATENATE("Se activó en ",YEAR(M653)),
IF(AND(OR(O653="En proceso",O653="facturando"),AND(J653="-",M653="")),"Por revisar",
IF(M653="",IF(J653="NUEVAS",CONCATENATE("Estado: ",O653,", ",J653),
IF(L653=Meses!$A$3,"Por revisar",
IF(H653="","Sin registro","En programación Frcst."))),"En programación")))),
"Error")</f>
        <v>Por revisar</v>
      </c>
      <c r="Q653" s="9" t="str">
        <f t="shared" si="30"/>
        <v>programación de act. NO, estado: Facturando, Comercializador: ENEL, Etapa: Instalado y Activado</v>
      </c>
      <c r="R653" s="25" t="str">
        <f>IF(P653="En programación Frcst.",VLOOKUP(L653,Meses!$A$1:$H$14,3+HLOOKUP(Cronograma!J653,Meses!$D$1:$G$2,2,FALSE),FALSE),
IF(P653="En programación",M653,""))</f>
        <v/>
      </c>
      <c r="S653" s="25" t="str">
        <f t="shared" si="32"/>
        <v/>
      </c>
      <c r="T653" s="21" t="str">
        <f>IFERROR(
(VLOOKUP(MONTH(R653),Meses!$B$3:$C$14,2,FALSE)-DAY(R653))/VLOOKUP(MONTH(R653),Meses!$B$3:$C$14,2,FALSE)*U653,
"")</f>
        <v/>
      </c>
      <c r="U653" s="22">
        <f t="shared" si="31"/>
        <v>6500</v>
      </c>
    </row>
    <row r="654" spans="1:21" ht="32.4" hidden="1" thickBot="1" x14ac:dyDescent="0.6">
      <c r="A654" s="10" t="s">
        <v>820</v>
      </c>
      <c r="B654" s="10" t="s">
        <v>833</v>
      </c>
      <c r="C654" s="12">
        <v>45162</v>
      </c>
      <c r="D654" s="10" t="s">
        <v>14</v>
      </c>
      <c r="E654" s="10" t="s">
        <v>14</v>
      </c>
      <c r="F654" s="10">
        <v>1200</v>
      </c>
      <c r="G654" s="10" t="s">
        <v>15</v>
      </c>
      <c r="H654" s="10" t="s">
        <v>17</v>
      </c>
      <c r="I654" s="10" t="s">
        <v>18</v>
      </c>
      <c r="J654" s="10" t="s">
        <v>19</v>
      </c>
      <c r="K654" s="10" t="s">
        <v>19</v>
      </c>
      <c r="L654" s="10" t="s">
        <v>19</v>
      </c>
      <c r="M654" s="12"/>
      <c r="N654" s="10" t="s">
        <v>20</v>
      </c>
      <c r="O654" s="10" t="s">
        <v>2054</v>
      </c>
      <c r="P654" s="25" t="str">
        <f>IFERROR(
IF(OR(O654="anulado",O654="stand by"),CONCATENATE(O654,": ",H654),
IF(OR(YEAR(M654)=2022,YEAR(M654)=2023),CONCATENATE("Se activó en ",YEAR(M654)),
IF(AND(OR(O654="En proceso",O654="facturando"),AND(J654="-",M654="")),"Por revisar",
IF(M654="",IF(J654="NUEVAS",CONCATENATE("Estado: ",O654,", ",J654),
IF(L654=Meses!$A$3,"Por revisar",
IF(H654="","Sin registro","En programación Frcst."))),"En programación")))),
"Error")</f>
        <v>Por revisar</v>
      </c>
      <c r="Q654" s="9" t="str">
        <f t="shared" si="30"/>
        <v>programación de act. NO, estado: Facturando, Comercializador: ENEL, Etapa: Instalado y Activado</v>
      </c>
      <c r="R654" s="25" t="str">
        <f>IF(P654="En programación Frcst.",VLOOKUP(L654,Meses!$A$1:$H$14,3+HLOOKUP(Cronograma!J654,Meses!$D$1:$G$2,2,FALSE),FALSE),
IF(P654="En programación",M654,""))</f>
        <v/>
      </c>
      <c r="S654" s="25" t="str">
        <f t="shared" si="32"/>
        <v/>
      </c>
      <c r="T654" s="21" t="str">
        <f>IFERROR(
(VLOOKUP(MONTH(R654),Meses!$B$3:$C$14,2,FALSE)-DAY(R654))/VLOOKUP(MONTH(R654),Meses!$B$3:$C$14,2,FALSE)*U654,
"")</f>
        <v/>
      </c>
      <c r="U654" s="22">
        <f t="shared" si="31"/>
        <v>1200</v>
      </c>
    </row>
    <row r="655" spans="1:21" ht="32.4" hidden="1" thickBot="1" x14ac:dyDescent="0.6">
      <c r="A655" s="10" t="s">
        <v>820</v>
      </c>
      <c r="B655" s="10" t="s">
        <v>834</v>
      </c>
      <c r="C655" s="12">
        <v>45162</v>
      </c>
      <c r="D655" s="10" t="s">
        <v>14</v>
      </c>
      <c r="E655" s="10" t="s">
        <v>14</v>
      </c>
      <c r="F655" s="10">
        <v>3800</v>
      </c>
      <c r="G655" s="10" t="s">
        <v>15</v>
      </c>
      <c r="H655" s="10" t="s">
        <v>17</v>
      </c>
      <c r="I655" s="10" t="s">
        <v>18</v>
      </c>
      <c r="J655" s="10" t="s">
        <v>19</v>
      </c>
      <c r="K655" s="10" t="s">
        <v>19</v>
      </c>
      <c r="L655" s="10" t="s">
        <v>19</v>
      </c>
      <c r="M655" s="12"/>
      <c r="N655" s="10" t="s">
        <v>20</v>
      </c>
      <c r="O655" s="10" t="s">
        <v>2054</v>
      </c>
      <c r="P655" s="25" t="str">
        <f>IFERROR(
IF(OR(O655="anulado",O655="stand by"),CONCATENATE(O655,": ",H655),
IF(OR(YEAR(M655)=2022,YEAR(M655)=2023),CONCATENATE("Se activó en ",YEAR(M655)),
IF(AND(OR(O655="En proceso",O655="facturando"),AND(J655="-",M655="")),"Por revisar",
IF(M655="",IF(J655="NUEVAS",CONCATENATE("Estado: ",O655,", ",J655),
IF(L655=Meses!$A$3,"Por revisar",
IF(H655="","Sin registro","En programación Frcst."))),"En programación")))),
"Error")</f>
        <v>Por revisar</v>
      </c>
      <c r="Q655" s="9" t="str">
        <f t="shared" si="30"/>
        <v>programación de act. NO, estado: Facturando, Comercializador: ENEL, Etapa: Instalado y Activado</v>
      </c>
      <c r="R655" s="25" t="str">
        <f>IF(P655="En programación Frcst.",VLOOKUP(L655,Meses!$A$1:$H$14,3+HLOOKUP(Cronograma!J655,Meses!$D$1:$G$2,2,FALSE),FALSE),
IF(P655="En programación",M655,""))</f>
        <v/>
      </c>
      <c r="S655" s="25" t="str">
        <f t="shared" si="32"/>
        <v/>
      </c>
      <c r="T655" s="21" t="str">
        <f>IFERROR(
(VLOOKUP(MONTH(R655),Meses!$B$3:$C$14,2,FALSE)-DAY(R655))/VLOOKUP(MONTH(R655),Meses!$B$3:$C$14,2,FALSE)*U655,
"")</f>
        <v/>
      </c>
      <c r="U655" s="22">
        <f t="shared" si="31"/>
        <v>3800</v>
      </c>
    </row>
    <row r="656" spans="1:21" ht="32.4" hidden="1" thickBot="1" x14ac:dyDescent="0.6">
      <c r="A656" s="10" t="s">
        <v>820</v>
      </c>
      <c r="B656" s="10" t="s">
        <v>835</v>
      </c>
      <c r="C656" s="12">
        <v>45162</v>
      </c>
      <c r="D656" s="10" t="s">
        <v>14</v>
      </c>
      <c r="E656" s="10" t="s">
        <v>14</v>
      </c>
      <c r="F656" s="10">
        <v>5000</v>
      </c>
      <c r="G656" s="10" t="s">
        <v>15</v>
      </c>
      <c r="H656" s="10" t="s">
        <v>17</v>
      </c>
      <c r="I656" s="10" t="s">
        <v>18</v>
      </c>
      <c r="J656" s="10" t="s">
        <v>19</v>
      </c>
      <c r="K656" s="10" t="s">
        <v>19</v>
      </c>
      <c r="L656" s="10" t="s">
        <v>19</v>
      </c>
      <c r="M656" s="12"/>
      <c r="N656" s="10" t="s">
        <v>20</v>
      </c>
      <c r="O656" s="10" t="s">
        <v>2054</v>
      </c>
      <c r="P656" s="25" t="str">
        <f>IFERROR(
IF(OR(O656="anulado",O656="stand by"),CONCATENATE(O656,": ",H656),
IF(OR(YEAR(M656)=2022,YEAR(M656)=2023),CONCATENATE("Se activó en ",YEAR(M656)),
IF(AND(OR(O656="En proceso",O656="facturando"),AND(J656="-",M656="")),"Por revisar",
IF(M656="",IF(J656="NUEVAS",CONCATENATE("Estado: ",O656,", ",J656),
IF(L656=Meses!$A$3,"Por revisar",
IF(H656="","Sin registro","En programación Frcst."))),"En programación")))),
"Error")</f>
        <v>Por revisar</v>
      </c>
      <c r="Q656" s="9" t="str">
        <f t="shared" si="30"/>
        <v>programación de act. NO, estado: Facturando, Comercializador: ENEL, Etapa: Instalado y Activado</v>
      </c>
      <c r="R656" s="25" t="str">
        <f>IF(P656="En programación Frcst.",VLOOKUP(L656,Meses!$A$1:$H$14,3+HLOOKUP(Cronograma!J656,Meses!$D$1:$G$2,2,FALSE),FALSE),
IF(P656="En programación",M656,""))</f>
        <v/>
      </c>
      <c r="S656" s="25" t="str">
        <f t="shared" si="32"/>
        <v/>
      </c>
      <c r="T656" s="21" t="str">
        <f>IFERROR(
(VLOOKUP(MONTH(R656),Meses!$B$3:$C$14,2,FALSE)-DAY(R656))/VLOOKUP(MONTH(R656),Meses!$B$3:$C$14,2,FALSE)*U656,
"")</f>
        <v/>
      </c>
      <c r="U656" s="22">
        <f t="shared" si="31"/>
        <v>5000</v>
      </c>
    </row>
    <row r="657" spans="1:21" ht="31.8" hidden="1" thickBot="1" x14ac:dyDescent="0.6">
      <c r="A657" s="10" t="s">
        <v>820</v>
      </c>
      <c r="B657" s="10" t="s">
        <v>836</v>
      </c>
      <c r="C657" s="12">
        <v>45162</v>
      </c>
      <c r="D657" s="10" t="s">
        <v>14</v>
      </c>
      <c r="E657" s="10" t="s">
        <v>14</v>
      </c>
      <c r="F657" s="10">
        <v>7000</v>
      </c>
      <c r="G657" s="10" t="s">
        <v>15</v>
      </c>
      <c r="H657" s="10" t="s">
        <v>2406</v>
      </c>
      <c r="I657" s="10" t="s">
        <v>18</v>
      </c>
      <c r="J657" s="10" t="s">
        <v>277</v>
      </c>
      <c r="K657" s="10" t="s">
        <v>2899</v>
      </c>
      <c r="L657" s="10" t="s">
        <v>2296</v>
      </c>
      <c r="M657" s="12"/>
      <c r="N657" s="10" t="s">
        <v>20</v>
      </c>
      <c r="O657" s="10" t="s">
        <v>2054</v>
      </c>
      <c r="P657" s="25" t="str">
        <f>IFERROR(
IF(OR(O657="anulado",O657="stand by"),CONCATENATE(O657,": ",H657),
IF(OR(YEAR(M657)=2022,YEAR(M657)=2023),CONCATENATE("Se activó en ",YEAR(M657)),
IF(AND(OR(O657="En proceso",O657="facturando"),AND(J657="-",M657="")),"Por revisar",
IF(M657="",IF(J657="NUEVAS",CONCATENATE("Estado: ",O657,", ",J657),
IF(L657=Meses!$A$3,"Por revisar",
IF(H657="","Sin registro","En programación Frcst."))),"En programación")))),
"Error")</f>
        <v>En programación Frcst.</v>
      </c>
      <c r="Q657" s="9" t="str">
        <f t="shared" si="30"/>
        <v/>
      </c>
      <c r="R657" s="25">
        <f>IF(P657="En programación Frcst.",VLOOKUP(L657,Meses!$A$1:$H$14,3+HLOOKUP(Cronograma!J657,Meses!$D$1:$G$2,2,FALSE),FALSE),
IF(P657="En programación",M657,""))</f>
        <v>0</v>
      </c>
      <c r="S657" s="25" t="str">
        <f t="shared" si="32"/>
        <v>1900/1</v>
      </c>
      <c r="T657" s="21">
        <f>IFERROR(
(VLOOKUP(MONTH(R657),Meses!$B$3:$C$14,2,FALSE)-DAY(R657))/VLOOKUP(MONTH(R657),Meses!$B$3:$C$14,2,FALSE)*U657,
"")</f>
        <v>7000</v>
      </c>
      <c r="U657" s="22">
        <f t="shared" si="31"/>
        <v>7000</v>
      </c>
    </row>
    <row r="658" spans="1:21" ht="32.4" hidden="1" thickBot="1" x14ac:dyDescent="0.6">
      <c r="A658" s="10" t="s">
        <v>820</v>
      </c>
      <c r="B658" s="10" t="s">
        <v>837</v>
      </c>
      <c r="C658" s="12">
        <v>45162</v>
      </c>
      <c r="D658" s="10" t="s">
        <v>14</v>
      </c>
      <c r="E658" s="10" t="s">
        <v>14</v>
      </c>
      <c r="F658" s="10">
        <v>4000</v>
      </c>
      <c r="G658" s="10" t="s">
        <v>15</v>
      </c>
      <c r="H658" s="10" t="s">
        <v>17</v>
      </c>
      <c r="I658" s="10" t="s">
        <v>18</v>
      </c>
      <c r="J658" s="10" t="s">
        <v>19</v>
      </c>
      <c r="K658" s="10" t="s">
        <v>19</v>
      </c>
      <c r="L658" s="10" t="s">
        <v>19</v>
      </c>
      <c r="M658" s="12"/>
      <c r="N658" s="10" t="s">
        <v>20</v>
      </c>
      <c r="O658" s="10" t="s">
        <v>2054</v>
      </c>
      <c r="P658" s="25" t="str">
        <f>IFERROR(
IF(OR(O658="anulado",O658="stand by"),CONCATENATE(O658,": ",H658),
IF(OR(YEAR(M658)=2022,YEAR(M658)=2023),CONCATENATE("Se activó en ",YEAR(M658)),
IF(AND(OR(O658="En proceso",O658="facturando"),AND(J658="-",M658="")),"Por revisar",
IF(M658="",IF(J658="NUEVAS",CONCATENATE("Estado: ",O658,", ",J658),
IF(L658=Meses!$A$3,"Por revisar",
IF(H658="","Sin registro","En programación Frcst."))),"En programación")))),
"Error")</f>
        <v>Por revisar</v>
      </c>
      <c r="Q658" s="9" t="str">
        <f t="shared" si="30"/>
        <v>programación de act. NO, estado: Facturando, Comercializador: ENEL, Etapa: Instalado y Activado</v>
      </c>
      <c r="R658" s="25" t="str">
        <f>IF(P658="En programación Frcst.",VLOOKUP(L658,Meses!$A$1:$H$14,3+HLOOKUP(Cronograma!J658,Meses!$D$1:$G$2,2,FALSE),FALSE),
IF(P658="En programación",M658,""))</f>
        <v/>
      </c>
      <c r="S658" s="25" t="str">
        <f t="shared" si="32"/>
        <v/>
      </c>
      <c r="T658" s="21" t="str">
        <f>IFERROR(
(VLOOKUP(MONTH(R658),Meses!$B$3:$C$14,2,FALSE)-DAY(R658))/VLOOKUP(MONTH(R658),Meses!$B$3:$C$14,2,FALSE)*U658,
"")</f>
        <v/>
      </c>
      <c r="U658" s="22">
        <f t="shared" si="31"/>
        <v>4000</v>
      </c>
    </row>
    <row r="659" spans="1:21" ht="32.4" hidden="1" thickBot="1" x14ac:dyDescent="0.6">
      <c r="A659" s="10" t="s">
        <v>820</v>
      </c>
      <c r="B659" s="10" t="s">
        <v>838</v>
      </c>
      <c r="C659" s="12">
        <v>45162</v>
      </c>
      <c r="D659" s="10" t="s">
        <v>14</v>
      </c>
      <c r="E659" s="10" t="s">
        <v>14</v>
      </c>
      <c r="F659" s="10">
        <v>1100</v>
      </c>
      <c r="G659" s="10" t="s">
        <v>15</v>
      </c>
      <c r="H659" s="10" t="s">
        <v>17</v>
      </c>
      <c r="I659" s="10" t="s">
        <v>18</v>
      </c>
      <c r="J659" s="10" t="s">
        <v>19</v>
      </c>
      <c r="K659" s="10" t="s">
        <v>19</v>
      </c>
      <c r="L659" s="10" t="s">
        <v>19</v>
      </c>
      <c r="M659" s="12"/>
      <c r="N659" s="10" t="s">
        <v>20</v>
      </c>
      <c r="O659" s="10" t="s">
        <v>2054</v>
      </c>
      <c r="P659" s="25" t="str">
        <f>IFERROR(
IF(OR(O659="anulado",O659="stand by"),CONCATENATE(O659,": ",H659),
IF(OR(YEAR(M659)=2022,YEAR(M659)=2023),CONCATENATE("Se activó en ",YEAR(M659)),
IF(AND(OR(O659="En proceso",O659="facturando"),AND(J659="-",M659="")),"Por revisar",
IF(M659="",IF(J659="NUEVAS",CONCATENATE("Estado: ",O659,", ",J659),
IF(L659=Meses!$A$3,"Por revisar",
IF(H659="","Sin registro","En programación Frcst."))),"En programación")))),
"Error")</f>
        <v>Por revisar</v>
      </c>
      <c r="Q659" s="9" t="str">
        <f t="shared" si="30"/>
        <v>programación de act. NO, estado: Facturando, Comercializador: ENEL, Etapa: Instalado y Activado</v>
      </c>
      <c r="R659" s="25" t="str">
        <f>IF(P659="En programación Frcst.",VLOOKUP(L659,Meses!$A$1:$H$14,3+HLOOKUP(Cronograma!J659,Meses!$D$1:$G$2,2,FALSE),FALSE),
IF(P659="En programación",M659,""))</f>
        <v/>
      </c>
      <c r="S659" s="25" t="str">
        <f t="shared" si="32"/>
        <v/>
      </c>
      <c r="T659" s="21" t="str">
        <f>IFERROR(
(VLOOKUP(MONTH(R659),Meses!$B$3:$C$14,2,FALSE)-DAY(R659))/VLOOKUP(MONTH(R659),Meses!$B$3:$C$14,2,FALSE)*U659,
"")</f>
        <v/>
      </c>
      <c r="U659" s="22">
        <f t="shared" si="31"/>
        <v>1100</v>
      </c>
    </row>
    <row r="660" spans="1:21" ht="32.4" hidden="1" thickBot="1" x14ac:dyDescent="0.6">
      <c r="A660" s="10" t="s">
        <v>820</v>
      </c>
      <c r="B660" s="10" t="s">
        <v>839</v>
      </c>
      <c r="C660" s="12">
        <v>45162</v>
      </c>
      <c r="D660" s="10" t="s">
        <v>14</v>
      </c>
      <c r="E660" s="10" t="s">
        <v>14</v>
      </c>
      <c r="F660" s="10">
        <v>3453</v>
      </c>
      <c r="G660" s="10" t="s">
        <v>15</v>
      </c>
      <c r="H660" s="10" t="s">
        <v>17</v>
      </c>
      <c r="I660" s="10" t="s">
        <v>18</v>
      </c>
      <c r="J660" s="10" t="s">
        <v>19</v>
      </c>
      <c r="K660" s="10" t="s">
        <v>19</v>
      </c>
      <c r="L660" s="10" t="s">
        <v>19</v>
      </c>
      <c r="M660" s="12"/>
      <c r="N660" s="10" t="s">
        <v>20</v>
      </c>
      <c r="O660" s="10" t="s">
        <v>2054</v>
      </c>
      <c r="P660" s="25" t="str">
        <f>IFERROR(
IF(OR(O660="anulado",O660="stand by"),CONCATENATE(O660,": ",H660),
IF(OR(YEAR(M660)=2022,YEAR(M660)=2023),CONCATENATE("Se activó en ",YEAR(M660)),
IF(AND(OR(O660="En proceso",O660="facturando"),AND(J660="-",M660="")),"Por revisar",
IF(M660="",IF(J660="NUEVAS",CONCATENATE("Estado: ",O660,", ",J660),
IF(L660=Meses!$A$3,"Por revisar",
IF(H660="","Sin registro","En programación Frcst."))),"En programación")))),
"Error")</f>
        <v>Por revisar</v>
      </c>
      <c r="Q660" s="9" t="str">
        <f t="shared" si="30"/>
        <v>programación de act. NO, estado: Facturando, Comercializador: ENEL, Etapa: Instalado y Activado</v>
      </c>
      <c r="R660" s="25" t="str">
        <f>IF(P660="En programación Frcst.",VLOOKUP(L660,Meses!$A$1:$H$14,3+HLOOKUP(Cronograma!J660,Meses!$D$1:$G$2,2,FALSE),FALSE),
IF(P660="En programación",M660,""))</f>
        <v/>
      </c>
      <c r="S660" s="25" t="str">
        <f t="shared" si="32"/>
        <v/>
      </c>
      <c r="T660" s="21" t="str">
        <f>IFERROR(
(VLOOKUP(MONTH(R660),Meses!$B$3:$C$14,2,FALSE)-DAY(R660))/VLOOKUP(MONTH(R660),Meses!$B$3:$C$14,2,FALSE)*U660,
"")</f>
        <v/>
      </c>
      <c r="U660" s="22">
        <f t="shared" si="31"/>
        <v>3453</v>
      </c>
    </row>
    <row r="661" spans="1:21" ht="31.8" hidden="1" thickBot="1" x14ac:dyDescent="0.6">
      <c r="A661" s="10" t="s">
        <v>820</v>
      </c>
      <c r="B661" s="10" t="s">
        <v>840</v>
      </c>
      <c r="C661" s="12"/>
      <c r="D661" s="10" t="s">
        <v>188</v>
      </c>
      <c r="E661" s="10" t="s">
        <v>188</v>
      </c>
      <c r="F661" s="10">
        <v>2200</v>
      </c>
      <c r="G661" s="10" t="s">
        <v>15</v>
      </c>
      <c r="H661" s="10" t="s">
        <v>140</v>
      </c>
      <c r="I661" s="10" t="s">
        <v>43</v>
      </c>
      <c r="J661" s="10" t="s">
        <v>143</v>
      </c>
      <c r="K661" s="10" t="s">
        <v>2895</v>
      </c>
      <c r="L661" s="10" t="s">
        <v>2292</v>
      </c>
      <c r="M661" s="12">
        <v>45393</v>
      </c>
      <c r="N661" s="10" t="s">
        <v>15</v>
      </c>
      <c r="O661" s="10" t="s">
        <v>2056</v>
      </c>
      <c r="P661" s="25" t="str">
        <f>IFERROR(
IF(OR(O661="anulado",O661="stand by"),CONCATENATE(O661,": ",H661),
IF(OR(YEAR(M661)=2022,YEAR(M661)=2023),CONCATENATE("Se activó en ",YEAR(M661)),
IF(AND(OR(O661="En proceso",O661="facturando"),AND(J661="-",M661="")),"Por revisar",
IF(M661="",IF(J661="NUEVAS",CONCATENATE("Estado: ",O661,", ",J661),
IF(L661=Meses!$A$3,"Por revisar",
IF(H661="","Sin registro","En programación Frcst."))),"En programación")))),
"Error")</f>
        <v>anulado: Desistido</v>
      </c>
      <c r="Q661" s="9" t="str">
        <f t="shared" si="30"/>
        <v/>
      </c>
      <c r="R661" s="25" t="str">
        <f>IF(P661="En programación Frcst.",VLOOKUP(L661,Meses!$A$1:$H$14,3+HLOOKUP(Cronograma!J661,Meses!$D$1:$G$2,2,FALSE),FALSE),
IF(P661="En programación",M661,""))</f>
        <v/>
      </c>
      <c r="S661" s="25" t="str">
        <f t="shared" si="32"/>
        <v/>
      </c>
      <c r="T661" s="21" t="str">
        <f>IFERROR(
(VLOOKUP(MONTH(R661),Meses!$B$3:$C$14,2,FALSE)-DAY(R661))/VLOOKUP(MONTH(R661),Meses!$B$3:$C$14,2,FALSE)*U661,
"")</f>
        <v/>
      </c>
      <c r="U661" s="22">
        <f t="shared" si="31"/>
        <v>2200</v>
      </c>
    </row>
    <row r="662" spans="1:21" ht="31.8" hidden="1" thickBot="1" x14ac:dyDescent="0.6">
      <c r="A662" s="10" t="s">
        <v>820</v>
      </c>
      <c r="B662" s="10" t="s">
        <v>841</v>
      </c>
      <c r="C662" s="12">
        <v>45323</v>
      </c>
      <c r="D662" s="10" t="s">
        <v>289</v>
      </c>
      <c r="E662" s="10" t="s">
        <v>289</v>
      </c>
      <c r="F662" s="10">
        <v>6300</v>
      </c>
      <c r="G662" s="10" t="s">
        <v>15</v>
      </c>
      <c r="H662" s="10" t="s">
        <v>3311</v>
      </c>
      <c r="I662" s="10" t="s">
        <v>18</v>
      </c>
      <c r="J662" s="10" t="s">
        <v>143</v>
      </c>
      <c r="K662" s="10" t="s">
        <v>538</v>
      </c>
      <c r="L662" s="10" t="s">
        <v>279</v>
      </c>
      <c r="M662" s="12"/>
      <c r="N662" s="10" t="s">
        <v>15</v>
      </c>
      <c r="O662" s="10" t="s">
        <v>3311</v>
      </c>
      <c r="P662" s="25" t="str">
        <f>IFERROR(
IF(OR(O662="anulado",O662="stand by"),CONCATENATE(O662,": ",H662),
IF(OR(YEAR(M662)=2022,YEAR(M662)=2023),CONCATENATE("Se activó en ",YEAR(M662)),
IF(AND(OR(O662="En proceso",O662="facturando"),AND(J662="-",M662="")),"Por revisar",
IF(M662="",IF(J662="NUEVAS",CONCATENATE("Estado: ",O662,", ",J662),
IF(L662=Meses!$A$3,"Por revisar",
IF(H662="","Sin registro","En programación Frcst."))),"En programación")))),
"Error")</f>
        <v>En programación Frcst.</v>
      </c>
      <c r="Q662" s="9" t="str">
        <f t="shared" si="30"/>
        <v/>
      </c>
      <c r="R662" s="25">
        <f>IF(P662="En programación Frcst.",VLOOKUP(L662,Meses!$A$1:$H$14,3+HLOOKUP(Cronograma!J662,Meses!$D$1:$G$2,2,FALSE),FALSE),
IF(P662="En programación",M662,""))</f>
        <v>45302</v>
      </c>
      <c r="S662" s="25" t="str">
        <f t="shared" si="32"/>
        <v>2024/1</v>
      </c>
      <c r="T662" s="21">
        <f>IFERROR(
(VLOOKUP(MONTH(R662),Meses!$B$3:$C$14,2,FALSE)-DAY(R662))/VLOOKUP(MONTH(R662),Meses!$B$3:$C$14,2,FALSE)*U662,
"")</f>
        <v>4064.516129032258</v>
      </c>
      <c r="U662" s="22">
        <f t="shared" si="31"/>
        <v>6300</v>
      </c>
    </row>
    <row r="663" spans="1:21" ht="31.8" hidden="1" thickBot="1" x14ac:dyDescent="0.6">
      <c r="A663" s="10" t="s">
        <v>820</v>
      </c>
      <c r="B663" s="10" t="s">
        <v>842</v>
      </c>
      <c r="C663" s="12">
        <v>45323</v>
      </c>
      <c r="D663" s="10" t="s">
        <v>671</v>
      </c>
      <c r="E663" s="10" t="s">
        <v>289</v>
      </c>
      <c r="F663" s="10">
        <v>4500</v>
      </c>
      <c r="G663" s="10" t="s">
        <v>15</v>
      </c>
      <c r="H663" s="10" t="s">
        <v>3311</v>
      </c>
      <c r="I663" s="10" t="s">
        <v>18</v>
      </c>
      <c r="J663" s="10" t="s">
        <v>143</v>
      </c>
      <c r="K663" s="10" t="s">
        <v>538</v>
      </c>
      <c r="L663" s="10" t="s">
        <v>279</v>
      </c>
      <c r="M663" s="12"/>
      <c r="N663" s="10" t="s">
        <v>15</v>
      </c>
      <c r="O663" s="10" t="s">
        <v>3311</v>
      </c>
      <c r="P663" s="25" t="str">
        <f>IFERROR(
IF(OR(O663="anulado",O663="stand by"),CONCATENATE(O663,": ",H663),
IF(OR(YEAR(M663)=2022,YEAR(M663)=2023),CONCATENATE("Se activó en ",YEAR(M663)),
IF(AND(OR(O663="En proceso",O663="facturando"),AND(J663="-",M663="")),"Por revisar",
IF(M663="",IF(J663="NUEVAS",CONCATENATE("Estado: ",O663,", ",J663),
IF(L663=Meses!$A$3,"Por revisar",
IF(H663="","Sin registro","En programación Frcst."))),"En programación")))),
"Error")</f>
        <v>En programación Frcst.</v>
      </c>
      <c r="Q663" s="9" t="str">
        <f t="shared" si="30"/>
        <v/>
      </c>
      <c r="R663" s="25">
        <f>IF(P663="En programación Frcst.",VLOOKUP(L663,Meses!$A$1:$H$14,3+HLOOKUP(Cronograma!J663,Meses!$D$1:$G$2,2,FALSE),FALSE),
IF(P663="En programación",M663,""))</f>
        <v>45302</v>
      </c>
      <c r="S663" s="25" t="str">
        <f t="shared" si="32"/>
        <v>2024/1</v>
      </c>
      <c r="T663" s="21">
        <f>IFERROR(
(VLOOKUP(MONTH(R663),Meses!$B$3:$C$14,2,FALSE)-DAY(R663))/VLOOKUP(MONTH(R663),Meses!$B$3:$C$14,2,FALSE)*U663,
"")</f>
        <v>2903.2258064516127</v>
      </c>
      <c r="U663" s="22">
        <f t="shared" si="31"/>
        <v>4500</v>
      </c>
    </row>
    <row r="664" spans="1:21" ht="31.8" hidden="1" thickBot="1" x14ac:dyDescent="0.6">
      <c r="A664" s="10" t="s">
        <v>820</v>
      </c>
      <c r="B664" s="10" t="s">
        <v>843</v>
      </c>
      <c r="C664" s="12"/>
      <c r="D664" s="10" t="s">
        <v>291</v>
      </c>
      <c r="E664" s="10" t="s">
        <v>291</v>
      </c>
      <c r="F664" s="10">
        <v>9800</v>
      </c>
      <c r="G664" s="10" t="s">
        <v>15</v>
      </c>
      <c r="H664" s="10" t="s">
        <v>140</v>
      </c>
      <c r="I664" s="10" t="s">
        <v>43</v>
      </c>
      <c r="J664" s="10" t="s">
        <v>19</v>
      </c>
      <c r="K664" s="10" t="s">
        <v>19</v>
      </c>
      <c r="L664" s="10" t="s">
        <v>19</v>
      </c>
      <c r="M664" s="12"/>
      <c r="N664" s="10" t="s">
        <v>20</v>
      </c>
      <c r="O664" s="10" t="s">
        <v>2056</v>
      </c>
      <c r="P664" s="25" t="str">
        <f>IFERROR(
IF(OR(O664="anulado",O664="stand by"),CONCATENATE(O664,": ",H664),
IF(OR(YEAR(M664)=2022,YEAR(M664)=2023),CONCATENATE("Se activó en ",YEAR(M664)),
IF(AND(OR(O664="En proceso",O664="facturando"),AND(J664="-",M664="")),"Por revisar",
IF(M664="",IF(J664="NUEVAS",CONCATENATE("Estado: ",O664,", ",J664),
IF(L664=Meses!$A$3,"Por revisar",
IF(H664="","Sin registro","En programación Frcst."))),"En programación")))),
"Error")</f>
        <v>anulado: Desistido</v>
      </c>
      <c r="Q664" s="9" t="str">
        <f t="shared" si="30"/>
        <v/>
      </c>
      <c r="R664" s="25" t="str">
        <f>IF(P664="En programación Frcst.",VLOOKUP(L664,Meses!$A$1:$H$14,3+HLOOKUP(Cronograma!J664,Meses!$D$1:$G$2,2,FALSE),FALSE),
IF(P664="En programación",M664,""))</f>
        <v/>
      </c>
      <c r="S664" s="25" t="str">
        <f t="shared" si="32"/>
        <v/>
      </c>
      <c r="T664" s="21" t="str">
        <f>IFERROR(
(VLOOKUP(MONTH(R664),Meses!$B$3:$C$14,2,FALSE)-DAY(R664))/VLOOKUP(MONTH(R664),Meses!$B$3:$C$14,2,FALSE)*U664,
"")</f>
        <v/>
      </c>
      <c r="U664" s="22">
        <f t="shared" si="31"/>
        <v>9800</v>
      </c>
    </row>
    <row r="665" spans="1:21" ht="32.4" hidden="1" thickBot="1" x14ac:dyDescent="0.6">
      <c r="A665" s="10" t="s">
        <v>844</v>
      </c>
      <c r="B665" s="10" t="s">
        <v>845</v>
      </c>
      <c r="C665" s="12">
        <v>45127</v>
      </c>
      <c r="D665" s="10" t="s">
        <v>291</v>
      </c>
      <c r="E665" s="10" t="s">
        <v>291</v>
      </c>
      <c r="F665" s="10">
        <v>0</v>
      </c>
      <c r="G665" s="10" t="s">
        <v>61</v>
      </c>
      <c r="H665" s="10" t="s">
        <v>17</v>
      </c>
      <c r="I665" s="10" t="s">
        <v>43</v>
      </c>
      <c r="J665" s="10" t="s">
        <v>19</v>
      </c>
      <c r="K665" s="10" t="s">
        <v>19</v>
      </c>
      <c r="L665" s="10" t="s">
        <v>19</v>
      </c>
      <c r="M665" s="12"/>
      <c r="N665" s="10" t="s">
        <v>20</v>
      </c>
      <c r="O665" s="10" t="s">
        <v>2054</v>
      </c>
      <c r="P665" s="25" t="str">
        <f>IFERROR(
IF(OR(O665="anulado",O665="stand by"),CONCATENATE(O665,": ",H665),
IF(OR(YEAR(M665)=2022,YEAR(M665)=2023),CONCATENATE("Se activó en ",YEAR(M665)),
IF(AND(OR(O665="En proceso",O665="facturando"),AND(J665="-",M665="")),"Por revisar",
IF(M665="",IF(J665="NUEVAS",CONCATENATE("Estado: ",O665,", ",J665),
IF(L665=Meses!$A$3,"Por revisar",
IF(H665="","Sin registro","En programación Frcst."))),"En programación")))),
"Error")</f>
        <v>Por revisar</v>
      </c>
      <c r="Q665" s="9" t="str">
        <f t="shared" si="30"/>
        <v>programación de act. NO, estado: Facturando, Comercializador: ELECTROHUILA, Etapa: Instalado y Activado</v>
      </c>
      <c r="R665" s="25" t="str">
        <f>IF(P665="En programación Frcst.",VLOOKUP(L665,Meses!$A$1:$H$14,3+HLOOKUP(Cronograma!J665,Meses!$D$1:$G$2,2,FALSE),FALSE),
IF(P665="En programación",M665,""))</f>
        <v/>
      </c>
      <c r="S665" s="25" t="str">
        <f t="shared" si="32"/>
        <v/>
      </c>
      <c r="T665" s="21" t="str">
        <f>IFERROR(
(VLOOKUP(MONTH(R665),Meses!$B$3:$C$14,2,FALSE)-DAY(R665))/VLOOKUP(MONTH(R665),Meses!$B$3:$C$14,2,FALSE)*U665,
"")</f>
        <v/>
      </c>
      <c r="U665" s="22">
        <f t="shared" si="31"/>
        <v>0</v>
      </c>
    </row>
    <row r="666" spans="1:21" ht="31.8" hidden="1" thickBot="1" x14ac:dyDescent="0.6">
      <c r="A666" s="10" t="s">
        <v>846</v>
      </c>
      <c r="B666" s="10" t="s">
        <v>847</v>
      </c>
      <c r="C666" s="12"/>
      <c r="D666" s="10" t="s">
        <v>74</v>
      </c>
      <c r="E666" s="10" t="s">
        <v>74</v>
      </c>
      <c r="F666" s="10">
        <v>2770</v>
      </c>
      <c r="G666" s="10" t="s">
        <v>15</v>
      </c>
      <c r="H666" s="10" t="s">
        <v>2917</v>
      </c>
      <c r="I666" s="10" t="s">
        <v>43</v>
      </c>
      <c r="J666" s="10" t="s">
        <v>143</v>
      </c>
      <c r="K666" s="10" t="s">
        <v>2895</v>
      </c>
      <c r="L666" s="10" t="s">
        <v>2292</v>
      </c>
      <c r="M666" s="12">
        <v>45400</v>
      </c>
      <c r="N666" s="10" t="s">
        <v>15</v>
      </c>
      <c r="O666" s="10" t="s">
        <v>2057</v>
      </c>
      <c r="P666" s="25" t="str">
        <f>IFERROR(
IF(OR(O666="anulado",O666="stand by"),CONCATENATE(O666,": ",H666),
IF(OR(YEAR(M666)=2022,YEAR(M666)=2023),CONCATENATE("Se activó en ",YEAR(M666)),
IF(AND(OR(O666="En proceso",O666="facturando"),AND(J666="-",M666="")),"Por revisar",
IF(M666="",IF(J666="NUEVAS",CONCATENATE("Estado: ",O666,", ",J666),
IF(L666=Meses!$A$3,"Por revisar",
IF(H666="","Sin registro","En programación Frcst."))),"En programación")))),
"Error")</f>
        <v>En programación</v>
      </c>
      <c r="Q666" s="9" t="str">
        <f t="shared" si="30"/>
        <v/>
      </c>
      <c r="R666" s="25">
        <f>IF(P666="En programación Frcst.",VLOOKUP(L666,Meses!$A$1:$H$14,3+HLOOKUP(Cronograma!J666,Meses!$D$1:$G$2,2,FALSE),FALSE),
IF(P666="En programación",M666,""))</f>
        <v>45400</v>
      </c>
      <c r="S666" s="25" t="str">
        <f t="shared" si="32"/>
        <v>2024/4</v>
      </c>
      <c r="T666" s="21">
        <f>IFERROR(
(VLOOKUP(MONTH(R666),Meses!$B$3:$C$14,2,FALSE)-DAY(R666))/VLOOKUP(MONTH(R666),Meses!$B$3:$C$14,2,FALSE)*U666,
"")</f>
        <v>1108</v>
      </c>
      <c r="U666" s="22">
        <f t="shared" si="31"/>
        <v>2770</v>
      </c>
    </row>
    <row r="667" spans="1:21" ht="32.4" hidden="1" thickBot="1" x14ac:dyDescent="0.6">
      <c r="A667" s="10" t="s">
        <v>848</v>
      </c>
      <c r="B667" s="10" t="s">
        <v>849</v>
      </c>
      <c r="C667" s="12">
        <v>45120</v>
      </c>
      <c r="D667" s="10" t="s">
        <v>654</v>
      </c>
      <c r="E667" s="10" t="s">
        <v>291</v>
      </c>
      <c r="F667" s="10">
        <v>0</v>
      </c>
      <c r="G667" s="10" t="s">
        <v>61</v>
      </c>
      <c r="H667" s="10" t="s">
        <v>17</v>
      </c>
      <c r="I667" s="10" t="s">
        <v>66</v>
      </c>
      <c r="J667" s="10" t="s">
        <v>19</v>
      </c>
      <c r="K667" s="10" t="s">
        <v>19</v>
      </c>
      <c r="L667" s="10" t="s">
        <v>19</v>
      </c>
      <c r="M667" s="12"/>
      <c r="N667" s="10" t="s">
        <v>20</v>
      </c>
      <c r="O667" s="10" t="s">
        <v>2054</v>
      </c>
      <c r="P667" s="25" t="str">
        <f>IFERROR(
IF(OR(O667="anulado",O667="stand by"),CONCATENATE(O667,": ",H667),
IF(OR(YEAR(M667)=2022,YEAR(M667)=2023),CONCATENATE("Se activó en ",YEAR(M667)),
IF(AND(OR(O667="En proceso",O667="facturando"),AND(J667="-",M667="")),"Por revisar",
IF(M667="",IF(J667="NUEVAS",CONCATENATE("Estado: ",O667,", ",J667),
IF(L667=Meses!$A$3,"Por revisar",
IF(H667="","Sin registro","En programación Frcst."))),"En programación")))),
"Error")</f>
        <v>Por revisar</v>
      </c>
      <c r="Q667" s="9" t="str">
        <f t="shared" si="30"/>
        <v>programación de act. NO, estado: Facturando, Comercializador: QI ENERGY, Etapa: Instalado y Activado</v>
      </c>
      <c r="R667" s="25" t="str">
        <f>IF(P667="En programación Frcst.",VLOOKUP(L667,Meses!$A$1:$H$14,3+HLOOKUP(Cronograma!J667,Meses!$D$1:$G$2,2,FALSE),FALSE),
IF(P667="En programación",M667,""))</f>
        <v/>
      </c>
      <c r="S667" s="25" t="str">
        <f t="shared" si="32"/>
        <v/>
      </c>
      <c r="T667" s="21" t="str">
        <f>IFERROR(
(VLOOKUP(MONTH(R667),Meses!$B$3:$C$14,2,FALSE)-DAY(R667))/VLOOKUP(MONTH(R667),Meses!$B$3:$C$14,2,FALSE)*U667,
"")</f>
        <v/>
      </c>
      <c r="U667" s="22">
        <f t="shared" si="31"/>
        <v>0</v>
      </c>
    </row>
    <row r="668" spans="1:21" ht="31.8" hidden="1" thickBot="1" x14ac:dyDescent="0.6">
      <c r="A668" s="10" t="s">
        <v>778</v>
      </c>
      <c r="B668" s="10" t="s">
        <v>850</v>
      </c>
      <c r="C668" s="12"/>
      <c r="D668" s="10" t="s">
        <v>171</v>
      </c>
      <c r="E668" s="10" t="s">
        <v>14</v>
      </c>
      <c r="F668" s="10">
        <v>10134</v>
      </c>
      <c r="G668" s="10" t="s">
        <v>15</v>
      </c>
      <c r="H668" s="10" t="s">
        <v>2916</v>
      </c>
      <c r="I668" s="10" t="s">
        <v>66</v>
      </c>
      <c r="J668" s="10" t="s">
        <v>292</v>
      </c>
      <c r="K668" s="10" t="s">
        <v>1697</v>
      </c>
      <c r="L668" s="10" t="s">
        <v>1120</v>
      </c>
      <c r="M668" s="12">
        <v>45379</v>
      </c>
      <c r="N668" s="10" t="s">
        <v>20</v>
      </c>
      <c r="O668" s="10" t="s">
        <v>2057</v>
      </c>
      <c r="P668" s="25" t="str">
        <f>IFERROR(
IF(OR(O668="anulado",O668="stand by"),CONCATENATE(O668,": ",H668),
IF(OR(YEAR(M668)=2022,YEAR(M668)=2023),CONCATENATE("Se activó en ",YEAR(M668)),
IF(AND(OR(O668="En proceso",O668="facturando"),AND(J668="-",M668="")),"Por revisar",
IF(M668="",IF(J668="NUEVAS",CONCATENATE("Estado: ",O668,", ",J668),
IF(L668=Meses!$A$3,"Por revisar",
IF(H668="","Sin registro","En programación Frcst."))),"En programación")))),
"Error")</f>
        <v>En programación</v>
      </c>
      <c r="Q668" s="9" t="str">
        <f t="shared" si="30"/>
        <v/>
      </c>
      <c r="R668" s="25">
        <f>IF(P668="En programación Frcst.",VLOOKUP(L668,Meses!$A$1:$H$14,3+HLOOKUP(Cronograma!J668,Meses!$D$1:$G$2,2,FALSE),FALSE),
IF(P668="En programación",M668,""))</f>
        <v>45379</v>
      </c>
      <c r="S668" s="25" t="str">
        <f t="shared" si="32"/>
        <v>2024/3</v>
      </c>
      <c r="T668" s="21">
        <f>IFERROR(
(VLOOKUP(MONTH(R668),Meses!$B$3:$C$14,2,FALSE)-DAY(R668))/VLOOKUP(MONTH(R668),Meses!$B$3:$C$14,2,FALSE)*U668,
"")</f>
        <v>980.70967741935476</v>
      </c>
      <c r="U668" s="22">
        <f t="shared" si="31"/>
        <v>10134</v>
      </c>
    </row>
    <row r="669" spans="1:21" ht="31.8" hidden="1" thickBot="1" x14ac:dyDescent="0.6">
      <c r="A669" s="10" t="s">
        <v>116</v>
      </c>
      <c r="B669" s="10" t="s">
        <v>851</v>
      </c>
      <c r="C669" s="12"/>
      <c r="D669" s="10" t="s">
        <v>74</v>
      </c>
      <c r="E669" s="10" t="s">
        <v>74</v>
      </c>
      <c r="F669" s="10">
        <v>4560</v>
      </c>
      <c r="G669" s="10" t="s">
        <v>15</v>
      </c>
      <c r="H669" s="10" t="s">
        <v>140</v>
      </c>
      <c r="I669" s="10" t="s">
        <v>43</v>
      </c>
      <c r="J669" s="10" t="s">
        <v>143</v>
      </c>
      <c r="K669" s="10" t="s">
        <v>2895</v>
      </c>
      <c r="L669" s="10" t="s">
        <v>2292</v>
      </c>
      <c r="M669" s="12">
        <v>45400</v>
      </c>
      <c r="N669" s="10" t="s">
        <v>15</v>
      </c>
      <c r="O669" s="10" t="s">
        <v>2056</v>
      </c>
      <c r="P669" s="25" t="str">
        <f>IFERROR(
IF(OR(O669="anulado",O669="stand by"),CONCATENATE(O669,": ",H669),
IF(OR(YEAR(M669)=2022,YEAR(M669)=2023),CONCATENATE("Se activó en ",YEAR(M669)),
IF(AND(OR(O669="En proceso",O669="facturando"),AND(J669="-",M669="")),"Por revisar",
IF(M669="",IF(J669="NUEVAS",CONCATENATE("Estado: ",O669,", ",J669),
IF(L669=Meses!$A$3,"Por revisar",
IF(H669="","Sin registro","En programación Frcst."))),"En programación")))),
"Error")</f>
        <v>anulado: Desistido</v>
      </c>
      <c r="Q669" s="9" t="str">
        <f t="shared" si="30"/>
        <v/>
      </c>
      <c r="R669" s="25" t="str">
        <f>IF(P669="En programación Frcst.",VLOOKUP(L669,Meses!$A$1:$H$14,3+HLOOKUP(Cronograma!J669,Meses!$D$1:$G$2,2,FALSE),FALSE),
IF(P669="En programación",M669,""))</f>
        <v/>
      </c>
      <c r="S669" s="25" t="str">
        <f t="shared" si="32"/>
        <v/>
      </c>
      <c r="T669" s="21" t="str">
        <f>IFERROR(
(VLOOKUP(MONTH(R669),Meses!$B$3:$C$14,2,FALSE)-DAY(R669))/VLOOKUP(MONTH(R669),Meses!$B$3:$C$14,2,FALSE)*U669,
"")</f>
        <v/>
      </c>
      <c r="U669" s="22">
        <f t="shared" si="31"/>
        <v>4560</v>
      </c>
    </row>
    <row r="670" spans="1:21" ht="32.4" hidden="1" thickBot="1" x14ac:dyDescent="0.6">
      <c r="A670" s="10" t="s">
        <v>853</v>
      </c>
      <c r="B670" s="10" t="s">
        <v>854</v>
      </c>
      <c r="C670" s="12">
        <v>45127</v>
      </c>
      <c r="D670" s="10" t="s">
        <v>291</v>
      </c>
      <c r="E670" s="10" t="s">
        <v>291</v>
      </c>
      <c r="F670" s="10">
        <v>0</v>
      </c>
      <c r="G670" s="10" t="s">
        <v>61</v>
      </c>
      <c r="H670" s="10" t="s">
        <v>17</v>
      </c>
      <c r="I670" s="10" t="s">
        <v>43</v>
      </c>
      <c r="J670" s="10" t="s">
        <v>19</v>
      </c>
      <c r="K670" s="10" t="s">
        <v>19</v>
      </c>
      <c r="L670" s="10" t="s">
        <v>19</v>
      </c>
      <c r="M670" s="12"/>
      <c r="N670" s="10" t="s">
        <v>20</v>
      </c>
      <c r="O670" s="10" t="s">
        <v>2054</v>
      </c>
      <c r="P670" s="25" t="str">
        <f>IFERROR(
IF(OR(O670="anulado",O670="stand by"),CONCATENATE(O670,": ",H670),
IF(OR(YEAR(M670)=2022,YEAR(M670)=2023),CONCATENATE("Se activó en ",YEAR(M670)),
IF(AND(OR(O670="En proceso",O670="facturando"),AND(J670="-",M670="")),"Por revisar",
IF(M670="",IF(J670="NUEVAS",CONCATENATE("Estado: ",O670,", ",J670),
IF(L670=Meses!$A$3,"Por revisar",
IF(H670="","Sin registro","En programación Frcst."))),"En programación")))),
"Error")</f>
        <v>Por revisar</v>
      </c>
      <c r="Q670" s="9" t="str">
        <f t="shared" si="30"/>
        <v>programación de act. NO, estado: Facturando, Comercializador: ELECTROHUILA, Etapa: Instalado y Activado</v>
      </c>
      <c r="R670" s="25" t="str">
        <f>IF(P670="En programación Frcst.",VLOOKUP(L670,Meses!$A$1:$H$14,3+HLOOKUP(Cronograma!J670,Meses!$D$1:$G$2,2,FALSE),FALSE),
IF(P670="En programación",M670,""))</f>
        <v/>
      </c>
      <c r="S670" s="25" t="str">
        <f t="shared" si="32"/>
        <v/>
      </c>
      <c r="T670" s="21" t="str">
        <f>IFERROR(
(VLOOKUP(MONTH(R670),Meses!$B$3:$C$14,2,FALSE)-DAY(R670))/VLOOKUP(MONTH(R670),Meses!$B$3:$C$14,2,FALSE)*U670,
"")</f>
        <v/>
      </c>
      <c r="U670" s="22">
        <f t="shared" si="31"/>
        <v>0</v>
      </c>
    </row>
    <row r="671" spans="1:21" ht="31.8" hidden="1" thickBot="1" x14ac:dyDescent="0.6">
      <c r="A671" s="10" t="s">
        <v>855</v>
      </c>
      <c r="B671" s="10" t="s">
        <v>856</v>
      </c>
      <c r="C671" s="12"/>
      <c r="D671" s="10" t="s">
        <v>233</v>
      </c>
      <c r="E671" s="10" t="s">
        <v>233</v>
      </c>
      <c r="F671" s="10">
        <v>4784</v>
      </c>
      <c r="G671" s="10" t="s">
        <v>15</v>
      </c>
      <c r="H671" s="10" t="s">
        <v>140</v>
      </c>
      <c r="I671" s="10" t="s">
        <v>18</v>
      </c>
      <c r="J671" s="10" t="s">
        <v>19</v>
      </c>
      <c r="K671" s="10" t="s">
        <v>19</v>
      </c>
      <c r="L671" s="10" t="s">
        <v>19</v>
      </c>
      <c r="M671" s="12"/>
      <c r="N671" s="10" t="s">
        <v>20</v>
      </c>
      <c r="O671" s="10" t="s">
        <v>2056</v>
      </c>
      <c r="P671" s="25" t="str">
        <f>IFERROR(
IF(OR(O671="anulado",O671="stand by"),CONCATENATE(O671,": ",H671),
IF(OR(YEAR(M671)=2022,YEAR(M671)=2023),CONCATENATE("Se activó en ",YEAR(M671)),
IF(AND(OR(O671="En proceso",O671="facturando"),AND(J671="-",M671="")),"Por revisar",
IF(M671="",IF(J671="NUEVAS",CONCATENATE("Estado: ",O671,", ",J671),
IF(L671=Meses!$A$3,"Por revisar",
IF(H671="","Sin registro","En programación Frcst."))),"En programación")))),
"Error")</f>
        <v>anulado: Desistido</v>
      </c>
      <c r="Q671" s="9" t="str">
        <f t="shared" si="30"/>
        <v/>
      </c>
      <c r="R671" s="25" t="str">
        <f>IF(P671="En programación Frcst.",VLOOKUP(L671,Meses!$A$1:$H$14,3+HLOOKUP(Cronograma!J671,Meses!$D$1:$G$2,2,FALSE),FALSE),
IF(P671="En programación",M671,""))</f>
        <v/>
      </c>
      <c r="S671" s="25" t="str">
        <f t="shared" si="32"/>
        <v/>
      </c>
      <c r="T671" s="21" t="str">
        <f>IFERROR(
(VLOOKUP(MONTH(R671),Meses!$B$3:$C$14,2,FALSE)-DAY(R671))/VLOOKUP(MONTH(R671),Meses!$B$3:$C$14,2,FALSE)*U671,
"")</f>
        <v/>
      </c>
      <c r="U671" s="22">
        <f t="shared" si="31"/>
        <v>4784</v>
      </c>
    </row>
    <row r="672" spans="1:21" ht="31.8" hidden="1" thickBot="1" x14ac:dyDescent="0.6">
      <c r="A672" s="10" t="s">
        <v>855</v>
      </c>
      <c r="B672" s="10" t="s">
        <v>857</v>
      </c>
      <c r="C672" s="12"/>
      <c r="D672" s="10" t="s">
        <v>23</v>
      </c>
      <c r="E672" s="10" t="s">
        <v>23</v>
      </c>
      <c r="F672" s="10">
        <v>6748</v>
      </c>
      <c r="G672" s="10" t="s">
        <v>15</v>
      </c>
      <c r="H672" s="10" t="s">
        <v>140</v>
      </c>
      <c r="I672" s="10" t="s">
        <v>43</v>
      </c>
      <c r="J672" s="10" t="s">
        <v>19</v>
      </c>
      <c r="K672" s="10" t="s">
        <v>19</v>
      </c>
      <c r="L672" s="10" t="s">
        <v>19</v>
      </c>
      <c r="M672" s="12"/>
      <c r="N672" s="10" t="s">
        <v>20</v>
      </c>
      <c r="O672" s="10" t="s">
        <v>2056</v>
      </c>
      <c r="P672" s="25" t="str">
        <f>IFERROR(
IF(OR(O672="anulado",O672="stand by"),CONCATENATE(O672,": ",H672),
IF(OR(YEAR(M672)=2022,YEAR(M672)=2023),CONCATENATE("Se activó en ",YEAR(M672)),
IF(AND(OR(O672="En proceso",O672="facturando"),AND(J672="-",M672="")),"Por revisar",
IF(M672="",IF(J672="NUEVAS",CONCATENATE("Estado: ",O672,", ",J672),
IF(L672=Meses!$A$3,"Por revisar",
IF(H672="","Sin registro","En programación Frcst."))),"En programación")))),
"Error")</f>
        <v>anulado: Desistido</v>
      </c>
      <c r="Q672" s="9" t="str">
        <f t="shared" si="30"/>
        <v/>
      </c>
      <c r="R672" s="25" t="str">
        <f>IF(P672="En programación Frcst.",VLOOKUP(L672,Meses!$A$1:$H$14,3+HLOOKUP(Cronograma!J672,Meses!$D$1:$G$2,2,FALSE),FALSE),
IF(P672="En programación",M672,""))</f>
        <v/>
      </c>
      <c r="S672" s="25" t="str">
        <f t="shared" si="32"/>
        <v/>
      </c>
      <c r="T672" s="21" t="str">
        <f>IFERROR(
(VLOOKUP(MONTH(R672),Meses!$B$3:$C$14,2,FALSE)-DAY(R672))/VLOOKUP(MONTH(R672),Meses!$B$3:$C$14,2,FALSE)*U672,
"")</f>
        <v/>
      </c>
      <c r="U672" s="22">
        <f t="shared" si="31"/>
        <v>6748</v>
      </c>
    </row>
    <row r="673" spans="1:21" ht="31.8" hidden="1" thickBot="1" x14ac:dyDescent="0.6">
      <c r="A673" s="10" t="s">
        <v>855</v>
      </c>
      <c r="B673" s="10" t="s">
        <v>858</v>
      </c>
      <c r="C673" s="12"/>
      <c r="D673" s="10" t="s">
        <v>171</v>
      </c>
      <c r="E673" s="10" t="s">
        <v>14</v>
      </c>
      <c r="F673" s="10">
        <v>7600</v>
      </c>
      <c r="G673" s="10" t="s">
        <v>15</v>
      </c>
      <c r="H673" s="10" t="s">
        <v>140</v>
      </c>
      <c r="I673" s="10" t="s">
        <v>66</v>
      </c>
      <c r="J673" s="10" t="s">
        <v>19</v>
      </c>
      <c r="K673" s="10" t="s">
        <v>19</v>
      </c>
      <c r="L673" s="10" t="s">
        <v>19</v>
      </c>
      <c r="M673" s="12"/>
      <c r="N673" s="10" t="s">
        <v>20</v>
      </c>
      <c r="O673" s="10" t="s">
        <v>2056</v>
      </c>
      <c r="P673" s="25" t="str">
        <f>IFERROR(
IF(OR(O673="anulado",O673="stand by"),CONCATENATE(O673,": ",H673),
IF(OR(YEAR(M673)=2022,YEAR(M673)=2023),CONCATENATE("Se activó en ",YEAR(M673)),
IF(AND(OR(O673="En proceso",O673="facturando"),AND(J673="-",M673="")),"Por revisar",
IF(M673="",IF(J673="NUEVAS",CONCATENATE("Estado: ",O673,", ",J673),
IF(L673=Meses!$A$3,"Por revisar",
IF(H673="","Sin registro","En programación Frcst."))),"En programación")))),
"Error")</f>
        <v>anulado: Desistido</v>
      </c>
      <c r="Q673" s="9" t="str">
        <f t="shared" si="30"/>
        <v/>
      </c>
      <c r="R673" s="25" t="str">
        <f>IF(P673="En programación Frcst.",VLOOKUP(L673,Meses!$A$1:$H$14,3+HLOOKUP(Cronograma!J673,Meses!$D$1:$G$2,2,FALSE),FALSE),
IF(P673="En programación",M673,""))</f>
        <v/>
      </c>
      <c r="S673" s="25" t="str">
        <f t="shared" si="32"/>
        <v/>
      </c>
      <c r="T673" s="21" t="str">
        <f>IFERROR(
(VLOOKUP(MONTH(R673),Meses!$B$3:$C$14,2,FALSE)-DAY(R673))/VLOOKUP(MONTH(R673),Meses!$B$3:$C$14,2,FALSE)*U673,
"")</f>
        <v/>
      </c>
      <c r="U673" s="22">
        <f t="shared" si="31"/>
        <v>7600</v>
      </c>
    </row>
    <row r="674" spans="1:21" ht="31.8" hidden="1" thickBot="1" x14ac:dyDescent="0.6">
      <c r="A674" s="10" t="s">
        <v>855</v>
      </c>
      <c r="B674" s="10" t="s">
        <v>859</v>
      </c>
      <c r="C674" s="12"/>
      <c r="D674" s="10" t="s">
        <v>23</v>
      </c>
      <c r="E674" s="10" t="s">
        <v>23</v>
      </c>
      <c r="F674" s="10">
        <v>1760</v>
      </c>
      <c r="G674" s="10" t="s">
        <v>15</v>
      </c>
      <c r="H674" s="10" t="s">
        <v>140</v>
      </c>
      <c r="I674" s="10" t="s">
        <v>43</v>
      </c>
      <c r="J674" s="10" t="s">
        <v>19</v>
      </c>
      <c r="K674" s="10" t="s">
        <v>19</v>
      </c>
      <c r="L674" s="10" t="s">
        <v>19</v>
      </c>
      <c r="M674" s="12"/>
      <c r="N674" s="10" t="s">
        <v>20</v>
      </c>
      <c r="O674" s="10" t="s">
        <v>2056</v>
      </c>
      <c r="P674" s="25" t="str">
        <f>IFERROR(
IF(OR(O674="anulado",O674="stand by"),CONCATENATE(O674,": ",H674),
IF(OR(YEAR(M674)=2022,YEAR(M674)=2023),CONCATENATE("Se activó en ",YEAR(M674)),
IF(AND(OR(O674="En proceso",O674="facturando"),AND(J674="-",M674="")),"Por revisar",
IF(M674="",IF(J674="NUEVAS",CONCATENATE("Estado: ",O674,", ",J674),
IF(L674=Meses!$A$3,"Por revisar",
IF(H674="","Sin registro","En programación Frcst."))),"En programación")))),
"Error")</f>
        <v>anulado: Desistido</v>
      </c>
      <c r="Q674" s="9" t="str">
        <f t="shared" si="30"/>
        <v/>
      </c>
      <c r="R674" s="25" t="str">
        <f>IF(P674="En programación Frcst.",VLOOKUP(L674,Meses!$A$1:$H$14,3+HLOOKUP(Cronograma!J674,Meses!$D$1:$G$2,2,FALSE),FALSE),
IF(P674="En programación",M674,""))</f>
        <v/>
      </c>
      <c r="S674" s="25" t="str">
        <f t="shared" si="32"/>
        <v/>
      </c>
      <c r="T674" s="21" t="str">
        <f>IFERROR(
(VLOOKUP(MONTH(R674),Meses!$B$3:$C$14,2,FALSE)-DAY(R674))/VLOOKUP(MONTH(R674),Meses!$B$3:$C$14,2,FALSE)*U674,
"")</f>
        <v/>
      </c>
      <c r="U674" s="22">
        <f t="shared" si="31"/>
        <v>1760</v>
      </c>
    </row>
    <row r="675" spans="1:21" ht="18" hidden="1" thickBot="1" x14ac:dyDescent="0.6">
      <c r="A675" s="10" t="s">
        <v>860</v>
      </c>
      <c r="B675" s="10" t="s">
        <v>861</v>
      </c>
      <c r="C675" s="12">
        <v>45148</v>
      </c>
      <c r="D675" s="10" t="s">
        <v>862</v>
      </c>
      <c r="E675" s="10" t="s">
        <v>14</v>
      </c>
      <c r="F675" s="10">
        <v>2200</v>
      </c>
      <c r="G675" s="10" t="s">
        <v>15</v>
      </c>
      <c r="H675" s="10" t="s">
        <v>2406</v>
      </c>
      <c r="I675" s="10" t="s">
        <v>66</v>
      </c>
      <c r="J675" s="10" t="s">
        <v>143</v>
      </c>
      <c r="K675" s="10" t="s">
        <v>2897</v>
      </c>
      <c r="L675" s="10" t="s">
        <v>2296</v>
      </c>
      <c r="M675" s="12"/>
      <c r="N675" s="10" t="s">
        <v>20</v>
      </c>
      <c r="O675" s="10" t="s">
        <v>2054</v>
      </c>
      <c r="P675" s="25" t="str">
        <f>IFERROR(
IF(OR(O675="anulado",O675="stand by"),CONCATENATE(O675,": ",H675),
IF(OR(YEAR(M675)=2022,YEAR(M675)=2023),CONCATENATE("Se activó en ",YEAR(M675)),
IF(AND(OR(O675="En proceso",O675="facturando"),AND(J675="-",M675="")),"Por revisar",
IF(M675="",IF(J675="NUEVAS",CONCATENATE("Estado: ",O675,", ",J675),
IF(L675=Meses!$A$3,"Por revisar",
IF(H675="","Sin registro","En programación Frcst."))),"En programación")))),
"Error")</f>
        <v>En programación Frcst.</v>
      </c>
      <c r="Q675" s="9" t="str">
        <f t="shared" si="30"/>
        <v/>
      </c>
      <c r="R675" s="25">
        <f>IF(P675="En programación Frcst.",VLOOKUP(L675,Meses!$A$1:$H$14,3+HLOOKUP(Cronograma!J675,Meses!$D$1:$G$2,2,FALSE),FALSE),
IF(P675="En programación",M675,""))</f>
        <v>0</v>
      </c>
      <c r="S675" s="25" t="str">
        <f t="shared" si="32"/>
        <v>1900/1</v>
      </c>
      <c r="T675" s="21">
        <f>IFERROR(
(VLOOKUP(MONTH(R675),Meses!$B$3:$C$14,2,FALSE)-DAY(R675))/VLOOKUP(MONTH(R675),Meses!$B$3:$C$14,2,FALSE)*U675,
"")</f>
        <v>2200</v>
      </c>
      <c r="U675" s="22">
        <f t="shared" si="31"/>
        <v>2200</v>
      </c>
    </row>
    <row r="676" spans="1:21" ht="31.8" hidden="1" thickBot="1" x14ac:dyDescent="0.6">
      <c r="A676" s="10" t="s">
        <v>860</v>
      </c>
      <c r="B676" s="10" t="s">
        <v>863</v>
      </c>
      <c r="C676" s="12">
        <v>45148</v>
      </c>
      <c r="D676" s="10" t="s">
        <v>862</v>
      </c>
      <c r="E676" s="10" t="s">
        <v>14</v>
      </c>
      <c r="F676" s="10">
        <v>59275</v>
      </c>
      <c r="G676" s="10" t="s">
        <v>15</v>
      </c>
      <c r="H676" s="10" t="s">
        <v>2406</v>
      </c>
      <c r="I676" s="10" t="s">
        <v>66</v>
      </c>
      <c r="J676" s="10" t="s">
        <v>143</v>
      </c>
      <c r="K676" s="10" t="s">
        <v>2897</v>
      </c>
      <c r="L676" s="10" t="s">
        <v>2296</v>
      </c>
      <c r="M676" s="12"/>
      <c r="N676" s="10" t="s">
        <v>20</v>
      </c>
      <c r="O676" s="10" t="s">
        <v>2054</v>
      </c>
      <c r="P676" s="25" t="str">
        <f>IFERROR(
IF(OR(O676="anulado",O676="stand by"),CONCATENATE(O676,": ",H676),
IF(OR(YEAR(M676)=2022,YEAR(M676)=2023),CONCATENATE("Se activó en ",YEAR(M676)),
IF(AND(OR(O676="En proceso",O676="facturando"),AND(J676="-",M676="")),"Por revisar",
IF(M676="",IF(J676="NUEVAS",CONCATENATE("Estado: ",O676,", ",J676),
IF(L676=Meses!$A$3,"Por revisar",
IF(H676="","Sin registro","En programación Frcst."))),"En programación")))),
"Error")</f>
        <v>En programación Frcst.</v>
      </c>
      <c r="Q676" s="9" t="str">
        <f t="shared" si="30"/>
        <v/>
      </c>
      <c r="R676" s="25">
        <f>IF(P676="En programación Frcst.",VLOOKUP(L676,Meses!$A$1:$H$14,3+HLOOKUP(Cronograma!J676,Meses!$D$1:$G$2,2,FALSE),FALSE),
IF(P676="En programación",M676,""))</f>
        <v>0</v>
      </c>
      <c r="S676" s="25" t="str">
        <f t="shared" si="32"/>
        <v>1900/1</v>
      </c>
      <c r="T676" s="21">
        <f>IFERROR(
(VLOOKUP(MONTH(R676),Meses!$B$3:$C$14,2,FALSE)-DAY(R676))/VLOOKUP(MONTH(R676),Meses!$B$3:$C$14,2,FALSE)*U676,
"")</f>
        <v>59275</v>
      </c>
      <c r="U676" s="22">
        <f t="shared" si="31"/>
        <v>59275</v>
      </c>
    </row>
    <row r="677" spans="1:21" ht="47.4" hidden="1" thickBot="1" x14ac:dyDescent="0.6">
      <c r="A677" s="10" t="s">
        <v>864</v>
      </c>
      <c r="B677" s="10" t="s">
        <v>865</v>
      </c>
      <c r="C677" s="12"/>
      <c r="D677" s="10" t="s">
        <v>14</v>
      </c>
      <c r="E677" s="10" t="s">
        <v>14</v>
      </c>
      <c r="F677" s="10">
        <v>20246</v>
      </c>
      <c r="G677" s="10" t="s">
        <v>15</v>
      </c>
      <c r="H677" s="10" t="s">
        <v>140</v>
      </c>
      <c r="I677" s="10" t="s">
        <v>18</v>
      </c>
      <c r="J677" s="10" t="s">
        <v>292</v>
      </c>
      <c r="K677" s="10" t="s">
        <v>1697</v>
      </c>
      <c r="L677" s="10" t="s">
        <v>1120</v>
      </c>
      <c r="M677" s="12">
        <v>45379</v>
      </c>
      <c r="N677" s="10" t="s">
        <v>15</v>
      </c>
      <c r="O677" s="10" t="s">
        <v>2056</v>
      </c>
      <c r="P677" s="25" t="str">
        <f>IFERROR(
IF(OR(O677="anulado",O677="stand by"),CONCATENATE(O677,": ",H677),
IF(OR(YEAR(M677)=2022,YEAR(M677)=2023),CONCATENATE("Se activó en ",YEAR(M677)),
IF(AND(OR(O677="En proceso",O677="facturando"),AND(J677="-",M677="")),"Por revisar",
IF(M677="",IF(J677="NUEVAS",CONCATENATE("Estado: ",O677,", ",J677),
IF(L677=Meses!$A$3,"Por revisar",
IF(H677="","Sin registro","En programación Frcst."))),"En programación")))),
"Error")</f>
        <v>anulado: Desistido</v>
      </c>
      <c r="Q677" s="9" t="str">
        <f t="shared" si="30"/>
        <v/>
      </c>
      <c r="R677" s="25" t="str">
        <f>IF(P677="En programación Frcst.",VLOOKUP(L677,Meses!$A$1:$H$14,3+HLOOKUP(Cronograma!J677,Meses!$D$1:$G$2,2,FALSE),FALSE),
IF(P677="En programación",M677,""))</f>
        <v/>
      </c>
      <c r="S677" s="25" t="str">
        <f t="shared" si="32"/>
        <v/>
      </c>
      <c r="T677" s="21" t="str">
        <f>IFERROR(
(VLOOKUP(MONTH(R677),Meses!$B$3:$C$14,2,FALSE)-DAY(R677))/VLOOKUP(MONTH(R677),Meses!$B$3:$C$14,2,FALSE)*U677,
"")</f>
        <v/>
      </c>
      <c r="U677" s="22">
        <f t="shared" si="31"/>
        <v>20246</v>
      </c>
    </row>
    <row r="678" spans="1:21" ht="47.4" hidden="1" thickBot="1" x14ac:dyDescent="0.6">
      <c r="A678" s="10" t="s">
        <v>866</v>
      </c>
      <c r="B678" s="10" t="s">
        <v>867</v>
      </c>
      <c r="C678" s="12">
        <v>45162</v>
      </c>
      <c r="D678" s="10" t="s">
        <v>14</v>
      </c>
      <c r="E678" s="10" t="s">
        <v>14</v>
      </c>
      <c r="F678" s="10">
        <v>1600</v>
      </c>
      <c r="G678" s="10" t="s">
        <v>15</v>
      </c>
      <c r="H678" s="10" t="s">
        <v>17</v>
      </c>
      <c r="I678" s="10" t="s">
        <v>18</v>
      </c>
      <c r="J678" s="10" t="s">
        <v>19</v>
      </c>
      <c r="K678" s="10" t="s">
        <v>19</v>
      </c>
      <c r="L678" s="10" t="s">
        <v>19</v>
      </c>
      <c r="M678" s="12"/>
      <c r="N678" s="10" t="s">
        <v>20</v>
      </c>
      <c r="O678" s="10" t="s">
        <v>2054</v>
      </c>
      <c r="P678" s="25" t="str">
        <f>IFERROR(
IF(OR(O678="anulado",O678="stand by"),CONCATENATE(O678,": ",H678),
IF(OR(YEAR(M678)=2022,YEAR(M678)=2023),CONCATENATE("Se activó en ",YEAR(M678)),
IF(AND(OR(O678="En proceso",O678="facturando"),AND(J678="-",M678="")),"Por revisar",
IF(M678="",IF(J678="NUEVAS",CONCATENATE("Estado: ",O678,", ",J678),
IF(L678=Meses!$A$3,"Por revisar",
IF(H678="","Sin registro","En programación Frcst."))),"En programación")))),
"Error")</f>
        <v>Por revisar</v>
      </c>
      <c r="Q678" s="9" t="str">
        <f t="shared" si="30"/>
        <v>programación de act. NO, estado: Facturando, Comercializador: ENEL, Etapa: Instalado y Activado</v>
      </c>
      <c r="R678" s="25" t="str">
        <f>IF(P678="En programación Frcst.",VLOOKUP(L678,Meses!$A$1:$H$14,3+HLOOKUP(Cronograma!J678,Meses!$D$1:$G$2,2,FALSE),FALSE),
IF(P678="En programación",M678,""))</f>
        <v/>
      </c>
      <c r="S678" s="25" t="str">
        <f t="shared" si="32"/>
        <v/>
      </c>
      <c r="T678" s="21" t="str">
        <f>IFERROR(
(VLOOKUP(MONTH(R678),Meses!$B$3:$C$14,2,FALSE)-DAY(R678))/VLOOKUP(MONTH(R678),Meses!$B$3:$C$14,2,FALSE)*U678,
"")</f>
        <v/>
      </c>
      <c r="U678" s="22">
        <f t="shared" si="31"/>
        <v>1600</v>
      </c>
    </row>
    <row r="679" spans="1:21" ht="47.4" hidden="1" thickBot="1" x14ac:dyDescent="0.6">
      <c r="A679" s="10" t="s">
        <v>866</v>
      </c>
      <c r="B679" s="10" t="s">
        <v>868</v>
      </c>
      <c r="C679" s="12">
        <v>45162</v>
      </c>
      <c r="D679" s="10" t="s">
        <v>14</v>
      </c>
      <c r="E679" s="10" t="s">
        <v>14</v>
      </c>
      <c r="F679" s="10">
        <v>3531</v>
      </c>
      <c r="G679" s="10" t="s">
        <v>15</v>
      </c>
      <c r="H679" s="10" t="s">
        <v>17</v>
      </c>
      <c r="I679" s="10" t="s">
        <v>18</v>
      </c>
      <c r="J679" s="10" t="s">
        <v>19</v>
      </c>
      <c r="K679" s="10" t="s">
        <v>19</v>
      </c>
      <c r="L679" s="10" t="s">
        <v>19</v>
      </c>
      <c r="M679" s="12"/>
      <c r="N679" s="10" t="s">
        <v>20</v>
      </c>
      <c r="O679" s="10" t="s">
        <v>2054</v>
      </c>
      <c r="P679" s="25" t="str">
        <f>IFERROR(
IF(OR(O679="anulado",O679="stand by"),CONCATENATE(O679,": ",H679),
IF(OR(YEAR(M679)=2022,YEAR(M679)=2023),CONCATENATE("Se activó en ",YEAR(M679)),
IF(AND(OR(O679="En proceso",O679="facturando"),AND(J679="-",M679="")),"Por revisar",
IF(M679="",IF(J679="NUEVAS",CONCATENATE("Estado: ",O679,", ",J679),
IF(L679=Meses!$A$3,"Por revisar",
IF(H679="","Sin registro","En programación Frcst."))),"En programación")))),
"Error")</f>
        <v>Por revisar</v>
      </c>
      <c r="Q679" s="9" t="str">
        <f t="shared" si="30"/>
        <v>programación de act. NO, estado: Facturando, Comercializador: ENEL, Etapa: Instalado y Activado</v>
      </c>
      <c r="R679" s="25" t="str">
        <f>IF(P679="En programación Frcst.",VLOOKUP(L679,Meses!$A$1:$H$14,3+HLOOKUP(Cronograma!J679,Meses!$D$1:$G$2,2,FALSE),FALSE),
IF(P679="En programación",M679,""))</f>
        <v/>
      </c>
      <c r="S679" s="25" t="str">
        <f t="shared" si="32"/>
        <v/>
      </c>
      <c r="T679" s="21" t="str">
        <f>IFERROR(
(VLOOKUP(MONTH(R679),Meses!$B$3:$C$14,2,FALSE)-DAY(R679))/VLOOKUP(MONTH(R679),Meses!$B$3:$C$14,2,FALSE)*U679,
"")</f>
        <v/>
      </c>
      <c r="U679" s="22">
        <f t="shared" si="31"/>
        <v>3531</v>
      </c>
    </row>
    <row r="680" spans="1:21" ht="47.4" hidden="1" thickBot="1" x14ac:dyDescent="0.6">
      <c r="A680" s="10" t="s">
        <v>866</v>
      </c>
      <c r="B680" s="10" t="s">
        <v>869</v>
      </c>
      <c r="C680" s="12">
        <v>45162</v>
      </c>
      <c r="D680" s="10" t="s">
        <v>14</v>
      </c>
      <c r="E680" s="10" t="s">
        <v>14</v>
      </c>
      <c r="F680" s="10">
        <v>3645</v>
      </c>
      <c r="G680" s="10" t="s">
        <v>15</v>
      </c>
      <c r="H680" s="10" t="s">
        <v>2406</v>
      </c>
      <c r="I680" s="10" t="s">
        <v>18</v>
      </c>
      <c r="J680" s="10" t="s">
        <v>292</v>
      </c>
      <c r="K680" s="10" t="s">
        <v>2900</v>
      </c>
      <c r="L680" s="10" t="s">
        <v>2296</v>
      </c>
      <c r="M680" s="12"/>
      <c r="N680" s="10" t="s">
        <v>20</v>
      </c>
      <c r="O680" s="10" t="s">
        <v>2054</v>
      </c>
      <c r="P680" s="25" t="str">
        <f>IFERROR(
IF(OR(O680="anulado",O680="stand by"),CONCATENATE(O680,": ",H680),
IF(OR(YEAR(M680)=2022,YEAR(M680)=2023),CONCATENATE("Se activó en ",YEAR(M680)),
IF(AND(OR(O680="En proceso",O680="facturando"),AND(J680="-",M680="")),"Por revisar",
IF(M680="",IF(J680="NUEVAS",CONCATENATE("Estado: ",O680,", ",J680),
IF(L680=Meses!$A$3,"Por revisar",
IF(H680="","Sin registro","En programación Frcst."))),"En programación")))),
"Error")</f>
        <v>En programación Frcst.</v>
      </c>
      <c r="Q680" s="9" t="str">
        <f t="shared" si="30"/>
        <v/>
      </c>
      <c r="R680" s="25">
        <f>IF(P680="En programación Frcst.",VLOOKUP(L680,Meses!$A$1:$H$14,3+HLOOKUP(Cronograma!J680,Meses!$D$1:$G$2,2,FALSE),FALSE),
IF(P680="En programación",M680,""))</f>
        <v>0</v>
      </c>
      <c r="S680" s="25" t="str">
        <f t="shared" si="32"/>
        <v>1900/1</v>
      </c>
      <c r="T680" s="21">
        <f>IFERROR(
(VLOOKUP(MONTH(R680),Meses!$B$3:$C$14,2,FALSE)-DAY(R680))/VLOOKUP(MONTH(R680),Meses!$B$3:$C$14,2,FALSE)*U680,
"")</f>
        <v>3645</v>
      </c>
      <c r="U680" s="22">
        <f t="shared" si="31"/>
        <v>3645</v>
      </c>
    </row>
    <row r="681" spans="1:21" ht="47.4" hidden="1" thickBot="1" x14ac:dyDescent="0.6">
      <c r="A681" s="10" t="s">
        <v>866</v>
      </c>
      <c r="B681" s="10" t="s">
        <v>870</v>
      </c>
      <c r="C681" s="12">
        <v>45162</v>
      </c>
      <c r="D681" s="10" t="s">
        <v>14</v>
      </c>
      <c r="E681" s="10" t="s">
        <v>14</v>
      </c>
      <c r="F681" s="10">
        <v>3700</v>
      </c>
      <c r="G681" s="10" t="s">
        <v>15</v>
      </c>
      <c r="H681" s="10" t="s">
        <v>17</v>
      </c>
      <c r="I681" s="10" t="s">
        <v>18</v>
      </c>
      <c r="J681" s="10" t="s">
        <v>19</v>
      </c>
      <c r="K681" s="10" t="s">
        <v>19</v>
      </c>
      <c r="L681" s="10" t="s">
        <v>19</v>
      </c>
      <c r="M681" s="12"/>
      <c r="N681" s="10" t="s">
        <v>20</v>
      </c>
      <c r="O681" s="10" t="s">
        <v>2054</v>
      </c>
      <c r="P681" s="25" t="str">
        <f>IFERROR(
IF(OR(O681="anulado",O681="stand by"),CONCATENATE(O681,": ",H681),
IF(OR(YEAR(M681)=2022,YEAR(M681)=2023),CONCATENATE("Se activó en ",YEAR(M681)),
IF(AND(OR(O681="En proceso",O681="facturando"),AND(J681="-",M681="")),"Por revisar",
IF(M681="",IF(J681="NUEVAS",CONCATENATE("Estado: ",O681,", ",J681),
IF(L681=Meses!$A$3,"Por revisar",
IF(H681="","Sin registro","En programación Frcst."))),"En programación")))),
"Error")</f>
        <v>Por revisar</v>
      </c>
      <c r="Q681" s="9" t="str">
        <f t="shared" si="30"/>
        <v>programación de act. NO, estado: Facturando, Comercializador: ENEL, Etapa: Instalado y Activado</v>
      </c>
      <c r="R681" s="25" t="str">
        <f>IF(P681="En programación Frcst.",VLOOKUP(L681,Meses!$A$1:$H$14,3+HLOOKUP(Cronograma!J681,Meses!$D$1:$G$2,2,FALSE),FALSE),
IF(P681="En programación",M681,""))</f>
        <v/>
      </c>
      <c r="S681" s="25" t="str">
        <f t="shared" si="32"/>
        <v/>
      </c>
      <c r="T681" s="21" t="str">
        <f>IFERROR(
(VLOOKUP(MONTH(R681),Meses!$B$3:$C$14,2,FALSE)-DAY(R681))/VLOOKUP(MONTH(R681),Meses!$B$3:$C$14,2,FALSE)*U681,
"")</f>
        <v/>
      </c>
      <c r="U681" s="22">
        <f t="shared" si="31"/>
        <v>3700</v>
      </c>
    </row>
    <row r="682" spans="1:21" ht="47.4" hidden="1" thickBot="1" x14ac:dyDescent="0.6">
      <c r="A682" s="10" t="s">
        <v>866</v>
      </c>
      <c r="B682" s="10" t="s">
        <v>871</v>
      </c>
      <c r="C682" s="12">
        <v>45162</v>
      </c>
      <c r="D682" s="10" t="s">
        <v>14</v>
      </c>
      <c r="E682" s="10" t="s">
        <v>14</v>
      </c>
      <c r="F682" s="10">
        <v>3535</v>
      </c>
      <c r="G682" s="10" t="s">
        <v>15</v>
      </c>
      <c r="H682" s="10" t="s">
        <v>17</v>
      </c>
      <c r="I682" s="10" t="s">
        <v>18</v>
      </c>
      <c r="J682" s="10" t="s">
        <v>19</v>
      </c>
      <c r="K682" s="10" t="s">
        <v>19</v>
      </c>
      <c r="L682" s="10" t="s">
        <v>19</v>
      </c>
      <c r="M682" s="12"/>
      <c r="N682" s="10" t="s">
        <v>20</v>
      </c>
      <c r="O682" s="10" t="s">
        <v>2054</v>
      </c>
      <c r="P682" s="25" t="str">
        <f>IFERROR(
IF(OR(O682="anulado",O682="stand by"),CONCATENATE(O682,": ",H682),
IF(OR(YEAR(M682)=2022,YEAR(M682)=2023),CONCATENATE("Se activó en ",YEAR(M682)),
IF(AND(OR(O682="En proceso",O682="facturando"),AND(J682="-",M682="")),"Por revisar",
IF(M682="",IF(J682="NUEVAS",CONCATENATE("Estado: ",O682,", ",J682),
IF(L682=Meses!$A$3,"Por revisar",
IF(H682="","Sin registro","En programación Frcst."))),"En programación")))),
"Error")</f>
        <v>Por revisar</v>
      </c>
      <c r="Q682" s="9" t="str">
        <f t="shared" si="30"/>
        <v>programación de act. NO, estado: Facturando, Comercializador: ENEL, Etapa: Instalado y Activado</v>
      </c>
      <c r="R682" s="25" t="str">
        <f>IF(P682="En programación Frcst.",VLOOKUP(L682,Meses!$A$1:$H$14,3+HLOOKUP(Cronograma!J682,Meses!$D$1:$G$2,2,FALSE),FALSE),
IF(P682="En programación",M682,""))</f>
        <v/>
      </c>
      <c r="S682" s="25" t="str">
        <f t="shared" si="32"/>
        <v/>
      </c>
      <c r="T682" s="21" t="str">
        <f>IFERROR(
(VLOOKUP(MONTH(R682),Meses!$B$3:$C$14,2,FALSE)-DAY(R682))/VLOOKUP(MONTH(R682),Meses!$B$3:$C$14,2,FALSE)*U682,
"")</f>
        <v/>
      </c>
      <c r="U682" s="22">
        <f t="shared" si="31"/>
        <v>3535</v>
      </c>
    </row>
    <row r="683" spans="1:21" ht="47.4" hidden="1" thickBot="1" x14ac:dyDescent="0.6">
      <c r="A683" s="10" t="s">
        <v>866</v>
      </c>
      <c r="B683" s="10" t="s">
        <v>872</v>
      </c>
      <c r="C683" s="12">
        <v>45162</v>
      </c>
      <c r="D683" s="10" t="s">
        <v>14</v>
      </c>
      <c r="E683" s="10" t="s">
        <v>14</v>
      </c>
      <c r="F683" s="10">
        <v>3200</v>
      </c>
      <c r="G683" s="10" t="s">
        <v>15</v>
      </c>
      <c r="H683" s="10" t="s">
        <v>17</v>
      </c>
      <c r="I683" s="10" t="s">
        <v>18</v>
      </c>
      <c r="J683" s="10" t="s">
        <v>19</v>
      </c>
      <c r="K683" s="10" t="s">
        <v>19</v>
      </c>
      <c r="L683" s="10" t="s">
        <v>19</v>
      </c>
      <c r="M683" s="12"/>
      <c r="N683" s="10" t="s">
        <v>20</v>
      </c>
      <c r="O683" s="10" t="s">
        <v>2054</v>
      </c>
      <c r="P683" s="25" t="str">
        <f>IFERROR(
IF(OR(O683="anulado",O683="stand by"),CONCATENATE(O683,": ",H683),
IF(OR(YEAR(M683)=2022,YEAR(M683)=2023),CONCATENATE("Se activó en ",YEAR(M683)),
IF(AND(OR(O683="En proceso",O683="facturando"),AND(J683="-",M683="")),"Por revisar",
IF(M683="",IF(J683="NUEVAS",CONCATENATE("Estado: ",O683,", ",J683),
IF(L683=Meses!$A$3,"Por revisar",
IF(H683="","Sin registro","En programación Frcst."))),"En programación")))),
"Error")</f>
        <v>Por revisar</v>
      </c>
      <c r="Q683" s="9" t="str">
        <f t="shared" si="30"/>
        <v>programación de act. NO, estado: Facturando, Comercializador: ENEL, Etapa: Instalado y Activado</v>
      </c>
      <c r="R683" s="25" t="str">
        <f>IF(P683="En programación Frcst.",VLOOKUP(L683,Meses!$A$1:$H$14,3+HLOOKUP(Cronograma!J683,Meses!$D$1:$G$2,2,FALSE),FALSE),
IF(P683="En programación",M683,""))</f>
        <v/>
      </c>
      <c r="S683" s="25" t="str">
        <f t="shared" si="32"/>
        <v/>
      </c>
      <c r="T683" s="21" t="str">
        <f>IFERROR(
(VLOOKUP(MONTH(R683),Meses!$B$3:$C$14,2,FALSE)-DAY(R683))/VLOOKUP(MONTH(R683),Meses!$B$3:$C$14,2,FALSE)*U683,
"")</f>
        <v/>
      </c>
      <c r="U683" s="22">
        <f t="shared" si="31"/>
        <v>3200</v>
      </c>
    </row>
    <row r="684" spans="1:21" ht="47.4" hidden="1" thickBot="1" x14ac:dyDescent="0.6">
      <c r="A684" s="10" t="s">
        <v>866</v>
      </c>
      <c r="B684" s="10" t="s">
        <v>873</v>
      </c>
      <c r="C684" s="12">
        <v>45162</v>
      </c>
      <c r="D684" s="10" t="s">
        <v>14</v>
      </c>
      <c r="E684" s="10" t="s">
        <v>14</v>
      </c>
      <c r="F684" s="10">
        <v>3700</v>
      </c>
      <c r="G684" s="10" t="s">
        <v>15</v>
      </c>
      <c r="H684" s="10" t="s">
        <v>17</v>
      </c>
      <c r="I684" s="10" t="s">
        <v>18</v>
      </c>
      <c r="J684" s="10" t="s">
        <v>19</v>
      </c>
      <c r="K684" s="10" t="s">
        <v>19</v>
      </c>
      <c r="L684" s="10" t="s">
        <v>19</v>
      </c>
      <c r="M684" s="12"/>
      <c r="N684" s="10" t="s">
        <v>20</v>
      </c>
      <c r="O684" s="10" t="s">
        <v>2054</v>
      </c>
      <c r="P684" s="25" t="str">
        <f>IFERROR(
IF(OR(O684="anulado",O684="stand by"),CONCATENATE(O684,": ",H684),
IF(OR(YEAR(M684)=2022,YEAR(M684)=2023),CONCATENATE("Se activó en ",YEAR(M684)),
IF(AND(OR(O684="En proceso",O684="facturando"),AND(J684="-",M684="")),"Por revisar",
IF(M684="",IF(J684="NUEVAS",CONCATENATE("Estado: ",O684,", ",J684),
IF(L684=Meses!$A$3,"Por revisar",
IF(H684="","Sin registro","En programación Frcst."))),"En programación")))),
"Error")</f>
        <v>Por revisar</v>
      </c>
      <c r="Q684" s="9" t="str">
        <f t="shared" si="30"/>
        <v>programación de act. NO, estado: Facturando, Comercializador: ENEL, Etapa: Instalado y Activado</v>
      </c>
      <c r="R684" s="25" t="str">
        <f>IF(P684="En programación Frcst.",VLOOKUP(L684,Meses!$A$1:$H$14,3+HLOOKUP(Cronograma!J684,Meses!$D$1:$G$2,2,FALSE),FALSE),
IF(P684="En programación",M684,""))</f>
        <v/>
      </c>
      <c r="S684" s="25" t="str">
        <f t="shared" si="32"/>
        <v/>
      </c>
      <c r="T684" s="21" t="str">
        <f>IFERROR(
(VLOOKUP(MONTH(R684),Meses!$B$3:$C$14,2,FALSE)-DAY(R684))/VLOOKUP(MONTH(R684),Meses!$B$3:$C$14,2,FALSE)*U684,
"")</f>
        <v/>
      </c>
      <c r="U684" s="22">
        <f t="shared" si="31"/>
        <v>3700</v>
      </c>
    </row>
    <row r="685" spans="1:21" ht="47.4" hidden="1" thickBot="1" x14ac:dyDescent="0.6">
      <c r="A685" s="10" t="s">
        <v>866</v>
      </c>
      <c r="B685" s="10" t="s">
        <v>874</v>
      </c>
      <c r="C685" s="12">
        <v>45204</v>
      </c>
      <c r="D685" s="10" t="s">
        <v>14</v>
      </c>
      <c r="E685" s="10" t="s">
        <v>44</v>
      </c>
      <c r="F685" s="10">
        <v>7885</v>
      </c>
      <c r="G685" s="10" t="s">
        <v>15</v>
      </c>
      <c r="H685" s="10" t="s">
        <v>17</v>
      </c>
      <c r="I685" s="10" t="s">
        <v>18</v>
      </c>
      <c r="J685" s="10" t="s">
        <v>19</v>
      </c>
      <c r="K685" s="10" t="s">
        <v>19</v>
      </c>
      <c r="L685" s="10" t="s">
        <v>19</v>
      </c>
      <c r="M685" s="12"/>
      <c r="N685" s="10" t="s">
        <v>20</v>
      </c>
      <c r="O685" s="10" t="s">
        <v>2054</v>
      </c>
      <c r="P685" s="25" t="str">
        <f>IFERROR(
IF(OR(O685="anulado",O685="stand by"),CONCATENATE(O685,": ",H685),
IF(OR(YEAR(M685)=2022,YEAR(M685)=2023),CONCATENATE("Se activó en ",YEAR(M685)),
IF(AND(OR(O685="En proceso",O685="facturando"),AND(J685="-",M685="")),"Por revisar",
IF(M685="",IF(J685="NUEVAS",CONCATENATE("Estado: ",O685,", ",J685),
IF(L685=Meses!$A$3,"Por revisar",
IF(H685="","Sin registro","En programación Frcst."))),"En programación")))),
"Error")</f>
        <v>Por revisar</v>
      </c>
      <c r="Q685" s="9" t="str">
        <f t="shared" si="30"/>
        <v>programación de act. NO, estado: Facturando, Comercializador: ENEL, Etapa: Instalado y Activado</v>
      </c>
      <c r="R685" s="25" t="str">
        <f>IF(P685="En programación Frcst.",VLOOKUP(L685,Meses!$A$1:$H$14,3+HLOOKUP(Cronograma!J685,Meses!$D$1:$G$2,2,FALSE),FALSE),
IF(P685="En programación",M685,""))</f>
        <v/>
      </c>
      <c r="S685" s="25" t="str">
        <f t="shared" si="32"/>
        <v/>
      </c>
      <c r="T685" s="21" t="str">
        <f>IFERROR(
(VLOOKUP(MONTH(R685),Meses!$B$3:$C$14,2,FALSE)-DAY(R685))/VLOOKUP(MONTH(R685),Meses!$B$3:$C$14,2,FALSE)*U685,
"")</f>
        <v/>
      </c>
      <c r="U685" s="22">
        <f t="shared" si="31"/>
        <v>7885</v>
      </c>
    </row>
    <row r="686" spans="1:21" ht="47.4" hidden="1" thickBot="1" x14ac:dyDescent="0.6">
      <c r="A686" s="10" t="s">
        <v>866</v>
      </c>
      <c r="B686" s="10" t="s">
        <v>875</v>
      </c>
      <c r="C686" s="12">
        <v>45148</v>
      </c>
      <c r="D686" s="10" t="s">
        <v>14</v>
      </c>
      <c r="E686" s="10" t="s">
        <v>14</v>
      </c>
      <c r="F686" s="10">
        <v>2684</v>
      </c>
      <c r="G686" s="10" t="s">
        <v>15</v>
      </c>
      <c r="H686" s="10" t="s">
        <v>17</v>
      </c>
      <c r="I686" s="10" t="s">
        <v>18</v>
      </c>
      <c r="J686" s="10" t="s">
        <v>19</v>
      </c>
      <c r="K686" s="10" t="s">
        <v>19</v>
      </c>
      <c r="L686" s="10" t="s">
        <v>19</v>
      </c>
      <c r="M686" s="12"/>
      <c r="N686" s="10" t="s">
        <v>20</v>
      </c>
      <c r="O686" s="10" t="s">
        <v>2054</v>
      </c>
      <c r="P686" s="25" t="str">
        <f>IFERROR(
IF(OR(O686="anulado",O686="stand by"),CONCATENATE(O686,": ",H686),
IF(OR(YEAR(M686)=2022,YEAR(M686)=2023),CONCATENATE("Se activó en ",YEAR(M686)),
IF(AND(OR(O686="En proceso",O686="facturando"),AND(J686="-",M686="")),"Por revisar",
IF(M686="",IF(J686="NUEVAS",CONCATENATE("Estado: ",O686,", ",J686),
IF(L686=Meses!$A$3,"Por revisar",
IF(H686="","Sin registro","En programación Frcst."))),"En programación")))),
"Error")</f>
        <v>Por revisar</v>
      </c>
      <c r="Q686" s="9" t="str">
        <f t="shared" si="30"/>
        <v>programación de act. NO, estado: Facturando, Comercializador: ENEL, Etapa: Instalado y Activado</v>
      </c>
      <c r="R686" s="25" t="str">
        <f>IF(P686="En programación Frcst.",VLOOKUP(L686,Meses!$A$1:$H$14,3+HLOOKUP(Cronograma!J686,Meses!$D$1:$G$2,2,FALSE),FALSE),
IF(P686="En programación",M686,""))</f>
        <v/>
      </c>
      <c r="S686" s="25" t="str">
        <f t="shared" si="32"/>
        <v/>
      </c>
      <c r="T686" s="21" t="str">
        <f>IFERROR(
(VLOOKUP(MONTH(R686),Meses!$B$3:$C$14,2,FALSE)-DAY(R686))/VLOOKUP(MONTH(R686),Meses!$B$3:$C$14,2,FALSE)*U686,
"")</f>
        <v/>
      </c>
      <c r="U686" s="22">
        <f t="shared" si="31"/>
        <v>2684</v>
      </c>
    </row>
    <row r="687" spans="1:21" ht="47.4" hidden="1" thickBot="1" x14ac:dyDescent="0.6">
      <c r="A687" s="10" t="s">
        <v>866</v>
      </c>
      <c r="B687" s="10" t="s">
        <v>876</v>
      </c>
      <c r="C687" s="12">
        <v>45148</v>
      </c>
      <c r="D687" s="10" t="s">
        <v>14</v>
      </c>
      <c r="E687" s="10" t="s">
        <v>14</v>
      </c>
      <c r="F687" s="10">
        <v>4534</v>
      </c>
      <c r="G687" s="10" t="s">
        <v>15</v>
      </c>
      <c r="H687" s="10" t="s">
        <v>17</v>
      </c>
      <c r="I687" s="10" t="s">
        <v>18</v>
      </c>
      <c r="J687" s="10" t="s">
        <v>19</v>
      </c>
      <c r="K687" s="10" t="s">
        <v>19</v>
      </c>
      <c r="L687" s="10" t="s">
        <v>19</v>
      </c>
      <c r="M687" s="12"/>
      <c r="N687" s="10" t="s">
        <v>20</v>
      </c>
      <c r="O687" s="10" t="s">
        <v>2054</v>
      </c>
      <c r="P687" s="25" t="str">
        <f>IFERROR(
IF(OR(O687="anulado",O687="stand by"),CONCATENATE(O687,": ",H687),
IF(OR(YEAR(M687)=2022,YEAR(M687)=2023),CONCATENATE("Se activó en ",YEAR(M687)),
IF(AND(OR(O687="En proceso",O687="facturando"),AND(J687="-",M687="")),"Por revisar",
IF(M687="",IF(J687="NUEVAS",CONCATENATE("Estado: ",O687,", ",J687),
IF(L687=Meses!$A$3,"Por revisar",
IF(H687="","Sin registro","En programación Frcst."))),"En programación")))),
"Error")</f>
        <v>Por revisar</v>
      </c>
      <c r="Q687" s="9" t="str">
        <f t="shared" si="30"/>
        <v>programación de act. NO, estado: Facturando, Comercializador: ENEL, Etapa: Instalado y Activado</v>
      </c>
      <c r="R687" s="25" t="str">
        <f>IF(P687="En programación Frcst.",VLOOKUP(L687,Meses!$A$1:$H$14,3+HLOOKUP(Cronograma!J687,Meses!$D$1:$G$2,2,FALSE),FALSE),
IF(P687="En programación",M687,""))</f>
        <v/>
      </c>
      <c r="S687" s="25" t="str">
        <f t="shared" si="32"/>
        <v/>
      </c>
      <c r="T687" s="21" t="str">
        <f>IFERROR(
(VLOOKUP(MONTH(R687),Meses!$B$3:$C$14,2,FALSE)-DAY(R687))/VLOOKUP(MONTH(R687),Meses!$B$3:$C$14,2,FALSE)*U687,
"")</f>
        <v/>
      </c>
      <c r="U687" s="22">
        <f t="shared" si="31"/>
        <v>4534</v>
      </c>
    </row>
    <row r="688" spans="1:21" ht="47.4" hidden="1" thickBot="1" x14ac:dyDescent="0.6">
      <c r="A688" s="10" t="s">
        <v>866</v>
      </c>
      <c r="B688" s="10" t="s">
        <v>877</v>
      </c>
      <c r="C688" s="12">
        <v>45148</v>
      </c>
      <c r="D688" s="10" t="s">
        <v>14</v>
      </c>
      <c r="E688" s="10" t="s">
        <v>14</v>
      </c>
      <c r="F688" s="10">
        <v>4279</v>
      </c>
      <c r="G688" s="10" t="s">
        <v>15</v>
      </c>
      <c r="H688" s="10" t="s">
        <v>17</v>
      </c>
      <c r="I688" s="10" t="s">
        <v>18</v>
      </c>
      <c r="J688" s="10" t="s">
        <v>19</v>
      </c>
      <c r="K688" s="10" t="s">
        <v>19</v>
      </c>
      <c r="L688" s="10" t="s">
        <v>19</v>
      </c>
      <c r="M688" s="12"/>
      <c r="N688" s="10" t="s">
        <v>20</v>
      </c>
      <c r="O688" s="10" t="s">
        <v>2054</v>
      </c>
      <c r="P688" s="25" t="str">
        <f>IFERROR(
IF(OR(O688="anulado",O688="stand by"),CONCATENATE(O688,": ",H688),
IF(OR(YEAR(M688)=2022,YEAR(M688)=2023),CONCATENATE("Se activó en ",YEAR(M688)),
IF(AND(OR(O688="En proceso",O688="facturando"),AND(J688="-",M688="")),"Por revisar",
IF(M688="",IF(J688="NUEVAS",CONCATENATE("Estado: ",O688,", ",J688),
IF(L688=Meses!$A$3,"Por revisar",
IF(H688="","Sin registro","En programación Frcst."))),"En programación")))),
"Error")</f>
        <v>Por revisar</v>
      </c>
      <c r="Q688" s="9" t="str">
        <f t="shared" si="30"/>
        <v>programación de act. NO, estado: Facturando, Comercializador: ENEL, Etapa: Instalado y Activado</v>
      </c>
      <c r="R688" s="25" t="str">
        <f>IF(P688="En programación Frcst.",VLOOKUP(L688,Meses!$A$1:$H$14,3+HLOOKUP(Cronograma!J688,Meses!$D$1:$G$2,2,FALSE),FALSE),
IF(P688="En programación",M688,""))</f>
        <v/>
      </c>
      <c r="S688" s="25" t="str">
        <f t="shared" si="32"/>
        <v/>
      </c>
      <c r="T688" s="21" t="str">
        <f>IFERROR(
(VLOOKUP(MONTH(R688),Meses!$B$3:$C$14,2,FALSE)-DAY(R688))/VLOOKUP(MONTH(R688),Meses!$B$3:$C$14,2,FALSE)*U688,
"")</f>
        <v/>
      </c>
      <c r="U688" s="22">
        <f t="shared" si="31"/>
        <v>4279</v>
      </c>
    </row>
    <row r="689" spans="1:21" ht="47.4" hidden="1" thickBot="1" x14ac:dyDescent="0.6">
      <c r="A689" s="10" t="s">
        <v>866</v>
      </c>
      <c r="B689" s="10" t="s">
        <v>878</v>
      </c>
      <c r="C689" s="12">
        <v>45148</v>
      </c>
      <c r="D689" s="10" t="s">
        <v>14</v>
      </c>
      <c r="E689" s="10" t="s">
        <v>14</v>
      </c>
      <c r="F689" s="10">
        <v>3781</v>
      </c>
      <c r="G689" s="10" t="s">
        <v>15</v>
      </c>
      <c r="H689" s="10" t="s">
        <v>17</v>
      </c>
      <c r="I689" s="10" t="s">
        <v>18</v>
      </c>
      <c r="J689" s="10" t="s">
        <v>19</v>
      </c>
      <c r="K689" s="10" t="s">
        <v>19</v>
      </c>
      <c r="L689" s="10" t="s">
        <v>19</v>
      </c>
      <c r="M689" s="12"/>
      <c r="N689" s="10" t="s">
        <v>20</v>
      </c>
      <c r="O689" s="10" t="s">
        <v>2054</v>
      </c>
      <c r="P689" s="25" t="str">
        <f>IFERROR(
IF(OR(O689="anulado",O689="stand by"),CONCATENATE(O689,": ",H689),
IF(OR(YEAR(M689)=2022,YEAR(M689)=2023),CONCATENATE("Se activó en ",YEAR(M689)),
IF(AND(OR(O689="En proceso",O689="facturando"),AND(J689="-",M689="")),"Por revisar",
IF(M689="",IF(J689="NUEVAS",CONCATENATE("Estado: ",O689,", ",J689),
IF(L689=Meses!$A$3,"Por revisar",
IF(H689="","Sin registro","En programación Frcst."))),"En programación")))),
"Error")</f>
        <v>Por revisar</v>
      </c>
      <c r="Q689" s="9" t="str">
        <f t="shared" si="30"/>
        <v>programación de act. NO, estado: Facturando, Comercializador: ENEL, Etapa: Instalado y Activado</v>
      </c>
      <c r="R689" s="25" t="str">
        <f>IF(P689="En programación Frcst.",VLOOKUP(L689,Meses!$A$1:$H$14,3+HLOOKUP(Cronograma!J689,Meses!$D$1:$G$2,2,FALSE),FALSE),
IF(P689="En programación",M689,""))</f>
        <v/>
      </c>
      <c r="S689" s="25" t="str">
        <f t="shared" si="32"/>
        <v/>
      </c>
      <c r="T689" s="21" t="str">
        <f>IFERROR(
(VLOOKUP(MONTH(R689),Meses!$B$3:$C$14,2,FALSE)-DAY(R689))/VLOOKUP(MONTH(R689),Meses!$B$3:$C$14,2,FALSE)*U689,
"")</f>
        <v/>
      </c>
      <c r="U689" s="22">
        <f t="shared" si="31"/>
        <v>3781</v>
      </c>
    </row>
    <row r="690" spans="1:21" ht="47.4" hidden="1" thickBot="1" x14ac:dyDescent="0.6">
      <c r="A690" s="10" t="s">
        <v>866</v>
      </c>
      <c r="B690" s="10" t="s">
        <v>879</v>
      </c>
      <c r="C690" s="12">
        <v>45148</v>
      </c>
      <c r="D690" s="10" t="s">
        <v>14</v>
      </c>
      <c r="E690" s="10" t="s">
        <v>14</v>
      </c>
      <c r="F690" s="10">
        <v>5061</v>
      </c>
      <c r="G690" s="10" t="s">
        <v>15</v>
      </c>
      <c r="H690" s="10" t="s">
        <v>17</v>
      </c>
      <c r="I690" s="10" t="s">
        <v>18</v>
      </c>
      <c r="J690" s="10" t="s">
        <v>19</v>
      </c>
      <c r="K690" s="10" t="s">
        <v>19</v>
      </c>
      <c r="L690" s="10" t="s">
        <v>19</v>
      </c>
      <c r="M690" s="12"/>
      <c r="N690" s="10" t="s">
        <v>20</v>
      </c>
      <c r="O690" s="10" t="s">
        <v>2054</v>
      </c>
      <c r="P690" s="25" t="str">
        <f>IFERROR(
IF(OR(O690="anulado",O690="stand by"),CONCATENATE(O690,": ",H690),
IF(OR(YEAR(M690)=2022,YEAR(M690)=2023),CONCATENATE("Se activó en ",YEAR(M690)),
IF(AND(OR(O690="En proceso",O690="facturando"),AND(J690="-",M690="")),"Por revisar",
IF(M690="",IF(J690="NUEVAS",CONCATENATE("Estado: ",O690,", ",J690),
IF(L690=Meses!$A$3,"Por revisar",
IF(H690="","Sin registro","En programación Frcst."))),"En programación")))),
"Error")</f>
        <v>Por revisar</v>
      </c>
      <c r="Q690" s="9" t="str">
        <f t="shared" si="30"/>
        <v>programación de act. NO, estado: Facturando, Comercializador: ENEL, Etapa: Instalado y Activado</v>
      </c>
      <c r="R690" s="25" t="str">
        <f>IF(P690="En programación Frcst.",VLOOKUP(L690,Meses!$A$1:$H$14,3+HLOOKUP(Cronograma!J690,Meses!$D$1:$G$2,2,FALSE),FALSE),
IF(P690="En programación",M690,""))</f>
        <v/>
      </c>
      <c r="S690" s="25" t="str">
        <f t="shared" si="32"/>
        <v/>
      </c>
      <c r="T690" s="21" t="str">
        <f>IFERROR(
(VLOOKUP(MONTH(R690),Meses!$B$3:$C$14,2,FALSE)-DAY(R690))/VLOOKUP(MONTH(R690),Meses!$B$3:$C$14,2,FALSE)*U690,
"")</f>
        <v/>
      </c>
      <c r="U690" s="22">
        <f t="shared" si="31"/>
        <v>5061</v>
      </c>
    </row>
    <row r="691" spans="1:21" ht="47.4" hidden="1" thickBot="1" x14ac:dyDescent="0.6">
      <c r="A691" s="10" t="s">
        <v>866</v>
      </c>
      <c r="B691" s="10" t="s">
        <v>880</v>
      </c>
      <c r="C691" s="12">
        <v>45148</v>
      </c>
      <c r="D691" s="10" t="s">
        <v>14</v>
      </c>
      <c r="E691" s="10" t="s">
        <v>14</v>
      </c>
      <c r="F691" s="10">
        <v>3600</v>
      </c>
      <c r="G691" s="10" t="s">
        <v>15</v>
      </c>
      <c r="H691" s="10" t="s">
        <v>17</v>
      </c>
      <c r="I691" s="10" t="s">
        <v>18</v>
      </c>
      <c r="J691" s="10" t="s">
        <v>19</v>
      </c>
      <c r="K691" s="10" t="s">
        <v>19</v>
      </c>
      <c r="L691" s="10" t="s">
        <v>19</v>
      </c>
      <c r="M691" s="12"/>
      <c r="N691" s="10" t="s">
        <v>20</v>
      </c>
      <c r="O691" s="10" t="s">
        <v>2054</v>
      </c>
      <c r="P691" s="25" t="str">
        <f>IFERROR(
IF(OR(O691="anulado",O691="stand by"),CONCATENATE(O691,": ",H691),
IF(OR(YEAR(M691)=2022,YEAR(M691)=2023),CONCATENATE("Se activó en ",YEAR(M691)),
IF(AND(OR(O691="En proceso",O691="facturando"),AND(J691="-",M691="")),"Por revisar",
IF(M691="",IF(J691="NUEVAS",CONCATENATE("Estado: ",O691,", ",J691),
IF(L691=Meses!$A$3,"Por revisar",
IF(H691="","Sin registro","En programación Frcst."))),"En programación")))),
"Error")</f>
        <v>Por revisar</v>
      </c>
      <c r="Q691" s="9" t="str">
        <f t="shared" si="30"/>
        <v>programación de act. NO, estado: Facturando, Comercializador: ENEL, Etapa: Instalado y Activado</v>
      </c>
      <c r="R691" s="25" t="str">
        <f>IF(P691="En programación Frcst.",VLOOKUP(L691,Meses!$A$1:$H$14,3+HLOOKUP(Cronograma!J691,Meses!$D$1:$G$2,2,FALSE),FALSE),
IF(P691="En programación",M691,""))</f>
        <v/>
      </c>
      <c r="S691" s="25" t="str">
        <f t="shared" si="32"/>
        <v/>
      </c>
      <c r="T691" s="21" t="str">
        <f>IFERROR(
(VLOOKUP(MONTH(R691),Meses!$B$3:$C$14,2,FALSE)-DAY(R691))/VLOOKUP(MONTH(R691),Meses!$B$3:$C$14,2,FALSE)*U691,
"")</f>
        <v/>
      </c>
      <c r="U691" s="22">
        <f t="shared" si="31"/>
        <v>3600</v>
      </c>
    </row>
    <row r="692" spans="1:21" ht="47.4" hidden="1" thickBot="1" x14ac:dyDescent="0.6">
      <c r="A692" s="10" t="s">
        <v>866</v>
      </c>
      <c r="B692" s="10" t="s">
        <v>881</v>
      </c>
      <c r="C692" s="12">
        <v>45155</v>
      </c>
      <c r="D692" s="10" t="s">
        <v>14</v>
      </c>
      <c r="E692" s="10" t="s">
        <v>14</v>
      </c>
      <c r="F692" s="10">
        <v>4548</v>
      </c>
      <c r="G692" s="10" t="s">
        <v>15</v>
      </c>
      <c r="H692" s="10" t="s">
        <v>17</v>
      </c>
      <c r="I692" s="10" t="s">
        <v>18</v>
      </c>
      <c r="J692" s="10" t="s">
        <v>19</v>
      </c>
      <c r="K692" s="10" t="s">
        <v>19</v>
      </c>
      <c r="L692" s="10" t="s">
        <v>19</v>
      </c>
      <c r="M692" s="12"/>
      <c r="N692" s="10" t="s">
        <v>20</v>
      </c>
      <c r="O692" s="10" t="s">
        <v>2054</v>
      </c>
      <c r="P692" s="25" t="str">
        <f>IFERROR(
IF(OR(O692="anulado",O692="stand by"),CONCATENATE(O692,": ",H692),
IF(OR(YEAR(M692)=2022,YEAR(M692)=2023),CONCATENATE("Se activó en ",YEAR(M692)),
IF(AND(OR(O692="En proceso",O692="facturando"),AND(J692="-",M692="")),"Por revisar",
IF(M692="",IF(J692="NUEVAS",CONCATENATE("Estado: ",O692,", ",J692),
IF(L692=Meses!$A$3,"Por revisar",
IF(H692="","Sin registro","En programación Frcst."))),"En programación")))),
"Error")</f>
        <v>Por revisar</v>
      </c>
      <c r="Q692" s="9" t="str">
        <f t="shared" si="30"/>
        <v>programación de act. NO, estado: Facturando, Comercializador: ENEL, Etapa: Instalado y Activado</v>
      </c>
      <c r="R692" s="25" t="str">
        <f>IF(P692="En programación Frcst.",VLOOKUP(L692,Meses!$A$1:$H$14,3+HLOOKUP(Cronograma!J692,Meses!$D$1:$G$2,2,FALSE),FALSE),
IF(P692="En programación",M692,""))</f>
        <v/>
      </c>
      <c r="S692" s="25" t="str">
        <f t="shared" si="32"/>
        <v/>
      </c>
      <c r="T692" s="21" t="str">
        <f>IFERROR(
(VLOOKUP(MONTH(R692),Meses!$B$3:$C$14,2,FALSE)-DAY(R692))/VLOOKUP(MONTH(R692),Meses!$B$3:$C$14,2,FALSE)*U692,
"")</f>
        <v/>
      </c>
      <c r="U692" s="22">
        <f t="shared" si="31"/>
        <v>4548</v>
      </c>
    </row>
    <row r="693" spans="1:21" ht="47.4" hidden="1" thickBot="1" x14ac:dyDescent="0.6">
      <c r="A693" s="10" t="s">
        <v>866</v>
      </c>
      <c r="B693" s="10" t="s">
        <v>882</v>
      </c>
      <c r="C693" s="12">
        <v>45155</v>
      </c>
      <c r="D693" s="10" t="s">
        <v>14</v>
      </c>
      <c r="E693" s="10" t="s">
        <v>14</v>
      </c>
      <c r="F693" s="10">
        <v>4121</v>
      </c>
      <c r="G693" s="10" t="s">
        <v>15</v>
      </c>
      <c r="H693" s="10" t="s">
        <v>17</v>
      </c>
      <c r="I693" s="10" t="s">
        <v>18</v>
      </c>
      <c r="J693" s="10" t="s">
        <v>19</v>
      </c>
      <c r="K693" s="10" t="s">
        <v>19</v>
      </c>
      <c r="L693" s="10" t="s">
        <v>19</v>
      </c>
      <c r="M693" s="12"/>
      <c r="N693" s="10" t="s">
        <v>20</v>
      </c>
      <c r="O693" s="10" t="s">
        <v>2054</v>
      </c>
      <c r="P693" s="25" t="str">
        <f>IFERROR(
IF(OR(O693="anulado",O693="stand by"),CONCATENATE(O693,": ",H693),
IF(OR(YEAR(M693)=2022,YEAR(M693)=2023),CONCATENATE("Se activó en ",YEAR(M693)),
IF(AND(OR(O693="En proceso",O693="facturando"),AND(J693="-",M693="")),"Por revisar",
IF(M693="",IF(J693="NUEVAS",CONCATENATE("Estado: ",O693,", ",J693),
IF(L693=Meses!$A$3,"Por revisar",
IF(H693="","Sin registro","En programación Frcst."))),"En programación")))),
"Error")</f>
        <v>Por revisar</v>
      </c>
      <c r="Q693" s="9" t="str">
        <f t="shared" si="30"/>
        <v>programación de act. NO, estado: Facturando, Comercializador: ENEL, Etapa: Instalado y Activado</v>
      </c>
      <c r="R693" s="25" t="str">
        <f>IF(P693="En programación Frcst.",VLOOKUP(L693,Meses!$A$1:$H$14,3+HLOOKUP(Cronograma!J693,Meses!$D$1:$G$2,2,FALSE),FALSE),
IF(P693="En programación",M693,""))</f>
        <v/>
      </c>
      <c r="S693" s="25" t="str">
        <f t="shared" si="32"/>
        <v/>
      </c>
      <c r="T693" s="21" t="str">
        <f>IFERROR(
(VLOOKUP(MONTH(R693),Meses!$B$3:$C$14,2,FALSE)-DAY(R693))/VLOOKUP(MONTH(R693),Meses!$B$3:$C$14,2,FALSE)*U693,
"")</f>
        <v/>
      </c>
      <c r="U693" s="22">
        <f t="shared" si="31"/>
        <v>4121</v>
      </c>
    </row>
    <row r="694" spans="1:21" ht="47.4" hidden="1" thickBot="1" x14ac:dyDescent="0.6">
      <c r="A694" s="10" t="s">
        <v>866</v>
      </c>
      <c r="B694" s="10" t="s">
        <v>883</v>
      </c>
      <c r="C694" s="12">
        <v>45155</v>
      </c>
      <c r="D694" s="10" t="s">
        <v>14</v>
      </c>
      <c r="E694" s="10" t="s">
        <v>14</v>
      </c>
      <c r="F694" s="10">
        <v>3722</v>
      </c>
      <c r="G694" s="10" t="s">
        <v>15</v>
      </c>
      <c r="H694" s="10" t="s">
        <v>17</v>
      </c>
      <c r="I694" s="10" t="s">
        <v>18</v>
      </c>
      <c r="J694" s="10" t="s">
        <v>19</v>
      </c>
      <c r="K694" s="10" t="s">
        <v>19</v>
      </c>
      <c r="L694" s="10" t="s">
        <v>19</v>
      </c>
      <c r="M694" s="12"/>
      <c r="N694" s="10" t="s">
        <v>20</v>
      </c>
      <c r="O694" s="10" t="s">
        <v>2054</v>
      </c>
      <c r="P694" s="25" t="str">
        <f>IFERROR(
IF(OR(O694="anulado",O694="stand by"),CONCATENATE(O694,": ",H694),
IF(OR(YEAR(M694)=2022,YEAR(M694)=2023),CONCATENATE("Se activó en ",YEAR(M694)),
IF(AND(OR(O694="En proceso",O694="facturando"),AND(J694="-",M694="")),"Por revisar",
IF(M694="",IF(J694="NUEVAS",CONCATENATE("Estado: ",O694,", ",J694),
IF(L694=Meses!$A$3,"Por revisar",
IF(H694="","Sin registro","En programación Frcst."))),"En programación")))),
"Error")</f>
        <v>Por revisar</v>
      </c>
      <c r="Q694" s="9" t="str">
        <f t="shared" si="30"/>
        <v>programación de act. NO, estado: Facturando, Comercializador: ENEL, Etapa: Instalado y Activado</v>
      </c>
      <c r="R694" s="25" t="str">
        <f>IF(P694="En programación Frcst.",VLOOKUP(L694,Meses!$A$1:$H$14,3+HLOOKUP(Cronograma!J694,Meses!$D$1:$G$2,2,FALSE),FALSE),
IF(P694="En programación",M694,""))</f>
        <v/>
      </c>
      <c r="S694" s="25" t="str">
        <f t="shared" si="32"/>
        <v/>
      </c>
      <c r="T694" s="21" t="str">
        <f>IFERROR(
(VLOOKUP(MONTH(R694),Meses!$B$3:$C$14,2,FALSE)-DAY(R694))/VLOOKUP(MONTH(R694),Meses!$B$3:$C$14,2,FALSE)*U694,
"")</f>
        <v/>
      </c>
      <c r="U694" s="22">
        <f t="shared" si="31"/>
        <v>3722</v>
      </c>
    </row>
    <row r="695" spans="1:21" ht="47.4" hidden="1" thickBot="1" x14ac:dyDescent="0.6">
      <c r="A695" s="10" t="s">
        <v>866</v>
      </c>
      <c r="B695" s="10" t="s">
        <v>884</v>
      </c>
      <c r="C695" s="12">
        <v>45155</v>
      </c>
      <c r="D695" s="10" t="s">
        <v>14</v>
      </c>
      <c r="E695" s="10" t="s">
        <v>14</v>
      </c>
      <c r="F695" s="10">
        <v>3391</v>
      </c>
      <c r="G695" s="10" t="s">
        <v>15</v>
      </c>
      <c r="H695" s="10" t="s">
        <v>17</v>
      </c>
      <c r="I695" s="10" t="s">
        <v>18</v>
      </c>
      <c r="J695" s="10" t="s">
        <v>19</v>
      </c>
      <c r="K695" s="10" t="s">
        <v>19</v>
      </c>
      <c r="L695" s="10" t="s">
        <v>19</v>
      </c>
      <c r="M695" s="12"/>
      <c r="N695" s="10" t="s">
        <v>20</v>
      </c>
      <c r="O695" s="10" t="s">
        <v>2054</v>
      </c>
      <c r="P695" s="25" t="str">
        <f>IFERROR(
IF(OR(O695="anulado",O695="stand by"),CONCATENATE(O695,": ",H695),
IF(OR(YEAR(M695)=2022,YEAR(M695)=2023),CONCATENATE("Se activó en ",YEAR(M695)),
IF(AND(OR(O695="En proceso",O695="facturando"),AND(J695="-",M695="")),"Por revisar",
IF(M695="",IF(J695="NUEVAS",CONCATENATE("Estado: ",O695,", ",J695),
IF(L695=Meses!$A$3,"Por revisar",
IF(H695="","Sin registro","En programación Frcst."))),"En programación")))),
"Error")</f>
        <v>Por revisar</v>
      </c>
      <c r="Q695" s="9" t="str">
        <f t="shared" si="30"/>
        <v>programación de act. NO, estado: Facturando, Comercializador: ENEL, Etapa: Instalado y Activado</v>
      </c>
      <c r="R695" s="25" t="str">
        <f>IF(P695="En programación Frcst.",VLOOKUP(L695,Meses!$A$1:$H$14,3+HLOOKUP(Cronograma!J695,Meses!$D$1:$G$2,2,FALSE),FALSE),
IF(P695="En programación",M695,""))</f>
        <v/>
      </c>
      <c r="S695" s="25" t="str">
        <f t="shared" si="32"/>
        <v/>
      </c>
      <c r="T695" s="21" t="str">
        <f>IFERROR(
(VLOOKUP(MONTH(R695),Meses!$B$3:$C$14,2,FALSE)-DAY(R695))/VLOOKUP(MONTH(R695),Meses!$B$3:$C$14,2,FALSE)*U695,
"")</f>
        <v/>
      </c>
      <c r="U695" s="22">
        <f t="shared" si="31"/>
        <v>3391</v>
      </c>
    </row>
    <row r="696" spans="1:21" ht="47.4" hidden="1" thickBot="1" x14ac:dyDescent="0.6">
      <c r="A696" s="10" t="s">
        <v>866</v>
      </c>
      <c r="B696" s="10" t="s">
        <v>885</v>
      </c>
      <c r="C696" s="12">
        <v>45155</v>
      </c>
      <c r="D696" s="10" t="s">
        <v>14</v>
      </c>
      <c r="E696" s="10" t="s">
        <v>14</v>
      </c>
      <c r="F696" s="10">
        <v>3038</v>
      </c>
      <c r="G696" s="10" t="s">
        <v>15</v>
      </c>
      <c r="H696" s="10" t="s">
        <v>17</v>
      </c>
      <c r="I696" s="10" t="s">
        <v>18</v>
      </c>
      <c r="J696" s="10" t="s">
        <v>19</v>
      </c>
      <c r="K696" s="10" t="s">
        <v>19</v>
      </c>
      <c r="L696" s="10" t="s">
        <v>19</v>
      </c>
      <c r="M696" s="12"/>
      <c r="N696" s="10" t="s">
        <v>20</v>
      </c>
      <c r="O696" s="10" t="s">
        <v>2054</v>
      </c>
      <c r="P696" s="25" t="str">
        <f>IFERROR(
IF(OR(O696="anulado",O696="stand by"),CONCATENATE(O696,": ",H696),
IF(OR(YEAR(M696)=2022,YEAR(M696)=2023),CONCATENATE("Se activó en ",YEAR(M696)),
IF(AND(OR(O696="En proceso",O696="facturando"),AND(J696="-",M696="")),"Por revisar",
IF(M696="",IF(J696="NUEVAS",CONCATENATE("Estado: ",O696,", ",J696),
IF(L696=Meses!$A$3,"Por revisar",
IF(H696="","Sin registro","En programación Frcst."))),"En programación")))),
"Error")</f>
        <v>Por revisar</v>
      </c>
      <c r="Q696" s="9" t="str">
        <f t="shared" si="30"/>
        <v>programación de act. NO, estado: Facturando, Comercializador: ENEL, Etapa: Instalado y Activado</v>
      </c>
      <c r="R696" s="25" t="str">
        <f>IF(P696="En programación Frcst.",VLOOKUP(L696,Meses!$A$1:$H$14,3+HLOOKUP(Cronograma!J696,Meses!$D$1:$G$2,2,FALSE),FALSE),
IF(P696="En programación",M696,""))</f>
        <v/>
      </c>
      <c r="S696" s="25" t="str">
        <f t="shared" si="32"/>
        <v/>
      </c>
      <c r="T696" s="21" t="str">
        <f>IFERROR(
(VLOOKUP(MONTH(R696),Meses!$B$3:$C$14,2,FALSE)-DAY(R696))/VLOOKUP(MONTH(R696),Meses!$B$3:$C$14,2,FALSE)*U696,
"")</f>
        <v/>
      </c>
      <c r="U696" s="22">
        <f t="shared" si="31"/>
        <v>3038</v>
      </c>
    </row>
    <row r="697" spans="1:21" ht="31.8" hidden="1" thickBot="1" x14ac:dyDescent="0.6">
      <c r="A697" s="10" t="s">
        <v>305</v>
      </c>
      <c r="B697" s="10" t="s">
        <v>313</v>
      </c>
      <c r="C697" s="12"/>
      <c r="D697" s="10" t="s">
        <v>74</v>
      </c>
      <c r="E697" s="10" t="s">
        <v>74</v>
      </c>
      <c r="F697" s="10">
        <v>2058</v>
      </c>
      <c r="G697" s="10" t="s">
        <v>15</v>
      </c>
      <c r="H697" s="10" t="s">
        <v>2917</v>
      </c>
      <c r="I697" s="10" t="s">
        <v>43</v>
      </c>
      <c r="J697" s="10" t="s">
        <v>143</v>
      </c>
      <c r="K697" s="10" t="s">
        <v>2895</v>
      </c>
      <c r="L697" s="10" t="s">
        <v>2292</v>
      </c>
      <c r="M697" s="12">
        <v>45400</v>
      </c>
      <c r="N697" s="10" t="s">
        <v>15</v>
      </c>
      <c r="O697" s="10" t="s">
        <v>2057</v>
      </c>
      <c r="P697" s="25" t="str">
        <f>IFERROR(
IF(OR(O697="anulado",O697="stand by"),CONCATENATE(O697,": ",H697),
IF(OR(YEAR(M697)=2022,YEAR(M697)=2023),CONCATENATE("Se activó en ",YEAR(M697)),
IF(AND(OR(O697="En proceso",O697="facturando"),AND(J697="-",M697="")),"Por revisar",
IF(M697="",IF(J697="NUEVAS",CONCATENATE("Estado: ",O697,", ",J697),
IF(L697=Meses!$A$3,"Por revisar",
IF(H697="","Sin registro","En programación Frcst."))),"En programación")))),
"Error")</f>
        <v>En programación</v>
      </c>
      <c r="Q697" s="9" t="str">
        <f t="shared" si="30"/>
        <v/>
      </c>
      <c r="R697" s="25">
        <f>IF(P697="En programación Frcst.",VLOOKUP(L697,Meses!$A$1:$H$14,3+HLOOKUP(Cronograma!J697,Meses!$D$1:$G$2,2,FALSE),FALSE),
IF(P697="En programación",M697,""))</f>
        <v>45400</v>
      </c>
      <c r="S697" s="25" t="str">
        <f t="shared" si="32"/>
        <v>2024/4</v>
      </c>
      <c r="T697" s="21">
        <f>IFERROR(
(VLOOKUP(MONTH(R697),Meses!$B$3:$C$14,2,FALSE)-DAY(R697))/VLOOKUP(MONTH(R697),Meses!$B$3:$C$14,2,FALSE)*U697,
"")</f>
        <v>823.2</v>
      </c>
      <c r="U697" s="22">
        <f t="shared" si="31"/>
        <v>2058</v>
      </c>
    </row>
    <row r="698" spans="1:21" ht="32.4" hidden="1" thickBot="1" x14ac:dyDescent="0.6">
      <c r="A698" s="10" t="s">
        <v>886</v>
      </c>
      <c r="B698" s="10" t="s">
        <v>887</v>
      </c>
      <c r="C698" s="12">
        <v>45162</v>
      </c>
      <c r="D698" s="10" t="s">
        <v>14</v>
      </c>
      <c r="E698" s="10" t="s">
        <v>14</v>
      </c>
      <c r="F698" s="10">
        <v>5733</v>
      </c>
      <c r="G698" s="10" t="s">
        <v>15</v>
      </c>
      <c r="H698" s="10" t="s">
        <v>17</v>
      </c>
      <c r="I698" s="10" t="s">
        <v>18</v>
      </c>
      <c r="J698" s="10" t="s">
        <v>19</v>
      </c>
      <c r="K698" s="10" t="s">
        <v>19</v>
      </c>
      <c r="L698" s="10" t="s">
        <v>19</v>
      </c>
      <c r="M698" s="12"/>
      <c r="N698" s="10" t="s">
        <v>20</v>
      </c>
      <c r="O698" s="10" t="s">
        <v>2054</v>
      </c>
      <c r="P698" s="25" t="str">
        <f>IFERROR(
IF(OR(O698="anulado",O698="stand by"),CONCATENATE(O698,": ",H698),
IF(OR(YEAR(M698)=2022,YEAR(M698)=2023),CONCATENATE("Se activó en ",YEAR(M698)),
IF(AND(OR(O698="En proceso",O698="facturando"),AND(J698="-",M698="")),"Por revisar",
IF(M698="",IF(J698="NUEVAS",CONCATENATE("Estado: ",O698,", ",J698),
IF(L698=Meses!$A$3,"Por revisar",
IF(H698="","Sin registro","En programación Frcst."))),"En programación")))),
"Error")</f>
        <v>Por revisar</v>
      </c>
      <c r="Q698" s="9" t="str">
        <f t="shared" si="30"/>
        <v>programación de act. NO, estado: Facturando, Comercializador: ENEL, Etapa: Instalado y Activado</v>
      </c>
      <c r="R698" s="25" t="str">
        <f>IF(P698="En programación Frcst.",VLOOKUP(L698,Meses!$A$1:$H$14,3+HLOOKUP(Cronograma!J698,Meses!$D$1:$G$2,2,FALSE),FALSE),
IF(P698="En programación",M698,""))</f>
        <v/>
      </c>
      <c r="S698" s="25" t="str">
        <f t="shared" si="32"/>
        <v/>
      </c>
      <c r="T698" s="21" t="str">
        <f>IFERROR(
(VLOOKUP(MONTH(R698),Meses!$B$3:$C$14,2,FALSE)-DAY(R698))/VLOOKUP(MONTH(R698),Meses!$B$3:$C$14,2,FALSE)*U698,
"")</f>
        <v/>
      </c>
      <c r="U698" s="22">
        <f t="shared" si="31"/>
        <v>5733</v>
      </c>
    </row>
    <row r="699" spans="1:21" ht="47.4" hidden="1" thickBot="1" x14ac:dyDescent="0.6">
      <c r="A699" s="10" t="s">
        <v>888</v>
      </c>
      <c r="B699" s="10" t="s">
        <v>889</v>
      </c>
      <c r="C699" s="12"/>
      <c r="D699" s="10" t="s">
        <v>14</v>
      </c>
      <c r="E699" s="10" t="s">
        <v>14</v>
      </c>
      <c r="F699" s="10">
        <v>15480</v>
      </c>
      <c r="G699" s="10" t="s">
        <v>15</v>
      </c>
      <c r="H699" s="10" t="s">
        <v>2916</v>
      </c>
      <c r="I699" s="10" t="s">
        <v>18</v>
      </c>
      <c r="J699" s="10" t="s">
        <v>277</v>
      </c>
      <c r="K699" s="10" t="s">
        <v>3327</v>
      </c>
      <c r="L699" s="10" t="s">
        <v>2292</v>
      </c>
      <c r="M699" s="12">
        <v>45400</v>
      </c>
      <c r="N699" s="10" t="s">
        <v>15</v>
      </c>
      <c r="O699" s="10" t="s">
        <v>2057</v>
      </c>
      <c r="P699" s="25" t="str">
        <f>IFERROR(
IF(OR(O699="anulado",O699="stand by"),CONCATENATE(O699,": ",H699),
IF(OR(YEAR(M699)=2022,YEAR(M699)=2023),CONCATENATE("Se activó en ",YEAR(M699)),
IF(AND(OR(O699="En proceso",O699="facturando"),AND(J699="-",M699="")),"Por revisar",
IF(M699="",IF(J699="NUEVAS",CONCATENATE("Estado: ",O699,", ",J699),
IF(L699=Meses!$A$3,"Por revisar",
IF(H699="","Sin registro","En programación Frcst."))),"En programación")))),
"Error")</f>
        <v>En programación</v>
      </c>
      <c r="Q699" s="9" t="str">
        <f t="shared" si="30"/>
        <v/>
      </c>
      <c r="R699" s="25">
        <f>IF(P699="En programación Frcst.",VLOOKUP(L699,Meses!$A$1:$H$14,3+HLOOKUP(Cronograma!J699,Meses!$D$1:$G$2,2,FALSE),FALSE),
IF(P699="En programación",M699,""))</f>
        <v>45400</v>
      </c>
      <c r="S699" s="25" t="str">
        <f t="shared" si="32"/>
        <v>2024/4</v>
      </c>
      <c r="T699" s="21">
        <f>IFERROR(
(VLOOKUP(MONTH(R699),Meses!$B$3:$C$14,2,FALSE)-DAY(R699))/VLOOKUP(MONTH(R699),Meses!$B$3:$C$14,2,FALSE)*U699,
"")</f>
        <v>6192</v>
      </c>
      <c r="U699" s="22">
        <f t="shared" si="31"/>
        <v>15480</v>
      </c>
    </row>
    <row r="700" spans="1:21" ht="47.4" hidden="1" thickBot="1" x14ac:dyDescent="0.6">
      <c r="A700" s="10" t="s">
        <v>888</v>
      </c>
      <c r="B700" s="10" t="s">
        <v>890</v>
      </c>
      <c r="C700" s="12"/>
      <c r="D700" s="10" t="s">
        <v>14</v>
      </c>
      <c r="E700" s="10" t="s">
        <v>14</v>
      </c>
      <c r="F700" s="10">
        <v>15600</v>
      </c>
      <c r="G700" s="10" t="s">
        <v>15</v>
      </c>
      <c r="H700" s="10" t="s">
        <v>2916</v>
      </c>
      <c r="I700" s="10" t="s">
        <v>18</v>
      </c>
      <c r="J700" s="10" t="s">
        <v>277</v>
      </c>
      <c r="K700" s="10" t="s">
        <v>3327</v>
      </c>
      <c r="L700" s="10" t="s">
        <v>2292</v>
      </c>
      <c r="M700" s="12">
        <v>45400</v>
      </c>
      <c r="N700" s="10" t="s">
        <v>15</v>
      </c>
      <c r="O700" s="10" t="s">
        <v>2057</v>
      </c>
      <c r="P700" s="25" t="str">
        <f>IFERROR(
IF(OR(O700="anulado",O700="stand by"),CONCATENATE(O700,": ",H700),
IF(OR(YEAR(M700)=2022,YEAR(M700)=2023),CONCATENATE("Se activó en ",YEAR(M700)),
IF(AND(OR(O700="En proceso",O700="facturando"),AND(J700="-",M700="")),"Por revisar",
IF(M700="",IF(J700="NUEVAS",CONCATENATE("Estado: ",O700,", ",J700),
IF(L700=Meses!$A$3,"Por revisar",
IF(H700="","Sin registro","En programación Frcst."))),"En programación")))),
"Error")</f>
        <v>En programación</v>
      </c>
      <c r="Q700" s="9" t="str">
        <f t="shared" si="30"/>
        <v/>
      </c>
      <c r="R700" s="25">
        <f>IF(P700="En programación Frcst.",VLOOKUP(L700,Meses!$A$1:$H$14,3+HLOOKUP(Cronograma!J700,Meses!$D$1:$G$2,2,FALSE),FALSE),
IF(P700="En programación",M700,""))</f>
        <v>45400</v>
      </c>
      <c r="S700" s="25" t="str">
        <f t="shared" si="32"/>
        <v>2024/4</v>
      </c>
      <c r="T700" s="21">
        <f>IFERROR(
(VLOOKUP(MONTH(R700),Meses!$B$3:$C$14,2,FALSE)-DAY(R700))/VLOOKUP(MONTH(R700),Meses!$B$3:$C$14,2,FALSE)*U700,
"")</f>
        <v>6240</v>
      </c>
      <c r="U700" s="22">
        <f t="shared" si="31"/>
        <v>15600</v>
      </c>
    </row>
    <row r="701" spans="1:21" ht="47.4" hidden="1" thickBot="1" x14ac:dyDescent="0.6">
      <c r="A701" s="10" t="s">
        <v>888</v>
      </c>
      <c r="B701" s="10" t="s">
        <v>891</v>
      </c>
      <c r="C701" s="12"/>
      <c r="D701" s="10" t="s">
        <v>14</v>
      </c>
      <c r="E701" s="10" t="s">
        <v>14</v>
      </c>
      <c r="F701" s="10">
        <v>16800</v>
      </c>
      <c r="G701" s="10" t="s">
        <v>15</v>
      </c>
      <c r="H701" s="10" t="s">
        <v>2916</v>
      </c>
      <c r="I701" s="10" t="s">
        <v>18</v>
      </c>
      <c r="J701" s="10" t="s">
        <v>277</v>
      </c>
      <c r="K701" s="10" t="s">
        <v>3327</v>
      </c>
      <c r="L701" s="10" t="s">
        <v>2292</v>
      </c>
      <c r="M701" s="12">
        <v>45400</v>
      </c>
      <c r="N701" s="10" t="s">
        <v>15</v>
      </c>
      <c r="O701" s="10" t="s">
        <v>2057</v>
      </c>
      <c r="P701" s="25" t="str">
        <f>IFERROR(
IF(OR(O701="anulado",O701="stand by"),CONCATENATE(O701,": ",H701),
IF(OR(YEAR(M701)=2022,YEAR(M701)=2023),CONCATENATE("Se activó en ",YEAR(M701)),
IF(AND(OR(O701="En proceso",O701="facturando"),AND(J701="-",M701="")),"Por revisar",
IF(M701="",IF(J701="NUEVAS",CONCATENATE("Estado: ",O701,", ",J701),
IF(L701=Meses!$A$3,"Por revisar",
IF(H701="","Sin registro","En programación Frcst."))),"En programación")))),
"Error")</f>
        <v>En programación</v>
      </c>
      <c r="Q701" s="9" t="str">
        <f t="shared" si="30"/>
        <v/>
      </c>
      <c r="R701" s="25">
        <f>IF(P701="En programación Frcst.",VLOOKUP(L701,Meses!$A$1:$H$14,3+HLOOKUP(Cronograma!J701,Meses!$D$1:$G$2,2,FALSE),FALSE),
IF(P701="En programación",M701,""))</f>
        <v>45400</v>
      </c>
      <c r="S701" s="25" t="str">
        <f t="shared" si="32"/>
        <v>2024/4</v>
      </c>
      <c r="T701" s="21">
        <f>IFERROR(
(VLOOKUP(MONTH(R701),Meses!$B$3:$C$14,2,FALSE)-DAY(R701))/VLOOKUP(MONTH(R701),Meses!$B$3:$C$14,2,FALSE)*U701,
"")</f>
        <v>6720</v>
      </c>
      <c r="U701" s="22">
        <f t="shared" si="31"/>
        <v>16800</v>
      </c>
    </row>
    <row r="702" spans="1:21" ht="47.4" hidden="1" thickBot="1" x14ac:dyDescent="0.6">
      <c r="A702" s="10" t="s">
        <v>888</v>
      </c>
      <c r="B702" s="10" t="s">
        <v>892</v>
      </c>
      <c r="C702" s="12"/>
      <c r="D702" s="10" t="s">
        <v>14</v>
      </c>
      <c r="E702" s="10" t="s">
        <v>14</v>
      </c>
      <c r="F702" s="10">
        <v>17148</v>
      </c>
      <c r="G702" s="10" t="s">
        <v>15</v>
      </c>
      <c r="H702" s="10" t="s">
        <v>2916</v>
      </c>
      <c r="I702" s="10" t="s">
        <v>18</v>
      </c>
      <c r="J702" s="10" t="s">
        <v>277</v>
      </c>
      <c r="K702" s="10" t="s">
        <v>3327</v>
      </c>
      <c r="L702" s="10" t="s">
        <v>2292</v>
      </c>
      <c r="M702" s="12">
        <v>45400</v>
      </c>
      <c r="N702" s="10" t="s">
        <v>15</v>
      </c>
      <c r="O702" s="10" t="s">
        <v>2057</v>
      </c>
      <c r="P702" s="25" t="str">
        <f>IFERROR(
IF(OR(O702="anulado",O702="stand by"),CONCATENATE(O702,": ",H702),
IF(OR(YEAR(M702)=2022,YEAR(M702)=2023),CONCATENATE("Se activó en ",YEAR(M702)),
IF(AND(OR(O702="En proceso",O702="facturando"),AND(J702="-",M702="")),"Por revisar",
IF(M702="",IF(J702="NUEVAS",CONCATENATE("Estado: ",O702,", ",J702),
IF(L702=Meses!$A$3,"Por revisar",
IF(H702="","Sin registro","En programación Frcst."))),"En programación")))),
"Error")</f>
        <v>En programación</v>
      </c>
      <c r="Q702" s="9" t="str">
        <f t="shared" si="30"/>
        <v/>
      </c>
      <c r="R702" s="25">
        <f>IF(P702="En programación Frcst.",VLOOKUP(L702,Meses!$A$1:$H$14,3+HLOOKUP(Cronograma!J702,Meses!$D$1:$G$2,2,FALSE),FALSE),
IF(P702="En programación",M702,""))</f>
        <v>45400</v>
      </c>
      <c r="S702" s="25" t="str">
        <f t="shared" si="32"/>
        <v>2024/4</v>
      </c>
      <c r="T702" s="21">
        <f>IFERROR(
(VLOOKUP(MONTH(R702),Meses!$B$3:$C$14,2,FALSE)-DAY(R702))/VLOOKUP(MONTH(R702),Meses!$B$3:$C$14,2,FALSE)*U702,
"")</f>
        <v>6859.2000000000007</v>
      </c>
      <c r="U702" s="22">
        <f t="shared" si="31"/>
        <v>17148</v>
      </c>
    </row>
    <row r="703" spans="1:21" ht="47.4" hidden="1" thickBot="1" x14ac:dyDescent="0.6">
      <c r="A703" s="10" t="s">
        <v>888</v>
      </c>
      <c r="B703" s="10" t="s">
        <v>893</v>
      </c>
      <c r="C703" s="12"/>
      <c r="D703" s="10" t="s">
        <v>14</v>
      </c>
      <c r="E703" s="10" t="s">
        <v>14</v>
      </c>
      <c r="F703" s="10">
        <v>17200</v>
      </c>
      <c r="G703" s="10" t="s">
        <v>15</v>
      </c>
      <c r="H703" s="10" t="s">
        <v>2916</v>
      </c>
      <c r="I703" s="10" t="s">
        <v>18</v>
      </c>
      <c r="J703" s="10" t="s">
        <v>277</v>
      </c>
      <c r="K703" s="10" t="s">
        <v>3327</v>
      </c>
      <c r="L703" s="10" t="s">
        <v>2292</v>
      </c>
      <c r="M703" s="12">
        <v>45400</v>
      </c>
      <c r="N703" s="10" t="s">
        <v>15</v>
      </c>
      <c r="O703" s="10" t="s">
        <v>2057</v>
      </c>
      <c r="P703" s="25" t="str">
        <f>IFERROR(
IF(OR(O703="anulado",O703="stand by"),CONCATENATE(O703,": ",H703),
IF(OR(YEAR(M703)=2022,YEAR(M703)=2023),CONCATENATE("Se activó en ",YEAR(M703)),
IF(AND(OR(O703="En proceso",O703="facturando"),AND(J703="-",M703="")),"Por revisar",
IF(M703="",IF(J703="NUEVAS",CONCATENATE("Estado: ",O703,", ",J703),
IF(L703=Meses!$A$3,"Por revisar",
IF(H703="","Sin registro","En programación Frcst."))),"En programación")))),
"Error")</f>
        <v>En programación</v>
      </c>
      <c r="Q703" s="9" t="str">
        <f t="shared" si="30"/>
        <v/>
      </c>
      <c r="R703" s="25">
        <f>IF(P703="En programación Frcst.",VLOOKUP(L703,Meses!$A$1:$H$14,3+HLOOKUP(Cronograma!J703,Meses!$D$1:$G$2,2,FALSE),FALSE),
IF(P703="En programación",M703,""))</f>
        <v>45400</v>
      </c>
      <c r="S703" s="25" t="str">
        <f t="shared" si="32"/>
        <v>2024/4</v>
      </c>
      <c r="T703" s="21">
        <f>IFERROR(
(VLOOKUP(MONTH(R703),Meses!$B$3:$C$14,2,FALSE)-DAY(R703))/VLOOKUP(MONTH(R703),Meses!$B$3:$C$14,2,FALSE)*U703,
"")</f>
        <v>6880</v>
      </c>
      <c r="U703" s="22">
        <f t="shared" si="31"/>
        <v>17200</v>
      </c>
    </row>
    <row r="704" spans="1:21" ht="47.4" hidden="1" thickBot="1" x14ac:dyDescent="0.6">
      <c r="A704" s="10" t="s">
        <v>888</v>
      </c>
      <c r="B704" s="10" t="s">
        <v>894</v>
      </c>
      <c r="C704" s="12"/>
      <c r="D704" s="10" t="s">
        <v>14</v>
      </c>
      <c r="E704" s="10" t="s">
        <v>14</v>
      </c>
      <c r="F704" s="10">
        <v>17268</v>
      </c>
      <c r="G704" s="10" t="s">
        <v>15</v>
      </c>
      <c r="H704" s="10" t="s">
        <v>2916</v>
      </c>
      <c r="I704" s="10" t="s">
        <v>18</v>
      </c>
      <c r="J704" s="10" t="s">
        <v>277</v>
      </c>
      <c r="K704" s="10" t="s">
        <v>3327</v>
      </c>
      <c r="L704" s="10" t="s">
        <v>2292</v>
      </c>
      <c r="M704" s="12">
        <v>45400</v>
      </c>
      <c r="N704" s="10" t="s">
        <v>15</v>
      </c>
      <c r="O704" s="10" t="s">
        <v>2057</v>
      </c>
      <c r="P704" s="25" t="str">
        <f>IFERROR(
IF(OR(O704="anulado",O704="stand by"),CONCATENATE(O704,": ",H704),
IF(OR(YEAR(M704)=2022,YEAR(M704)=2023),CONCATENATE("Se activó en ",YEAR(M704)),
IF(AND(OR(O704="En proceso",O704="facturando"),AND(J704="-",M704="")),"Por revisar",
IF(M704="",IF(J704="NUEVAS",CONCATENATE("Estado: ",O704,", ",J704),
IF(L704=Meses!$A$3,"Por revisar",
IF(H704="","Sin registro","En programación Frcst."))),"En programación")))),
"Error")</f>
        <v>En programación</v>
      </c>
      <c r="Q704" s="9" t="str">
        <f t="shared" si="30"/>
        <v/>
      </c>
      <c r="R704" s="25">
        <f>IF(P704="En programación Frcst.",VLOOKUP(L704,Meses!$A$1:$H$14,3+HLOOKUP(Cronograma!J704,Meses!$D$1:$G$2,2,FALSE),FALSE),
IF(P704="En programación",M704,""))</f>
        <v>45400</v>
      </c>
      <c r="S704" s="25" t="str">
        <f t="shared" si="32"/>
        <v>2024/4</v>
      </c>
      <c r="T704" s="21">
        <f>IFERROR(
(VLOOKUP(MONTH(R704),Meses!$B$3:$C$14,2,FALSE)-DAY(R704))/VLOOKUP(MONTH(R704),Meses!$B$3:$C$14,2,FALSE)*U704,
"")</f>
        <v>6907.2000000000007</v>
      </c>
      <c r="U704" s="22">
        <f t="shared" si="31"/>
        <v>17268</v>
      </c>
    </row>
    <row r="705" spans="1:21" ht="47.4" hidden="1" thickBot="1" x14ac:dyDescent="0.6">
      <c r="A705" s="10" t="s">
        <v>888</v>
      </c>
      <c r="B705" s="10" t="s">
        <v>895</v>
      </c>
      <c r="C705" s="12"/>
      <c r="D705" s="10" t="s">
        <v>14</v>
      </c>
      <c r="E705" s="10" t="s">
        <v>14</v>
      </c>
      <c r="F705" s="10">
        <v>18640</v>
      </c>
      <c r="G705" s="10" t="s">
        <v>15</v>
      </c>
      <c r="H705" s="10" t="s">
        <v>2916</v>
      </c>
      <c r="I705" s="10" t="s">
        <v>18</v>
      </c>
      <c r="J705" s="10" t="s">
        <v>277</v>
      </c>
      <c r="K705" s="10" t="s">
        <v>3327</v>
      </c>
      <c r="L705" s="10" t="s">
        <v>2292</v>
      </c>
      <c r="M705" s="12">
        <v>45400</v>
      </c>
      <c r="N705" s="10" t="s">
        <v>15</v>
      </c>
      <c r="O705" s="10" t="s">
        <v>2057</v>
      </c>
      <c r="P705" s="25" t="str">
        <f>IFERROR(
IF(OR(O705="anulado",O705="stand by"),CONCATENATE(O705,": ",H705),
IF(OR(YEAR(M705)=2022,YEAR(M705)=2023),CONCATENATE("Se activó en ",YEAR(M705)),
IF(AND(OR(O705="En proceso",O705="facturando"),AND(J705="-",M705="")),"Por revisar",
IF(M705="",IF(J705="NUEVAS",CONCATENATE("Estado: ",O705,", ",J705),
IF(L705=Meses!$A$3,"Por revisar",
IF(H705="","Sin registro","En programación Frcst."))),"En programación")))),
"Error")</f>
        <v>En programación</v>
      </c>
      <c r="Q705" s="9" t="str">
        <f t="shared" si="30"/>
        <v/>
      </c>
      <c r="R705" s="25">
        <f>IF(P705="En programación Frcst.",VLOOKUP(L705,Meses!$A$1:$H$14,3+HLOOKUP(Cronograma!J705,Meses!$D$1:$G$2,2,FALSE),FALSE),
IF(P705="En programación",M705,""))</f>
        <v>45400</v>
      </c>
      <c r="S705" s="25" t="str">
        <f t="shared" si="32"/>
        <v>2024/4</v>
      </c>
      <c r="T705" s="21">
        <f>IFERROR(
(VLOOKUP(MONTH(R705),Meses!$B$3:$C$14,2,FALSE)-DAY(R705))/VLOOKUP(MONTH(R705),Meses!$B$3:$C$14,2,FALSE)*U705,
"")</f>
        <v>7456</v>
      </c>
      <c r="U705" s="22">
        <f t="shared" si="31"/>
        <v>18640</v>
      </c>
    </row>
    <row r="706" spans="1:21" ht="47.4" hidden="1" thickBot="1" x14ac:dyDescent="0.6">
      <c r="A706" s="10" t="s">
        <v>888</v>
      </c>
      <c r="B706" s="10" t="s">
        <v>896</v>
      </c>
      <c r="C706" s="12"/>
      <c r="D706" s="10" t="s">
        <v>14</v>
      </c>
      <c r="E706" s="10" t="s">
        <v>14</v>
      </c>
      <c r="F706" s="10">
        <v>20640</v>
      </c>
      <c r="G706" s="10" t="s">
        <v>15</v>
      </c>
      <c r="H706" s="10" t="s">
        <v>2916</v>
      </c>
      <c r="I706" s="10" t="s">
        <v>18</v>
      </c>
      <c r="J706" s="10" t="s">
        <v>277</v>
      </c>
      <c r="K706" s="10" t="s">
        <v>3327</v>
      </c>
      <c r="L706" s="10" t="s">
        <v>2292</v>
      </c>
      <c r="M706" s="12">
        <v>45400</v>
      </c>
      <c r="N706" s="10" t="s">
        <v>15</v>
      </c>
      <c r="O706" s="10" t="s">
        <v>2057</v>
      </c>
      <c r="P706" s="25" t="str">
        <f>IFERROR(
IF(OR(O706="anulado",O706="stand by"),CONCATENATE(O706,": ",H706),
IF(OR(YEAR(M706)=2022,YEAR(M706)=2023),CONCATENATE("Se activó en ",YEAR(M706)),
IF(AND(OR(O706="En proceso",O706="facturando"),AND(J706="-",M706="")),"Por revisar",
IF(M706="",IF(J706="NUEVAS",CONCATENATE("Estado: ",O706,", ",J706),
IF(L706=Meses!$A$3,"Por revisar",
IF(H706="","Sin registro","En programación Frcst."))),"En programación")))),
"Error")</f>
        <v>En programación</v>
      </c>
      <c r="Q706" s="9" t="str">
        <f t="shared" ref="Q706:Q769" si="33">IF(P706="Por revisar",CONCATENATE("programación de act. ",N706,", estado: ",O706,", Comercializador: ",D706,", Etapa: ",H706),"")</f>
        <v/>
      </c>
      <c r="R706" s="25">
        <f>IF(P706="En programación Frcst.",VLOOKUP(L706,Meses!$A$1:$H$14,3+HLOOKUP(Cronograma!J706,Meses!$D$1:$G$2,2,FALSE),FALSE),
IF(P706="En programación",M706,""))</f>
        <v>45400</v>
      </c>
      <c r="S706" s="25" t="str">
        <f t="shared" si="32"/>
        <v>2024/4</v>
      </c>
      <c r="T706" s="21">
        <f>IFERROR(
(VLOOKUP(MONTH(R706),Meses!$B$3:$C$14,2,FALSE)-DAY(R706))/VLOOKUP(MONTH(R706),Meses!$B$3:$C$14,2,FALSE)*U706,
"")</f>
        <v>8256</v>
      </c>
      <c r="U706" s="22">
        <f t="shared" ref="U706:U769" si="34">F706</f>
        <v>20640</v>
      </c>
    </row>
    <row r="707" spans="1:21" ht="47.4" hidden="1" thickBot="1" x14ac:dyDescent="0.6">
      <c r="A707" s="10" t="s">
        <v>888</v>
      </c>
      <c r="B707" s="10" t="s">
        <v>897</v>
      </c>
      <c r="C707" s="12"/>
      <c r="D707" s="10" t="s">
        <v>14</v>
      </c>
      <c r="E707" s="10" t="s">
        <v>14</v>
      </c>
      <c r="F707" s="10">
        <v>20720</v>
      </c>
      <c r="G707" s="10" t="s">
        <v>15</v>
      </c>
      <c r="H707" s="10" t="s">
        <v>2916</v>
      </c>
      <c r="I707" s="10" t="s">
        <v>18</v>
      </c>
      <c r="J707" s="10" t="s">
        <v>277</v>
      </c>
      <c r="K707" s="10" t="s">
        <v>3327</v>
      </c>
      <c r="L707" s="10" t="s">
        <v>2292</v>
      </c>
      <c r="M707" s="12">
        <v>45400</v>
      </c>
      <c r="N707" s="10" t="s">
        <v>15</v>
      </c>
      <c r="O707" s="10" t="s">
        <v>2057</v>
      </c>
      <c r="P707" s="25" t="str">
        <f>IFERROR(
IF(OR(O707="anulado",O707="stand by"),CONCATENATE(O707,": ",H707),
IF(OR(YEAR(M707)=2022,YEAR(M707)=2023),CONCATENATE("Se activó en ",YEAR(M707)),
IF(AND(OR(O707="En proceso",O707="facturando"),AND(J707="-",M707="")),"Por revisar",
IF(M707="",IF(J707="NUEVAS",CONCATENATE("Estado: ",O707,", ",J707),
IF(L707=Meses!$A$3,"Por revisar",
IF(H707="","Sin registro","En programación Frcst."))),"En programación")))),
"Error")</f>
        <v>En programación</v>
      </c>
      <c r="Q707" s="9" t="str">
        <f t="shared" si="33"/>
        <v/>
      </c>
      <c r="R707" s="25">
        <f>IF(P707="En programación Frcst.",VLOOKUP(L707,Meses!$A$1:$H$14,3+HLOOKUP(Cronograma!J707,Meses!$D$1:$G$2,2,FALSE),FALSE),
IF(P707="En programación",M707,""))</f>
        <v>45400</v>
      </c>
      <c r="S707" s="25" t="str">
        <f t="shared" ref="S707:S770" si="35">IFERROR(CONCATENATE(YEAR(R707),"/",MONTH(R707)),"")</f>
        <v>2024/4</v>
      </c>
      <c r="T707" s="21">
        <f>IFERROR(
(VLOOKUP(MONTH(R707),Meses!$B$3:$C$14,2,FALSE)-DAY(R707))/VLOOKUP(MONTH(R707),Meses!$B$3:$C$14,2,FALSE)*U707,
"")</f>
        <v>8288</v>
      </c>
      <c r="U707" s="22">
        <f t="shared" si="34"/>
        <v>20720</v>
      </c>
    </row>
    <row r="708" spans="1:21" ht="47.4" hidden="1" thickBot="1" x14ac:dyDescent="0.6">
      <c r="A708" s="10" t="s">
        <v>888</v>
      </c>
      <c r="B708" s="10" t="s">
        <v>898</v>
      </c>
      <c r="C708" s="12"/>
      <c r="D708" s="10" t="s">
        <v>14</v>
      </c>
      <c r="E708" s="10" t="s">
        <v>14</v>
      </c>
      <c r="F708" s="10">
        <v>20960</v>
      </c>
      <c r="G708" s="10" t="s">
        <v>15</v>
      </c>
      <c r="H708" s="10" t="s">
        <v>2916</v>
      </c>
      <c r="I708" s="10" t="s">
        <v>18</v>
      </c>
      <c r="J708" s="10" t="s">
        <v>277</v>
      </c>
      <c r="K708" s="10" t="s">
        <v>3327</v>
      </c>
      <c r="L708" s="10" t="s">
        <v>2292</v>
      </c>
      <c r="M708" s="12">
        <v>45400</v>
      </c>
      <c r="N708" s="10" t="s">
        <v>15</v>
      </c>
      <c r="O708" s="10" t="s">
        <v>2057</v>
      </c>
      <c r="P708" s="25" t="str">
        <f>IFERROR(
IF(OR(O708="anulado",O708="stand by"),CONCATENATE(O708,": ",H708),
IF(OR(YEAR(M708)=2022,YEAR(M708)=2023),CONCATENATE("Se activó en ",YEAR(M708)),
IF(AND(OR(O708="En proceso",O708="facturando"),AND(J708="-",M708="")),"Por revisar",
IF(M708="",IF(J708="NUEVAS",CONCATENATE("Estado: ",O708,", ",J708),
IF(L708=Meses!$A$3,"Por revisar",
IF(H708="","Sin registro","En programación Frcst."))),"En programación")))),
"Error")</f>
        <v>En programación</v>
      </c>
      <c r="Q708" s="9" t="str">
        <f t="shared" si="33"/>
        <v/>
      </c>
      <c r="R708" s="25">
        <f>IF(P708="En programación Frcst.",VLOOKUP(L708,Meses!$A$1:$H$14,3+HLOOKUP(Cronograma!J708,Meses!$D$1:$G$2,2,FALSE),FALSE),
IF(P708="En programación",M708,""))</f>
        <v>45400</v>
      </c>
      <c r="S708" s="25" t="str">
        <f t="shared" si="35"/>
        <v>2024/4</v>
      </c>
      <c r="T708" s="21">
        <f>IFERROR(
(VLOOKUP(MONTH(R708),Meses!$B$3:$C$14,2,FALSE)-DAY(R708))/VLOOKUP(MONTH(R708),Meses!$B$3:$C$14,2,FALSE)*U708,
"")</f>
        <v>8384</v>
      </c>
      <c r="U708" s="22">
        <f t="shared" si="34"/>
        <v>20960</v>
      </c>
    </row>
    <row r="709" spans="1:21" ht="47.4" hidden="1" thickBot="1" x14ac:dyDescent="0.6">
      <c r="A709" s="10" t="s">
        <v>888</v>
      </c>
      <c r="B709" s="10" t="s">
        <v>899</v>
      </c>
      <c r="C709" s="12"/>
      <c r="D709" s="10" t="s">
        <v>14</v>
      </c>
      <c r="E709" s="10" t="s">
        <v>14</v>
      </c>
      <c r="F709" s="10">
        <v>34494</v>
      </c>
      <c r="G709" s="10" t="s">
        <v>15</v>
      </c>
      <c r="H709" s="10" t="s">
        <v>2916</v>
      </c>
      <c r="I709" s="10" t="s">
        <v>18</v>
      </c>
      <c r="J709" s="10" t="s">
        <v>277</v>
      </c>
      <c r="K709" s="10" t="s">
        <v>3327</v>
      </c>
      <c r="L709" s="10" t="s">
        <v>2292</v>
      </c>
      <c r="M709" s="12">
        <v>45400</v>
      </c>
      <c r="N709" s="10" t="s">
        <v>15</v>
      </c>
      <c r="O709" s="10" t="s">
        <v>2057</v>
      </c>
      <c r="P709" s="25" t="str">
        <f>IFERROR(
IF(OR(O709="anulado",O709="stand by"),CONCATENATE(O709,": ",H709),
IF(OR(YEAR(M709)=2022,YEAR(M709)=2023),CONCATENATE("Se activó en ",YEAR(M709)),
IF(AND(OR(O709="En proceso",O709="facturando"),AND(J709="-",M709="")),"Por revisar",
IF(M709="",IF(J709="NUEVAS",CONCATENATE("Estado: ",O709,", ",J709),
IF(L709=Meses!$A$3,"Por revisar",
IF(H709="","Sin registro","En programación Frcst."))),"En programación")))),
"Error")</f>
        <v>En programación</v>
      </c>
      <c r="Q709" s="9" t="str">
        <f t="shared" si="33"/>
        <v/>
      </c>
      <c r="R709" s="25">
        <f>IF(P709="En programación Frcst.",VLOOKUP(L709,Meses!$A$1:$H$14,3+HLOOKUP(Cronograma!J709,Meses!$D$1:$G$2,2,FALSE),FALSE),
IF(P709="En programación",M709,""))</f>
        <v>45400</v>
      </c>
      <c r="S709" s="25" t="str">
        <f t="shared" si="35"/>
        <v>2024/4</v>
      </c>
      <c r="T709" s="21">
        <f>IFERROR(
(VLOOKUP(MONTH(R709),Meses!$B$3:$C$14,2,FALSE)-DAY(R709))/VLOOKUP(MONTH(R709),Meses!$B$3:$C$14,2,FALSE)*U709,
"")</f>
        <v>13797.6</v>
      </c>
      <c r="U709" s="22">
        <f t="shared" si="34"/>
        <v>34494</v>
      </c>
    </row>
    <row r="710" spans="1:21" ht="47.4" hidden="1" thickBot="1" x14ac:dyDescent="0.6">
      <c r="A710" s="10" t="s">
        <v>888</v>
      </c>
      <c r="B710" s="10" t="s">
        <v>900</v>
      </c>
      <c r="C710" s="12"/>
      <c r="D710" s="10" t="s">
        <v>901</v>
      </c>
      <c r="E710" s="10" t="s">
        <v>233</v>
      </c>
      <c r="F710" s="10">
        <v>12240</v>
      </c>
      <c r="G710" s="10" t="s">
        <v>15</v>
      </c>
      <c r="H710" s="10" t="s">
        <v>2916</v>
      </c>
      <c r="I710" s="10" t="s">
        <v>18</v>
      </c>
      <c r="J710" s="10" t="s">
        <v>277</v>
      </c>
      <c r="K710" s="10" t="s">
        <v>3327</v>
      </c>
      <c r="L710" s="10" t="s">
        <v>2292</v>
      </c>
      <c r="M710" s="12">
        <v>45400</v>
      </c>
      <c r="N710" s="10" t="s">
        <v>15</v>
      </c>
      <c r="O710" s="10" t="s">
        <v>2057</v>
      </c>
      <c r="P710" s="25" t="str">
        <f>IFERROR(
IF(OR(O710="anulado",O710="stand by"),CONCATENATE(O710,": ",H710),
IF(OR(YEAR(M710)=2022,YEAR(M710)=2023),CONCATENATE("Se activó en ",YEAR(M710)),
IF(AND(OR(O710="En proceso",O710="facturando"),AND(J710="-",M710="")),"Por revisar",
IF(M710="",IF(J710="NUEVAS",CONCATENATE("Estado: ",O710,", ",J710),
IF(L710=Meses!$A$3,"Por revisar",
IF(H710="","Sin registro","En programación Frcst."))),"En programación")))),
"Error")</f>
        <v>En programación</v>
      </c>
      <c r="Q710" s="9" t="str">
        <f t="shared" si="33"/>
        <v/>
      </c>
      <c r="R710" s="25">
        <f>IF(P710="En programación Frcst.",VLOOKUP(L710,Meses!$A$1:$H$14,3+HLOOKUP(Cronograma!J710,Meses!$D$1:$G$2,2,FALSE),FALSE),
IF(P710="En programación",M710,""))</f>
        <v>45400</v>
      </c>
      <c r="S710" s="25" t="str">
        <f t="shared" si="35"/>
        <v>2024/4</v>
      </c>
      <c r="T710" s="21">
        <f>IFERROR(
(VLOOKUP(MONTH(R710),Meses!$B$3:$C$14,2,FALSE)-DAY(R710))/VLOOKUP(MONTH(R710),Meses!$B$3:$C$14,2,FALSE)*U710,
"")</f>
        <v>4896</v>
      </c>
      <c r="U710" s="22">
        <f t="shared" si="34"/>
        <v>12240</v>
      </c>
    </row>
    <row r="711" spans="1:21" ht="47.4" hidden="1" thickBot="1" x14ac:dyDescent="0.6">
      <c r="A711" s="10" t="s">
        <v>888</v>
      </c>
      <c r="B711" s="10" t="s">
        <v>902</v>
      </c>
      <c r="C711" s="12"/>
      <c r="D711" s="10" t="s">
        <v>298</v>
      </c>
      <c r="E711" s="10" t="s">
        <v>298</v>
      </c>
      <c r="F711" s="10">
        <v>14080</v>
      </c>
      <c r="G711" s="10" t="s">
        <v>15</v>
      </c>
      <c r="H711" s="10" t="s">
        <v>2916</v>
      </c>
      <c r="I711" s="10" t="s">
        <v>43</v>
      </c>
      <c r="J711" s="10" t="s">
        <v>143</v>
      </c>
      <c r="K711" s="10" t="s">
        <v>2895</v>
      </c>
      <c r="L711" s="10" t="s">
        <v>2292</v>
      </c>
      <c r="M711" s="12">
        <v>45400</v>
      </c>
      <c r="N711" s="10" t="s">
        <v>15</v>
      </c>
      <c r="O711" s="10" t="s">
        <v>2057</v>
      </c>
      <c r="P711" s="25" t="str">
        <f>IFERROR(
IF(OR(O711="anulado",O711="stand by"),CONCATENATE(O711,": ",H711),
IF(OR(YEAR(M711)=2022,YEAR(M711)=2023),CONCATENATE("Se activó en ",YEAR(M711)),
IF(AND(OR(O711="En proceso",O711="facturando"),AND(J711="-",M711="")),"Por revisar",
IF(M711="",IF(J711="NUEVAS",CONCATENATE("Estado: ",O711,", ",J711),
IF(L711=Meses!$A$3,"Por revisar",
IF(H711="","Sin registro","En programación Frcst."))),"En programación")))),
"Error")</f>
        <v>En programación</v>
      </c>
      <c r="Q711" s="9" t="str">
        <f t="shared" si="33"/>
        <v/>
      </c>
      <c r="R711" s="25">
        <f>IF(P711="En programación Frcst.",VLOOKUP(L711,Meses!$A$1:$H$14,3+HLOOKUP(Cronograma!J711,Meses!$D$1:$G$2,2,FALSE),FALSE),
IF(P711="En programación",M711,""))</f>
        <v>45400</v>
      </c>
      <c r="S711" s="25" t="str">
        <f t="shared" si="35"/>
        <v>2024/4</v>
      </c>
      <c r="T711" s="21">
        <f>IFERROR(
(VLOOKUP(MONTH(R711),Meses!$B$3:$C$14,2,FALSE)-DAY(R711))/VLOOKUP(MONTH(R711),Meses!$B$3:$C$14,2,FALSE)*U711,
"")</f>
        <v>5632</v>
      </c>
      <c r="U711" s="22">
        <f t="shared" si="34"/>
        <v>14080</v>
      </c>
    </row>
    <row r="712" spans="1:21" ht="47.4" hidden="1" thickBot="1" x14ac:dyDescent="0.6">
      <c r="A712" s="10" t="s">
        <v>888</v>
      </c>
      <c r="B712" s="10" t="s">
        <v>903</v>
      </c>
      <c r="C712" s="12"/>
      <c r="D712" s="10" t="s">
        <v>23</v>
      </c>
      <c r="E712" s="10" t="s">
        <v>23</v>
      </c>
      <c r="F712" s="10">
        <v>7880</v>
      </c>
      <c r="G712" s="10" t="s">
        <v>15</v>
      </c>
      <c r="H712" s="10" t="s">
        <v>2916</v>
      </c>
      <c r="I712" s="10" t="s">
        <v>43</v>
      </c>
      <c r="J712" s="10" t="s">
        <v>143</v>
      </c>
      <c r="K712" s="10" t="s">
        <v>2895</v>
      </c>
      <c r="L712" s="10" t="s">
        <v>2292</v>
      </c>
      <c r="M712" s="12">
        <v>45400</v>
      </c>
      <c r="N712" s="10" t="s">
        <v>15</v>
      </c>
      <c r="O712" s="10" t="s">
        <v>2057</v>
      </c>
      <c r="P712" s="25" t="str">
        <f>IFERROR(
IF(OR(O712="anulado",O712="stand by"),CONCATENATE(O712,": ",H712),
IF(OR(YEAR(M712)=2022,YEAR(M712)=2023),CONCATENATE("Se activó en ",YEAR(M712)),
IF(AND(OR(O712="En proceso",O712="facturando"),AND(J712="-",M712="")),"Por revisar",
IF(M712="",IF(J712="NUEVAS",CONCATENATE("Estado: ",O712,", ",J712),
IF(L712=Meses!$A$3,"Por revisar",
IF(H712="","Sin registro","En programación Frcst."))),"En programación")))),
"Error")</f>
        <v>En programación</v>
      </c>
      <c r="Q712" s="9" t="str">
        <f t="shared" si="33"/>
        <v/>
      </c>
      <c r="R712" s="25">
        <f>IF(P712="En programación Frcst.",VLOOKUP(L712,Meses!$A$1:$H$14,3+HLOOKUP(Cronograma!J712,Meses!$D$1:$G$2,2,FALSE),FALSE),
IF(P712="En programación",M712,""))</f>
        <v>45400</v>
      </c>
      <c r="S712" s="25" t="str">
        <f t="shared" si="35"/>
        <v>2024/4</v>
      </c>
      <c r="T712" s="21">
        <f>IFERROR(
(VLOOKUP(MONTH(R712),Meses!$B$3:$C$14,2,FALSE)-DAY(R712))/VLOOKUP(MONTH(R712),Meses!$B$3:$C$14,2,FALSE)*U712,
"")</f>
        <v>3152</v>
      </c>
      <c r="U712" s="22">
        <f t="shared" si="34"/>
        <v>7880</v>
      </c>
    </row>
    <row r="713" spans="1:21" ht="47.4" hidden="1" thickBot="1" x14ac:dyDescent="0.6">
      <c r="A713" s="10" t="s">
        <v>888</v>
      </c>
      <c r="B713" s="10" t="s">
        <v>904</v>
      </c>
      <c r="C713" s="12"/>
      <c r="D713" s="10" t="s">
        <v>23</v>
      </c>
      <c r="E713" s="10" t="s">
        <v>23</v>
      </c>
      <c r="F713" s="10">
        <v>9294</v>
      </c>
      <c r="G713" s="10" t="s">
        <v>15</v>
      </c>
      <c r="H713" s="10" t="s">
        <v>2916</v>
      </c>
      <c r="I713" s="10" t="s">
        <v>43</v>
      </c>
      <c r="J713" s="10" t="s">
        <v>143</v>
      </c>
      <c r="K713" s="10" t="s">
        <v>2895</v>
      </c>
      <c r="L713" s="10" t="s">
        <v>2292</v>
      </c>
      <c r="M713" s="12">
        <v>45400</v>
      </c>
      <c r="N713" s="10" t="s">
        <v>15</v>
      </c>
      <c r="O713" s="10" t="s">
        <v>2057</v>
      </c>
      <c r="P713" s="25" t="str">
        <f>IFERROR(
IF(OR(O713="anulado",O713="stand by"),CONCATENATE(O713,": ",H713),
IF(OR(YEAR(M713)=2022,YEAR(M713)=2023),CONCATENATE("Se activó en ",YEAR(M713)),
IF(AND(OR(O713="En proceso",O713="facturando"),AND(J713="-",M713="")),"Por revisar",
IF(M713="",IF(J713="NUEVAS",CONCATENATE("Estado: ",O713,", ",J713),
IF(L713=Meses!$A$3,"Por revisar",
IF(H713="","Sin registro","En programación Frcst."))),"En programación")))),
"Error")</f>
        <v>En programación</v>
      </c>
      <c r="Q713" s="9" t="str">
        <f t="shared" si="33"/>
        <v/>
      </c>
      <c r="R713" s="25">
        <f>IF(P713="En programación Frcst.",VLOOKUP(L713,Meses!$A$1:$H$14,3+HLOOKUP(Cronograma!J713,Meses!$D$1:$G$2,2,FALSE),FALSE),
IF(P713="En programación",M713,""))</f>
        <v>45400</v>
      </c>
      <c r="S713" s="25" t="str">
        <f t="shared" si="35"/>
        <v>2024/4</v>
      </c>
      <c r="T713" s="21">
        <f>IFERROR(
(VLOOKUP(MONTH(R713),Meses!$B$3:$C$14,2,FALSE)-DAY(R713))/VLOOKUP(MONTH(R713),Meses!$B$3:$C$14,2,FALSE)*U713,
"")</f>
        <v>3717.6000000000004</v>
      </c>
      <c r="U713" s="22">
        <f t="shared" si="34"/>
        <v>9294</v>
      </c>
    </row>
    <row r="714" spans="1:21" ht="47.4" hidden="1" thickBot="1" x14ac:dyDescent="0.6">
      <c r="A714" s="10" t="s">
        <v>888</v>
      </c>
      <c r="B714" s="10" t="s">
        <v>905</v>
      </c>
      <c r="C714" s="12"/>
      <c r="D714" s="10" t="s">
        <v>23</v>
      </c>
      <c r="E714" s="10" t="s">
        <v>23</v>
      </c>
      <c r="F714" s="10">
        <v>13600</v>
      </c>
      <c r="G714" s="10" t="s">
        <v>15</v>
      </c>
      <c r="H714" s="10" t="s">
        <v>2916</v>
      </c>
      <c r="I714" s="10" t="s">
        <v>43</v>
      </c>
      <c r="J714" s="10" t="s">
        <v>143</v>
      </c>
      <c r="K714" s="10" t="s">
        <v>2895</v>
      </c>
      <c r="L714" s="10" t="s">
        <v>2292</v>
      </c>
      <c r="M714" s="12">
        <v>45400</v>
      </c>
      <c r="N714" s="10" t="s">
        <v>15</v>
      </c>
      <c r="O714" s="10" t="s">
        <v>2057</v>
      </c>
      <c r="P714" s="25" t="str">
        <f>IFERROR(
IF(OR(O714="anulado",O714="stand by"),CONCATENATE(O714,": ",H714),
IF(OR(YEAR(M714)=2022,YEAR(M714)=2023),CONCATENATE("Se activó en ",YEAR(M714)),
IF(AND(OR(O714="En proceso",O714="facturando"),AND(J714="-",M714="")),"Por revisar",
IF(M714="",IF(J714="NUEVAS",CONCATENATE("Estado: ",O714,", ",J714),
IF(L714=Meses!$A$3,"Por revisar",
IF(H714="","Sin registro","En programación Frcst."))),"En programación")))),
"Error")</f>
        <v>En programación</v>
      </c>
      <c r="Q714" s="9" t="str">
        <f t="shared" si="33"/>
        <v/>
      </c>
      <c r="R714" s="25">
        <f>IF(P714="En programación Frcst.",VLOOKUP(L714,Meses!$A$1:$H$14,3+HLOOKUP(Cronograma!J714,Meses!$D$1:$G$2,2,FALSE),FALSE),
IF(P714="En programación",M714,""))</f>
        <v>45400</v>
      </c>
      <c r="S714" s="25" t="str">
        <f t="shared" si="35"/>
        <v>2024/4</v>
      </c>
      <c r="T714" s="21">
        <f>IFERROR(
(VLOOKUP(MONTH(R714),Meses!$B$3:$C$14,2,FALSE)-DAY(R714))/VLOOKUP(MONTH(R714),Meses!$B$3:$C$14,2,FALSE)*U714,
"")</f>
        <v>5440</v>
      </c>
      <c r="U714" s="22">
        <f t="shared" si="34"/>
        <v>13600</v>
      </c>
    </row>
    <row r="715" spans="1:21" ht="47.4" hidden="1" thickBot="1" x14ac:dyDescent="0.6">
      <c r="A715" s="10" t="s">
        <v>888</v>
      </c>
      <c r="B715" s="10" t="s">
        <v>906</v>
      </c>
      <c r="C715" s="12"/>
      <c r="D715" s="10" t="s">
        <v>23</v>
      </c>
      <c r="E715" s="10" t="s">
        <v>23</v>
      </c>
      <c r="F715" s="10">
        <v>14040</v>
      </c>
      <c r="G715" s="10" t="s">
        <v>15</v>
      </c>
      <c r="H715" s="10" t="s">
        <v>2916</v>
      </c>
      <c r="I715" s="10" t="s">
        <v>43</v>
      </c>
      <c r="J715" s="10" t="s">
        <v>143</v>
      </c>
      <c r="K715" s="10" t="s">
        <v>2895</v>
      </c>
      <c r="L715" s="10" t="s">
        <v>2292</v>
      </c>
      <c r="M715" s="12">
        <v>45400</v>
      </c>
      <c r="N715" s="10" t="s">
        <v>15</v>
      </c>
      <c r="O715" s="10" t="s">
        <v>2057</v>
      </c>
      <c r="P715" s="25" t="str">
        <f>IFERROR(
IF(OR(O715="anulado",O715="stand by"),CONCATENATE(O715,": ",H715),
IF(OR(YEAR(M715)=2022,YEAR(M715)=2023),CONCATENATE("Se activó en ",YEAR(M715)),
IF(AND(OR(O715="En proceso",O715="facturando"),AND(J715="-",M715="")),"Por revisar",
IF(M715="",IF(J715="NUEVAS",CONCATENATE("Estado: ",O715,", ",J715),
IF(L715=Meses!$A$3,"Por revisar",
IF(H715="","Sin registro","En programación Frcst."))),"En programación")))),
"Error")</f>
        <v>En programación</v>
      </c>
      <c r="Q715" s="9" t="str">
        <f t="shared" si="33"/>
        <v/>
      </c>
      <c r="R715" s="25">
        <f>IF(P715="En programación Frcst.",VLOOKUP(L715,Meses!$A$1:$H$14,3+HLOOKUP(Cronograma!J715,Meses!$D$1:$G$2,2,FALSE),FALSE),
IF(P715="En programación",M715,""))</f>
        <v>45400</v>
      </c>
      <c r="S715" s="25" t="str">
        <f t="shared" si="35"/>
        <v>2024/4</v>
      </c>
      <c r="T715" s="21">
        <f>IFERROR(
(VLOOKUP(MONTH(R715),Meses!$B$3:$C$14,2,FALSE)-DAY(R715))/VLOOKUP(MONTH(R715),Meses!$B$3:$C$14,2,FALSE)*U715,
"")</f>
        <v>5616</v>
      </c>
      <c r="U715" s="22">
        <f t="shared" si="34"/>
        <v>14040</v>
      </c>
    </row>
    <row r="716" spans="1:21" ht="47.4" hidden="1" thickBot="1" x14ac:dyDescent="0.6">
      <c r="A716" s="10" t="s">
        <v>888</v>
      </c>
      <c r="B716" s="10" t="s">
        <v>907</v>
      </c>
      <c r="C716" s="12"/>
      <c r="D716" s="10" t="s">
        <v>23</v>
      </c>
      <c r="E716" s="10" t="s">
        <v>23</v>
      </c>
      <c r="F716" s="10">
        <v>17960</v>
      </c>
      <c r="G716" s="10" t="s">
        <v>15</v>
      </c>
      <c r="H716" s="10" t="s">
        <v>2916</v>
      </c>
      <c r="I716" s="10" t="s">
        <v>43</v>
      </c>
      <c r="J716" s="10" t="s">
        <v>143</v>
      </c>
      <c r="K716" s="10" t="s">
        <v>2895</v>
      </c>
      <c r="L716" s="10" t="s">
        <v>2292</v>
      </c>
      <c r="M716" s="12">
        <v>45400</v>
      </c>
      <c r="N716" s="10" t="s">
        <v>15</v>
      </c>
      <c r="O716" s="10" t="s">
        <v>2057</v>
      </c>
      <c r="P716" s="25" t="str">
        <f>IFERROR(
IF(OR(O716="anulado",O716="stand by"),CONCATENATE(O716,": ",H716),
IF(OR(YEAR(M716)=2022,YEAR(M716)=2023),CONCATENATE("Se activó en ",YEAR(M716)),
IF(AND(OR(O716="En proceso",O716="facturando"),AND(J716="-",M716="")),"Por revisar",
IF(M716="",IF(J716="NUEVAS",CONCATENATE("Estado: ",O716,", ",J716),
IF(L716=Meses!$A$3,"Por revisar",
IF(H716="","Sin registro","En programación Frcst."))),"En programación")))),
"Error")</f>
        <v>En programación</v>
      </c>
      <c r="Q716" s="9" t="str">
        <f t="shared" si="33"/>
        <v/>
      </c>
      <c r="R716" s="25">
        <f>IF(P716="En programación Frcst.",VLOOKUP(L716,Meses!$A$1:$H$14,3+HLOOKUP(Cronograma!J716,Meses!$D$1:$G$2,2,FALSE),FALSE),
IF(P716="En programación",M716,""))</f>
        <v>45400</v>
      </c>
      <c r="S716" s="25" t="str">
        <f t="shared" si="35"/>
        <v>2024/4</v>
      </c>
      <c r="T716" s="21">
        <f>IFERROR(
(VLOOKUP(MONTH(R716),Meses!$B$3:$C$14,2,FALSE)-DAY(R716))/VLOOKUP(MONTH(R716),Meses!$B$3:$C$14,2,FALSE)*U716,
"")</f>
        <v>7184</v>
      </c>
      <c r="U716" s="22">
        <f t="shared" si="34"/>
        <v>17960</v>
      </c>
    </row>
    <row r="717" spans="1:21" ht="47.4" hidden="1" thickBot="1" x14ac:dyDescent="0.6">
      <c r="A717" s="10" t="s">
        <v>888</v>
      </c>
      <c r="B717" s="10" t="s">
        <v>908</v>
      </c>
      <c r="C717" s="12"/>
      <c r="D717" s="10" t="s">
        <v>291</v>
      </c>
      <c r="E717" s="10" t="s">
        <v>291</v>
      </c>
      <c r="F717" s="10">
        <v>10130</v>
      </c>
      <c r="G717" s="10" t="s">
        <v>15</v>
      </c>
      <c r="H717" s="10" t="s">
        <v>2916</v>
      </c>
      <c r="I717" s="10" t="s">
        <v>43</v>
      </c>
      <c r="J717" s="10" t="s">
        <v>143</v>
      </c>
      <c r="K717" s="10" t="s">
        <v>2895</v>
      </c>
      <c r="L717" s="10" t="s">
        <v>2292</v>
      </c>
      <c r="M717" s="12">
        <v>45400</v>
      </c>
      <c r="N717" s="10" t="s">
        <v>15</v>
      </c>
      <c r="O717" s="10" t="s">
        <v>2057</v>
      </c>
      <c r="P717" s="25" t="str">
        <f>IFERROR(
IF(OR(O717="anulado",O717="stand by"),CONCATENATE(O717,": ",H717),
IF(OR(YEAR(M717)=2022,YEAR(M717)=2023),CONCATENATE("Se activó en ",YEAR(M717)),
IF(AND(OR(O717="En proceso",O717="facturando"),AND(J717="-",M717="")),"Por revisar",
IF(M717="",IF(J717="NUEVAS",CONCATENATE("Estado: ",O717,", ",J717),
IF(L717=Meses!$A$3,"Por revisar",
IF(H717="","Sin registro","En programación Frcst."))),"En programación")))),
"Error")</f>
        <v>En programación</v>
      </c>
      <c r="Q717" s="9" t="str">
        <f t="shared" si="33"/>
        <v/>
      </c>
      <c r="R717" s="25">
        <f>IF(P717="En programación Frcst.",VLOOKUP(L717,Meses!$A$1:$H$14,3+HLOOKUP(Cronograma!J717,Meses!$D$1:$G$2,2,FALSE),FALSE),
IF(P717="En programación",M717,""))</f>
        <v>45400</v>
      </c>
      <c r="S717" s="25" t="str">
        <f t="shared" si="35"/>
        <v>2024/4</v>
      </c>
      <c r="T717" s="21">
        <f>IFERROR(
(VLOOKUP(MONTH(R717),Meses!$B$3:$C$14,2,FALSE)-DAY(R717))/VLOOKUP(MONTH(R717),Meses!$B$3:$C$14,2,FALSE)*U717,
"")</f>
        <v>4052</v>
      </c>
      <c r="U717" s="22">
        <f t="shared" si="34"/>
        <v>10130</v>
      </c>
    </row>
    <row r="718" spans="1:21" ht="47.4" hidden="1" thickBot="1" x14ac:dyDescent="0.6">
      <c r="A718" s="10" t="s">
        <v>888</v>
      </c>
      <c r="B718" s="10" t="s">
        <v>909</v>
      </c>
      <c r="C718" s="12"/>
      <c r="D718" s="10" t="s">
        <v>671</v>
      </c>
      <c r="E718" s="10" t="s">
        <v>289</v>
      </c>
      <c r="F718" s="10">
        <v>5403</v>
      </c>
      <c r="G718" s="10" t="s">
        <v>15</v>
      </c>
      <c r="H718" s="10" t="s">
        <v>2916</v>
      </c>
      <c r="I718" s="10" t="s">
        <v>18</v>
      </c>
      <c r="J718" s="10" t="s">
        <v>277</v>
      </c>
      <c r="K718" s="10" t="s">
        <v>3327</v>
      </c>
      <c r="L718" s="10" t="s">
        <v>2292</v>
      </c>
      <c r="M718" s="12">
        <v>45400</v>
      </c>
      <c r="N718" s="10" t="s">
        <v>15</v>
      </c>
      <c r="O718" s="10" t="s">
        <v>2057</v>
      </c>
      <c r="P718" s="25" t="str">
        <f>IFERROR(
IF(OR(O718="anulado",O718="stand by"),CONCATENATE(O718,": ",H718),
IF(OR(YEAR(M718)=2022,YEAR(M718)=2023),CONCATENATE("Se activó en ",YEAR(M718)),
IF(AND(OR(O718="En proceso",O718="facturando"),AND(J718="-",M718="")),"Por revisar",
IF(M718="",IF(J718="NUEVAS",CONCATENATE("Estado: ",O718,", ",J718),
IF(L718=Meses!$A$3,"Por revisar",
IF(H718="","Sin registro","En programación Frcst."))),"En programación")))),
"Error")</f>
        <v>En programación</v>
      </c>
      <c r="Q718" s="9" t="str">
        <f t="shared" si="33"/>
        <v/>
      </c>
      <c r="R718" s="25">
        <f>IF(P718="En programación Frcst.",VLOOKUP(L718,Meses!$A$1:$H$14,3+HLOOKUP(Cronograma!J718,Meses!$D$1:$G$2,2,FALSE),FALSE),
IF(P718="En programación",M718,""))</f>
        <v>45400</v>
      </c>
      <c r="S718" s="25" t="str">
        <f t="shared" si="35"/>
        <v>2024/4</v>
      </c>
      <c r="T718" s="21">
        <f>IFERROR(
(VLOOKUP(MONTH(R718),Meses!$B$3:$C$14,2,FALSE)-DAY(R718))/VLOOKUP(MONTH(R718),Meses!$B$3:$C$14,2,FALSE)*U718,
"")</f>
        <v>2161.2000000000003</v>
      </c>
      <c r="U718" s="22">
        <f t="shared" si="34"/>
        <v>5403</v>
      </c>
    </row>
    <row r="719" spans="1:21" ht="47.4" hidden="1" thickBot="1" x14ac:dyDescent="0.6">
      <c r="A719" s="10" t="s">
        <v>888</v>
      </c>
      <c r="B719" s="10" t="s">
        <v>910</v>
      </c>
      <c r="C719" s="12"/>
      <c r="D719" s="10" t="s">
        <v>671</v>
      </c>
      <c r="E719" s="10" t="s">
        <v>289</v>
      </c>
      <c r="F719" s="10">
        <v>8881</v>
      </c>
      <c r="G719" s="10" t="s">
        <v>15</v>
      </c>
      <c r="H719" s="10" t="s">
        <v>2916</v>
      </c>
      <c r="I719" s="10" t="s">
        <v>18</v>
      </c>
      <c r="J719" s="10" t="s">
        <v>277</v>
      </c>
      <c r="K719" s="10" t="s">
        <v>3327</v>
      </c>
      <c r="L719" s="10" t="s">
        <v>2292</v>
      </c>
      <c r="M719" s="12">
        <v>45400</v>
      </c>
      <c r="N719" s="10" t="s">
        <v>15</v>
      </c>
      <c r="O719" s="10" t="s">
        <v>2057</v>
      </c>
      <c r="P719" s="25" t="str">
        <f>IFERROR(
IF(OR(O719="anulado",O719="stand by"),CONCATENATE(O719,": ",H719),
IF(OR(YEAR(M719)=2022,YEAR(M719)=2023),CONCATENATE("Se activó en ",YEAR(M719)),
IF(AND(OR(O719="En proceso",O719="facturando"),AND(J719="-",M719="")),"Por revisar",
IF(M719="",IF(J719="NUEVAS",CONCATENATE("Estado: ",O719,", ",J719),
IF(L719=Meses!$A$3,"Por revisar",
IF(H719="","Sin registro","En programación Frcst."))),"En programación")))),
"Error")</f>
        <v>En programación</v>
      </c>
      <c r="Q719" s="9" t="str">
        <f t="shared" si="33"/>
        <v/>
      </c>
      <c r="R719" s="25">
        <f>IF(P719="En programación Frcst.",VLOOKUP(L719,Meses!$A$1:$H$14,3+HLOOKUP(Cronograma!J719,Meses!$D$1:$G$2,2,FALSE),FALSE),
IF(P719="En programación",M719,""))</f>
        <v>45400</v>
      </c>
      <c r="S719" s="25" t="str">
        <f t="shared" si="35"/>
        <v>2024/4</v>
      </c>
      <c r="T719" s="21">
        <f>IFERROR(
(VLOOKUP(MONTH(R719),Meses!$B$3:$C$14,2,FALSE)-DAY(R719))/VLOOKUP(MONTH(R719),Meses!$B$3:$C$14,2,FALSE)*U719,
"")</f>
        <v>3552.4</v>
      </c>
      <c r="U719" s="22">
        <f t="shared" si="34"/>
        <v>8881</v>
      </c>
    </row>
    <row r="720" spans="1:21" ht="47.4" hidden="1" thickBot="1" x14ac:dyDescent="0.6">
      <c r="A720" s="10" t="s">
        <v>888</v>
      </c>
      <c r="B720" s="10" t="s">
        <v>911</v>
      </c>
      <c r="C720" s="12"/>
      <c r="D720" s="10" t="s">
        <v>671</v>
      </c>
      <c r="E720" s="10" t="s">
        <v>289</v>
      </c>
      <c r="F720" s="10">
        <v>8588</v>
      </c>
      <c r="G720" s="10" t="s">
        <v>15</v>
      </c>
      <c r="H720" s="10" t="s">
        <v>140</v>
      </c>
      <c r="I720" s="10" t="s">
        <v>18</v>
      </c>
      <c r="J720" s="10" t="s">
        <v>292</v>
      </c>
      <c r="K720" s="10" t="s">
        <v>1697</v>
      </c>
      <c r="L720" s="10" t="s">
        <v>1120</v>
      </c>
      <c r="M720" s="12">
        <v>45379</v>
      </c>
      <c r="N720" s="10" t="s">
        <v>15</v>
      </c>
      <c r="O720" s="10" t="s">
        <v>2056</v>
      </c>
      <c r="P720" s="25" t="str">
        <f>IFERROR(
IF(OR(O720="anulado",O720="stand by"),CONCATENATE(O720,": ",H720),
IF(OR(YEAR(M720)=2022,YEAR(M720)=2023),CONCATENATE("Se activó en ",YEAR(M720)),
IF(AND(OR(O720="En proceso",O720="facturando"),AND(J720="-",M720="")),"Por revisar",
IF(M720="",IF(J720="NUEVAS",CONCATENATE("Estado: ",O720,", ",J720),
IF(L720=Meses!$A$3,"Por revisar",
IF(H720="","Sin registro","En programación Frcst."))),"En programación")))),
"Error")</f>
        <v>anulado: Desistido</v>
      </c>
      <c r="Q720" s="9" t="str">
        <f t="shared" si="33"/>
        <v/>
      </c>
      <c r="R720" s="25" t="str">
        <f>IF(P720="En programación Frcst.",VLOOKUP(L720,Meses!$A$1:$H$14,3+HLOOKUP(Cronograma!J720,Meses!$D$1:$G$2,2,FALSE),FALSE),
IF(P720="En programación",M720,""))</f>
        <v/>
      </c>
      <c r="S720" s="25" t="str">
        <f t="shared" si="35"/>
        <v/>
      </c>
      <c r="T720" s="21" t="str">
        <f>IFERROR(
(VLOOKUP(MONTH(R720),Meses!$B$3:$C$14,2,FALSE)-DAY(R720))/VLOOKUP(MONTH(R720),Meses!$B$3:$C$14,2,FALSE)*U720,
"")</f>
        <v/>
      </c>
      <c r="U720" s="22">
        <f t="shared" si="34"/>
        <v>8588</v>
      </c>
    </row>
    <row r="721" spans="1:21" ht="47.4" hidden="1" thickBot="1" x14ac:dyDescent="0.6">
      <c r="A721" s="10" t="s">
        <v>888</v>
      </c>
      <c r="B721" s="10" t="s">
        <v>912</v>
      </c>
      <c r="C721" s="12"/>
      <c r="D721" s="10" t="s">
        <v>74</v>
      </c>
      <c r="E721" s="10" t="s">
        <v>74</v>
      </c>
      <c r="F721" s="10">
        <v>18300</v>
      </c>
      <c r="G721" s="10" t="s">
        <v>15</v>
      </c>
      <c r="H721" s="10" t="s">
        <v>2917</v>
      </c>
      <c r="I721" s="10" t="s">
        <v>43</v>
      </c>
      <c r="J721" s="10" t="s">
        <v>143</v>
      </c>
      <c r="K721" s="10" t="s">
        <v>2895</v>
      </c>
      <c r="L721" s="10" t="s">
        <v>2292</v>
      </c>
      <c r="M721" s="12">
        <v>45400</v>
      </c>
      <c r="N721" s="10" t="s">
        <v>15</v>
      </c>
      <c r="O721" s="10" t="s">
        <v>2057</v>
      </c>
      <c r="P721" s="25" t="str">
        <f>IFERROR(
IF(OR(O721="anulado",O721="stand by"),CONCATENATE(O721,": ",H721),
IF(OR(YEAR(M721)=2022,YEAR(M721)=2023),CONCATENATE("Se activó en ",YEAR(M721)),
IF(AND(OR(O721="En proceso",O721="facturando"),AND(J721="-",M721="")),"Por revisar",
IF(M721="",IF(J721="NUEVAS",CONCATENATE("Estado: ",O721,", ",J721),
IF(L721=Meses!$A$3,"Por revisar",
IF(H721="","Sin registro","En programación Frcst."))),"En programación")))),
"Error")</f>
        <v>En programación</v>
      </c>
      <c r="Q721" s="9" t="str">
        <f t="shared" si="33"/>
        <v/>
      </c>
      <c r="R721" s="25">
        <f>IF(P721="En programación Frcst.",VLOOKUP(L721,Meses!$A$1:$H$14,3+HLOOKUP(Cronograma!J721,Meses!$D$1:$G$2,2,FALSE),FALSE),
IF(P721="En programación",M721,""))</f>
        <v>45400</v>
      </c>
      <c r="S721" s="25" t="str">
        <f t="shared" si="35"/>
        <v>2024/4</v>
      </c>
      <c r="T721" s="21">
        <f>IFERROR(
(VLOOKUP(MONTH(R721),Meses!$B$3:$C$14,2,FALSE)-DAY(R721))/VLOOKUP(MONTH(R721),Meses!$B$3:$C$14,2,FALSE)*U721,
"")</f>
        <v>7320</v>
      </c>
      <c r="U721" s="22">
        <f t="shared" si="34"/>
        <v>18300</v>
      </c>
    </row>
    <row r="722" spans="1:21" ht="47.4" hidden="1" thickBot="1" x14ac:dyDescent="0.6">
      <c r="A722" s="10" t="s">
        <v>888</v>
      </c>
      <c r="B722" s="10" t="s">
        <v>913</v>
      </c>
      <c r="C722" s="12"/>
      <c r="D722" s="10" t="s">
        <v>74</v>
      </c>
      <c r="E722" s="10" t="s">
        <v>74</v>
      </c>
      <c r="F722" s="10">
        <v>19700</v>
      </c>
      <c r="G722" s="10" t="s">
        <v>15</v>
      </c>
      <c r="H722" s="10" t="s">
        <v>2917</v>
      </c>
      <c r="I722" s="10" t="s">
        <v>43</v>
      </c>
      <c r="J722" s="10" t="s">
        <v>143</v>
      </c>
      <c r="K722" s="10" t="s">
        <v>2895</v>
      </c>
      <c r="L722" s="10" t="s">
        <v>2292</v>
      </c>
      <c r="M722" s="12">
        <v>45400</v>
      </c>
      <c r="N722" s="10" t="s">
        <v>15</v>
      </c>
      <c r="O722" s="10" t="s">
        <v>2057</v>
      </c>
      <c r="P722" s="25" t="str">
        <f>IFERROR(
IF(OR(O722="anulado",O722="stand by"),CONCATENATE(O722,": ",H722),
IF(OR(YEAR(M722)=2022,YEAR(M722)=2023),CONCATENATE("Se activó en ",YEAR(M722)),
IF(AND(OR(O722="En proceso",O722="facturando"),AND(J722="-",M722="")),"Por revisar",
IF(M722="",IF(J722="NUEVAS",CONCATENATE("Estado: ",O722,", ",J722),
IF(L722=Meses!$A$3,"Por revisar",
IF(H722="","Sin registro","En programación Frcst."))),"En programación")))),
"Error")</f>
        <v>En programación</v>
      </c>
      <c r="Q722" s="9" t="str">
        <f t="shared" si="33"/>
        <v/>
      </c>
      <c r="R722" s="25">
        <f>IF(P722="En programación Frcst.",VLOOKUP(L722,Meses!$A$1:$H$14,3+HLOOKUP(Cronograma!J722,Meses!$D$1:$G$2,2,FALSE),FALSE),
IF(P722="En programación",M722,""))</f>
        <v>45400</v>
      </c>
      <c r="S722" s="25" t="str">
        <f t="shared" si="35"/>
        <v>2024/4</v>
      </c>
      <c r="T722" s="21">
        <f>IFERROR(
(VLOOKUP(MONTH(R722),Meses!$B$3:$C$14,2,FALSE)-DAY(R722))/VLOOKUP(MONTH(R722),Meses!$B$3:$C$14,2,FALSE)*U722,
"")</f>
        <v>7880</v>
      </c>
      <c r="U722" s="22">
        <f t="shared" si="34"/>
        <v>19700</v>
      </c>
    </row>
    <row r="723" spans="1:21" ht="47.4" hidden="1" thickBot="1" x14ac:dyDescent="0.6">
      <c r="A723" s="10" t="s">
        <v>888</v>
      </c>
      <c r="B723" s="10" t="s">
        <v>914</v>
      </c>
      <c r="C723" s="12"/>
      <c r="D723" s="10" t="s">
        <v>74</v>
      </c>
      <c r="E723" s="10" t="s">
        <v>74</v>
      </c>
      <c r="F723" s="10">
        <v>16560</v>
      </c>
      <c r="G723" s="10" t="s">
        <v>15</v>
      </c>
      <c r="H723" s="10" t="s">
        <v>2917</v>
      </c>
      <c r="I723" s="10" t="s">
        <v>43</v>
      </c>
      <c r="J723" s="10" t="s">
        <v>143</v>
      </c>
      <c r="K723" s="10" t="s">
        <v>2895</v>
      </c>
      <c r="L723" s="10" t="s">
        <v>2292</v>
      </c>
      <c r="M723" s="12">
        <v>45400</v>
      </c>
      <c r="N723" s="10" t="s">
        <v>15</v>
      </c>
      <c r="O723" s="10" t="s">
        <v>2057</v>
      </c>
      <c r="P723" s="25" t="str">
        <f>IFERROR(
IF(OR(O723="anulado",O723="stand by"),CONCATENATE(O723,": ",H723),
IF(OR(YEAR(M723)=2022,YEAR(M723)=2023),CONCATENATE("Se activó en ",YEAR(M723)),
IF(AND(OR(O723="En proceso",O723="facturando"),AND(J723="-",M723="")),"Por revisar",
IF(M723="",IF(J723="NUEVAS",CONCATENATE("Estado: ",O723,", ",J723),
IF(L723=Meses!$A$3,"Por revisar",
IF(H723="","Sin registro","En programación Frcst."))),"En programación")))),
"Error")</f>
        <v>En programación</v>
      </c>
      <c r="Q723" s="9" t="str">
        <f t="shared" si="33"/>
        <v/>
      </c>
      <c r="R723" s="25">
        <f>IF(P723="En programación Frcst.",VLOOKUP(L723,Meses!$A$1:$H$14,3+HLOOKUP(Cronograma!J723,Meses!$D$1:$G$2,2,FALSE),FALSE),
IF(P723="En programación",M723,""))</f>
        <v>45400</v>
      </c>
      <c r="S723" s="25" t="str">
        <f t="shared" si="35"/>
        <v>2024/4</v>
      </c>
      <c r="T723" s="21">
        <f>IFERROR(
(VLOOKUP(MONTH(R723),Meses!$B$3:$C$14,2,FALSE)-DAY(R723))/VLOOKUP(MONTH(R723),Meses!$B$3:$C$14,2,FALSE)*U723,
"")</f>
        <v>6624</v>
      </c>
      <c r="U723" s="22">
        <f t="shared" si="34"/>
        <v>16560</v>
      </c>
    </row>
    <row r="724" spans="1:21" ht="47.4" hidden="1" thickBot="1" x14ac:dyDescent="0.6">
      <c r="A724" s="10" t="s">
        <v>888</v>
      </c>
      <c r="B724" s="10" t="s">
        <v>915</v>
      </c>
      <c r="C724" s="12"/>
      <c r="D724" s="10" t="s">
        <v>74</v>
      </c>
      <c r="E724" s="10" t="s">
        <v>74</v>
      </c>
      <c r="F724" s="10">
        <v>14800</v>
      </c>
      <c r="G724" s="10" t="s">
        <v>15</v>
      </c>
      <c r="H724" s="10" t="s">
        <v>2917</v>
      </c>
      <c r="I724" s="10" t="s">
        <v>43</v>
      </c>
      <c r="J724" s="10" t="s">
        <v>143</v>
      </c>
      <c r="K724" s="10" t="s">
        <v>2895</v>
      </c>
      <c r="L724" s="10" t="s">
        <v>2292</v>
      </c>
      <c r="M724" s="12">
        <v>45400</v>
      </c>
      <c r="N724" s="10" t="s">
        <v>15</v>
      </c>
      <c r="O724" s="10" t="s">
        <v>2057</v>
      </c>
      <c r="P724" s="25" t="str">
        <f>IFERROR(
IF(OR(O724="anulado",O724="stand by"),CONCATENATE(O724,": ",H724),
IF(OR(YEAR(M724)=2022,YEAR(M724)=2023),CONCATENATE("Se activó en ",YEAR(M724)),
IF(AND(OR(O724="En proceso",O724="facturando"),AND(J724="-",M724="")),"Por revisar",
IF(M724="",IF(J724="NUEVAS",CONCATENATE("Estado: ",O724,", ",J724),
IF(L724=Meses!$A$3,"Por revisar",
IF(H724="","Sin registro","En programación Frcst."))),"En programación")))),
"Error")</f>
        <v>En programación</v>
      </c>
      <c r="Q724" s="9" t="str">
        <f t="shared" si="33"/>
        <v/>
      </c>
      <c r="R724" s="25">
        <f>IF(P724="En programación Frcst.",VLOOKUP(L724,Meses!$A$1:$H$14,3+HLOOKUP(Cronograma!J724,Meses!$D$1:$G$2,2,FALSE),FALSE),
IF(P724="En programación",M724,""))</f>
        <v>45400</v>
      </c>
      <c r="S724" s="25" t="str">
        <f t="shared" si="35"/>
        <v>2024/4</v>
      </c>
      <c r="T724" s="21">
        <f>IFERROR(
(VLOOKUP(MONTH(R724),Meses!$B$3:$C$14,2,FALSE)-DAY(R724))/VLOOKUP(MONTH(R724),Meses!$B$3:$C$14,2,FALSE)*U724,
"")</f>
        <v>5920</v>
      </c>
      <c r="U724" s="22">
        <f t="shared" si="34"/>
        <v>14800</v>
      </c>
    </row>
    <row r="725" spans="1:21" ht="47.4" hidden="1" thickBot="1" x14ac:dyDescent="0.6">
      <c r="A725" s="10" t="s">
        <v>888</v>
      </c>
      <c r="B725" s="10" t="s">
        <v>916</v>
      </c>
      <c r="C725" s="12"/>
      <c r="D725" s="10" t="s">
        <v>74</v>
      </c>
      <c r="E725" s="10" t="s">
        <v>74</v>
      </c>
      <c r="F725" s="10">
        <v>41360</v>
      </c>
      <c r="G725" s="10" t="s">
        <v>15</v>
      </c>
      <c r="H725" s="10" t="s">
        <v>2917</v>
      </c>
      <c r="I725" s="10" t="s">
        <v>43</v>
      </c>
      <c r="J725" s="10" t="s">
        <v>143</v>
      </c>
      <c r="K725" s="10" t="s">
        <v>2895</v>
      </c>
      <c r="L725" s="10" t="s">
        <v>2292</v>
      </c>
      <c r="M725" s="12">
        <v>45400</v>
      </c>
      <c r="N725" s="10" t="s">
        <v>15</v>
      </c>
      <c r="O725" s="10" t="s">
        <v>2057</v>
      </c>
      <c r="P725" s="25" t="str">
        <f>IFERROR(
IF(OR(O725="anulado",O725="stand by"),CONCATENATE(O725,": ",H725),
IF(OR(YEAR(M725)=2022,YEAR(M725)=2023),CONCATENATE("Se activó en ",YEAR(M725)),
IF(AND(OR(O725="En proceso",O725="facturando"),AND(J725="-",M725="")),"Por revisar",
IF(M725="",IF(J725="NUEVAS",CONCATENATE("Estado: ",O725,", ",J725),
IF(L725=Meses!$A$3,"Por revisar",
IF(H725="","Sin registro","En programación Frcst."))),"En programación")))),
"Error")</f>
        <v>En programación</v>
      </c>
      <c r="Q725" s="9" t="str">
        <f t="shared" si="33"/>
        <v/>
      </c>
      <c r="R725" s="25">
        <f>IF(P725="En programación Frcst.",VLOOKUP(L725,Meses!$A$1:$H$14,3+HLOOKUP(Cronograma!J725,Meses!$D$1:$G$2,2,FALSE),FALSE),
IF(P725="En programación",M725,""))</f>
        <v>45400</v>
      </c>
      <c r="S725" s="25" t="str">
        <f t="shared" si="35"/>
        <v>2024/4</v>
      </c>
      <c r="T725" s="21">
        <f>IFERROR(
(VLOOKUP(MONTH(R725),Meses!$B$3:$C$14,2,FALSE)-DAY(R725))/VLOOKUP(MONTH(R725),Meses!$B$3:$C$14,2,FALSE)*U725,
"")</f>
        <v>16544</v>
      </c>
      <c r="U725" s="22">
        <f t="shared" si="34"/>
        <v>41360</v>
      </c>
    </row>
    <row r="726" spans="1:21" ht="47.4" hidden="1" thickBot="1" x14ac:dyDescent="0.6">
      <c r="A726" s="10" t="s">
        <v>888</v>
      </c>
      <c r="B726" s="10" t="s">
        <v>917</v>
      </c>
      <c r="C726" s="12"/>
      <c r="D726" s="10" t="s">
        <v>74</v>
      </c>
      <c r="E726" s="10" t="s">
        <v>74</v>
      </c>
      <c r="F726" s="10">
        <v>24600</v>
      </c>
      <c r="G726" s="10" t="s">
        <v>15</v>
      </c>
      <c r="H726" s="10" t="s">
        <v>2917</v>
      </c>
      <c r="I726" s="10" t="s">
        <v>43</v>
      </c>
      <c r="J726" s="10" t="s">
        <v>143</v>
      </c>
      <c r="K726" s="10" t="s">
        <v>2895</v>
      </c>
      <c r="L726" s="10" t="s">
        <v>2292</v>
      </c>
      <c r="M726" s="12">
        <v>45400</v>
      </c>
      <c r="N726" s="10" t="s">
        <v>15</v>
      </c>
      <c r="O726" s="10" t="s">
        <v>2057</v>
      </c>
      <c r="P726" s="25" t="str">
        <f>IFERROR(
IF(OR(O726="anulado",O726="stand by"),CONCATENATE(O726,": ",H726),
IF(OR(YEAR(M726)=2022,YEAR(M726)=2023),CONCATENATE("Se activó en ",YEAR(M726)),
IF(AND(OR(O726="En proceso",O726="facturando"),AND(J726="-",M726="")),"Por revisar",
IF(M726="",IF(J726="NUEVAS",CONCATENATE("Estado: ",O726,", ",J726),
IF(L726=Meses!$A$3,"Por revisar",
IF(H726="","Sin registro","En programación Frcst."))),"En programación")))),
"Error")</f>
        <v>En programación</v>
      </c>
      <c r="Q726" s="9" t="str">
        <f t="shared" si="33"/>
        <v/>
      </c>
      <c r="R726" s="25">
        <f>IF(P726="En programación Frcst.",VLOOKUP(L726,Meses!$A$1:$H$14,3+HLOOKUP(Cronograma!J726,Meses!$D$1:$G$2,2,FALSE),FALSE),
IF(P726="En programación",M726,""))</f>
        <v>45400</v>
      </c>
      <c r="S726" s="25" t="str">
        <f t="shared" si="35"/>
        <v>2024/4</v>
      </c>
      <c r="T726" s="21">
        <f>IFERROR(
(VLOOKUP(MONTH(R726),Meses!$B$3:$C$14,2,FALSE)-DAY(R726))/VLOOKUP(MONTH(R726),Meses!$B$3:$C$14,2,FALSE)*U726,
"")</f>
        <v>9840</v>
      </c>
      <c r="U726" s="22">
        <f t="shared" si="34"/>
        <v>24600</v>
      </c>
    </row>
    <row r="727" spans="1:21" ht="31.8" hidden="1" thickBot="1" x14ac:dyDescent="0.6">
      <c r="A727" s="10" t="s">
        <v>918</v>
      </c>
      <c r="B727" s="10" t="s">
        <v>919</v>
      </c>
      <c r="C727" s="12">
        <v>45309</v>
      </c>
      <c r="D727" s="10" t="s">
        <v>14</v>
      </c>
      <c r="E727" s="10" t="s">
        <v>14</v>
      </c>
      <c r="F727" s="10">
        <v>65000</v>
      </c>
      <c r="G727" s="10" t="s">
        <v>15</v>
      </c>
      <c r="H727" s="10" t="s">
        <v>17</v>
      </c>
      <c r="I727" s="10" t="s">
        <v>18</v>
      </c>
      <c r="J727" s="10" t="s">
        <v>277</v>
      </c>
      <c r="K727" s="10" t="s">
        <v>278</v>
      </c>
      <c r="L727" s="10" t="s">
        <v>279</v>
      </c>
      <c r="M727" s="12"/>
      <c r="N727" s="10" t="s">
        <v>15</v>
      </c>
      <c r="O727" s="10" t="s">
        <v>2054</v>
      </c>
      <c r="P727" s="25" t="str">
        <f>IFERROR(
IF(OR(O727="anulado",O727="stand by"),CONCATENATE(O727,": ",H727),
IF(OR(YEAR(M727)=2022,YEAR(M727)=2023),CONCATENATE("Se activó en ",YEAR(M727)),
IF(AND(OR(O727="En proceso",O727="facturando"),AND(J727="-",M727="")),"Por revisar",
IF(M727="",IF(J727="NUEVAS",CONCATENATE("Estado: ",O727,", ",J727),
IF(L727=Meses!$A$3,"Por revisar",
IF(H727="","Sin registro","En programación Frcst."))),"En programación")))),
"Error")</f>
        <v>En programación Frcst.</v>
      </c>
      <c r="Q727" s="9" t="str">
        <f t="shared" si="33"/>
        <v/>
      </c>
      <c r="R727" s="25">
        <f>IF(P727="En programación Frcst.",VLOOKUP(L727,Meses!$A$1:$H$14,3+HLOOKUP(Cronograma!J727,Meses!$D$1:$G$2,2,FALSE),FALSE),
IF(P727="En programación",M727,""))</f>
        <v>45309</v>
      </c>
      <c r="S727" s="25" t="str">
        <f t="shared" si="35"/>
        <v>2024/1</v>
      </c>
      <c r="T727" s="21">
        <f>IFERROR(
(VLOOKUP(MONTH(R727),Meses!$B$3:$C$14,2,FALSE)-DAY(R727))/VLOOKUP(MONTH(R727),Meses!$B$3:$C$14,2,FALSE)*U727,
"")</f>
        <v>27258.064516129034</v>
      </c>
      <c r="U727" s="22">
        <f t="shared" si="34"/>
        <v>65000</v>
      </c>
    </row>
    <row r="728" spans="1:21" ht="47.4" hidden="1" thickBot="1" x14ac:dyDescent="0.6">
      <c r="A728" s="10" t="s">
        <v>920</v>
      </c>
      <c r="B728" s="10" t="s">
        <v>921</v>
      </c>
      <c r="C728" s="12"/>
      <c r="D728" s="10" t="s">
        <v>156</v>
      </c>
      <c r="E728" s="10" t="s">
        <v>156</v>
      </c>
      <c r="F728" s="10">
        <v>1835</v>
      </c>
      <c r="G728" s="10" t="s">
        <v>15</v>
      </c>
      <c r="H728" s="10" t="s">
        <v>2916</v>
      </c>
      <c r="I728" s="10" t="s">
        <v>43</v>
      </c>
      <c r="J728" s="10" t="s">
        <v>143</v>
      </c>
      <c r="K728" s="10" t="s">
        <v>2895</v>
      </c>
      <c r="L728" s="10" t="s">
        <v>2292</v>
      </c>
      <c r="M728" s="12">
        <v>45400</v>
      </c>
      <c r="N728" s="10" t="s">
        <v>15</v>
      </c>
      <c r="O728" s="10" t="s">
        <v>2057</v>
      </c>
      <c r="P728" s="25" t="str">
        <f>IFERROR(
IF(OR(O728="anulado",O728="stand by"),CONCATENATE(O728,": ",H728),
IF(OR(YEAR(M728)=2022,YEAR(M728)=2023),CONCATENATE("Se activó en ",YEAR(M728)),
IF(AND(OR(O728="En proceso",O728="facturando"),AND(J728="-",M728="")),"Por revisar",
IF(M728="",IF(J728="NUEVAS",CONCATENATE("Estado: ",O728,", ",J728),
IF(L728=Meses!$A$3,"Por revisar",
IF(H728="","Sin registro","En programación Frcst."))),"En programación")))),
"Error")</f>
        <v>En programación</v>
      </c>
      <c r="Q728" s="9" t="str">
        <f t="shared" si="33"/>
        <v/>
      </c>
      <c r="R728" s="25">
        <f>IF(P728="En programación Frcst.",VLOOKUP(L728,Meses!$A$1:$H$14,3+HLOOKUP(Cronograma!J728,Meses!$D$1:$G$2,2,FALSE),FALSE),
IF(P728="En programación",M728,""))</f>
        <v>45400</v>
      </c>
      <c r="S728" s="25" t="str">
        <f t="shared" si="35"/>
        <v>2024/4</v>
      </c>
      <c r="T728" s="21">
        <f>IFERROR(
(VLOOKUP(MONTH(R728),Meses!$B$3:$C$14,2,FALSE)-DAY(R728))/VLOOKUP(MONTH(R728),Meses!$B$3:$C$14,2,FALSE)*U728,
"")</f>
        <v>734</v>
      </c>
      <c r="U728" s="22">
        <f t="shared" si="34"/>
        <v>1835</v>
      </c>
    </row>
    <row r="729" spans="1:21" ht="47.4" hidden="1" thickBot="1" x14ac:dyDescent="0.6">
      <c r="A729" s="10" t="s">
        <v>920</v>
      </c>
      <c r="B729" s="10" t="s">
        <v>922</v>
      </c>
      <c r="C729" s="12"/>
      <c r="D729" s="10" t="s">
        <v>156</v>
      </c>
      <c r="E729" s="10" t="s">
        <v>156</v>
      </c>
      <c r="F729" s="10">
        <v>3053</v>
      </c>
      <c r="G729" s="10" t="s">
        <v>15</v>
      </c>
      <c r="H729" s="10" t="s">
        <v>2917</v>
      </c>
      <c r="I729" s="10" t="s">
        <v>43</v>
      </c>
      <c r="J729" s="10" t="s">
        <v>143</v>
      </c>
      <c r="K729" s="10" t="s">
        <v>2895</v>
      </c>
      <c r="L729" s="10" t="s">
        <v>2292</v>
      </c>
      <c r="M729" s="12">
        <v>45400</v>
      </c>
      <c r="N729" s="10" t="s">
        <v>15</v>
      </c>
      <c r="O729" s="10" t="s">
        <v>2057</v>
      </c>
      <c r="P729" s="25" t="str">
        <f>IFERROR(
IF(OR(O729="anulado",O729="stand by"),CONCATENATE(O729,": ",H729),
IF(OR(YEAR(M729)=2022,YEAR(M729)=2023),CONCATENATE("Se activó en ",YEAR(M729)),
IF(AND(OR(O729="En proceso",O729="facturando"),AND(J729="-",M729="")),"Por revisar",
IF(M729="",IF(J729="NUEVAS",CONCATENATE("Estado: ",O729,", ",J729),
IF(L729=Meses!$A$3,"Por revisar",
IF(H729="","Sin registro","En programación Frcst."))),"En programación")))),
"Error")</f>
        <v>En programación</v>
      </c>
      <c r="Q729" s="9" t="str">
        <f t="shared" si="33"/>
        <v/>
      </c>
      <c r="R729" s="25">
        <f>IF(P729="En programación Frcst.",VLOOKUP(L729,Meses!$A$1:$H$14,3+HLOOKUP(Cronograma!J729,Meses!$D$1:$G$2,2,FALSE),FALSE),
IF(P729="En programación",M729,""))</f>
        <v>45400</v>
      </c>
      <c r="S729" s="25" t="str">
        <f t="shared" si="35"/>
        <v>2024/4</v>
      </c>
      <c r="T729" s="21">
        <f>IFERROR(
(VLOOKUP(MONTH(R729),Meses!$B$3:$C$14,2,FALSE)-DAY(R729))/VLOOKUP(MONTH(R729),Meses!$B$3:$C$14,2,FALSE)*U729,
"")</f>
        <v>1221.2</v>
      </c>
      <c r="U729" s="22">
        <f t="shared" si="34"/>
        <v>3053</v>
      </c>
    </row>
    <row r="730" spans="1:21" ht="47.4" hidden="1" thickBot="1" x14ac:dyDescent="0.6">
      <c r="A730" s="10" t="s">
        <v>920</v>
      </c>
      <c r="B730" s="10" t="s">
        <v>923</v>
      </c>
      <c r="C730" s="12"/>
      <c r="D730" s="10" t="s">
        <v>156</v>
      </c>
      <c r="E730" s="10" t="s">
        <v>156</v>
      </c>
      <c r="F730" s="10">
        <v>1153</v>
      </c>
      <c r="G730" s="10" t="s">
        <v>15</v>
      </c>
      <c r="H730" s="10" t="s">
        <v>2921</v>
      </c>
      <c r="I730" s="10" t="s">
        <v>43</v>
      </c>
      <c r="J730" s="10" t="s">
        <v>292</v>
      </c>
      <c r="K730" s="10" t="s">
        <v>1697</v>
      </c>
      <c r="L730" s="10" t="s">
        <v>1120</v>
      </c>
      <c r="M730" s="12">
        <v>45379</v>
      </c>
      <c r="N730" s="10" t="s">
        <v>15</v>
      </c>
      <c r="O730" s="10" t="s">
        <v>2057</v>
      </c>
      <c r="P730" s="25" t="str">
        <f>IFERROR(
IF(OR(O730="anulado",O730="stand by"),CONCATENATE(O730,": ",H730),
IF(OR(YEAR(M730)=2022,YEAR(M730)=2023),CONCATENATE("Se activó en ",YEAR(M730)),
IF(AND(OR(O730="En proceso",O730="facturando"),AND(J730="-",M730="")),"Por revisar",
IF(M730="",IF(J730="NUEVAS",CONCATENATE("Estado: ",O730,", ",J730),
IF(L730=Meses!$A$3,"Por revisar",
IF(H730="","Sin registro","En programación Frcst."))),"En programación")))),
"Error")</f>
        <v>En programación</v>
      </c>
      <c r="Q730" s="9" t="str">
        <f t="shared" si="33"/>
        <v/>
      </c>
      <c r="R730" s="25">
        <f>IF(P730="En programación Frcst.",VLOOKUP(L730,Meses!$A$1:$H$14,3+HLOOKUP(Cronograma!J730,Meses!$D$1:$G$2,2,FALSE),FALSE),
IF(P730="En programación",M730,""))</f>
        <v>45379</v>
      </c>
      <c r="S730" s="25" t="str">
        <f t="shared" si="35"/>
        <v>2024/3</v>
      </c>
      <c r="T730" s="21">
        <f>IFERROR(
(VLOOKUP(MONTH(R730),Meses!$B$3:$C$14,2,FALSE)-DAY(R730))/VLOOKUP(MONTH(R730),Meses!$B$3:$C$14,2,FALSE)*U730,
"")</f>
        <v>111.58064516129032</v>
      </c>
      <c r="U730" s="22">
        <f t="shared" si="34"/>
        <v>1153</v>
      </c>
    </row>
    <row r="731" spans="1:21" ht="47.4" hidden="1" thickBot="1" x14ac:dyDescent="0.6">
      <c r="A731" s="10" t="s">
        <v>920</v>
      </c>
      <c r="B731" s="10" t="s">
        <v>924</v>
      </c>
      <c r="C731" s="12"/>
      <c r="D731" s="10" t="s">
        <v>156</v>
      </c>
      <c r="E731" s="10" t="s">
        <v>156</v>
      </c>
      <c r="F731" s="10">
        <v>1431</v>
      </c>
      <c r="G731" s="10" t="s">
        <v>15</v>
      </c>
      <c r="H731" s="10" t="s">
        <v>2921</v>
      </c>
      <c r="I731" s="10" t="s">
        <v>43</v>
      </c>
      <c r="J731" s="10" t="s">
        <v>292</v>
      </c>
      <c r="K731" s="10" t="s">
        <v>1697</v>
      </c>
      <c r="L731" s="10" t="s">
        <v>1120</v>
      </c>
      <c r="M731" s="12">
        <v>45379</v>
      </c>
      <c r="N731" s="10" t="s">
        <v>15</v>
      </c>
      <c r="O731" s="10" t="s">
        <v>2057</v>
      </c>
      <c r="P731" s="25" t="str">
        <f>IFERROR(
IF(OR(O731="anulado",O731="stand by"),CONCATENATE(O731,": ",H731),
IF(OR(YEAR(M731)=2022,YEAR(M731)=2023),CONCATENATE("Se activó en ",YEAR(M731)),
IF(AND(OR(O731="En proceso",O731="facturando"),AND(J731="-",M731="")),"Por revisar",
IF(M731="",IF(J731="NUEVAS",CONCATENATE("Estado: ",O731,", ",J731),
IF(L731=Meses!$A$3,"Por revisar",
IF(H731="","Sin registro","En programación Frcst."))),"En programación")))),
"Error")</f>
        <v>En programación</v>
      </c>
      <c r="Q731" s="9" t="str">
        <f t="shared" si="33"/>
        <v/>
      </c>
      <c r="R731" s="25">
        <f>IF(P731="En programación Frcst.",VLOOKUP(L731,Meses!$A$1:$H$14,3+HLOOKUP(Cronograma!J731,Meses!$D$1:$G$2,2,FALSE),FALSE),
IF(P731="En programación",M731,""))</f>
        <v>45379</v>
      </c>
      <c r="S731" s="25" t="str">
        <f t="shared" si="35"/>
        <v>2024/3</v>
      </c>
      <c r="T731" s="21">
        <f>IFERROR(
(VLOOKUP(MONTH(R731),Meses!$B$3:$C$14,2,FALSE)-DAY(R731))/VLOOKUP(MONTH(R731),Meses!$B$3:$C$14,2,FALSE)*U731,
"")</f>
        <v>138.48387096774192</v>
      </c>
      <c r="U731" s="22">
        <f t="shared" si="34"/>
        <v>1431</v>
      </c>
    </row>
    <row r="732" spans="1:21" ht="47.4" hidden="1" thickBot="1" x14ac:dyDescent="0.6">
      <c r="A732" s="10" t="s">
        <v>920</v>
      </c>
      <c r="B732" s="10" t="s">
        <v>925</v>
      </c>
      <c r="C732" s="12">
        <v>45302</v>
      </c>
      <c r="D732" s="10" t="s">
        <v>156</v>
      </c>
      <c r="E732" s="10" t="s">
        <v>156</v>
      </c>
      <c r="F732" s="10">
        <v>1624</v>
      </c>
      <c r="G732" s="10" t="s">
        <v>15</v>
      </c>
      <c r="H732" s="10" t="s">
        <v>17</v>
      </c>
      <c r="I732" s="10" t="s">
        <v>43</v>
      </c>
      <c r="J732" s="10" t="s">
        <v>277</v>
      </c>
      <c r="K732" s="10" t="s">
        <v>278</v>
      </c>
      <c r="L732" s="10" t="s">
        <v>279</v>
      </c>
      <c r="M732" s="12"/>
      <c r="N732" s="10" t="s">
        <v>15</v>
      </c>
      <c r="O732" s="10" t="s">
        <v>2054</v>
      </c>
      <c r="P732" s="25" t="str">
        <f>IFERROR(
IF(OR(O732="anulado",O732="stand by"),CONCATENATE(O732,": ",H732),
IF(OR(YEAR(M732)=2022,YEAR(M732)=2023),CONCATENATE("Se activó en ",YEAR(M732)),
IF(AND(OR(O732="En proceso",O732="facturando"),AND(J732="-",M732="")),"Por revisar",
IF(M732="",IF(J732="NUEVAS",CONCATENATE("Estado: ",O732,", ",J732),
IF(L732=Meses!$A$3,"Por revisar",
IF(H732="","Sin registro","En programación Frcst."))),"En programación")))),
"Error")</f>
        <v>En programación Frcst.</v>
      </c>
      <c r="Q732" s="9" t="str">
        <f t="shared" si="33"/>
        <v/>
      </c>
      <c r="R732" s="25">
        <f>IF(P732="En programación Frcst.",VLOOKUP(L732,Meses!$A$1:$H$14,3+HLOOKUP(Cronograma!J732,Meses!$D$1:$G$2,2,FALSE),FALSE),
IF(P732="En programación",M732,""))</f>
        <v>45309</v>
      </c>
      <c r="S732" s="25" t="str">
        <f t="shared" si="35"/>
        <v>2024/1</v>
      </c>
      <c r="T732" s="21">
        <f>IFERROR(
(VLOOKUP(MONTH(R732),Meses!$B$3:$C$14,2,FALSE)-DAY(R732))/VLOOKUP(MONTH(R732),Meses!$B$3:$C$14,2,FALSE)*U732,
"")</f>
        <v>681.0322580645161</v>
      </c>
      <c r="U732" s="22">
        <f t="shared" si="34"/>
        <v>1624</v>
      </c>
    </row>
    <row r="733" spans="1:21" ht="47.4" hidden="1" thickBot="1" x14ac:dyDescent="0.6">
      <c r="A733" s="10" t="s">
        <v>920</v>
      </c>
      <c r="B733" s="10" t="s">
        <v>926</v>
      </c>
      <c r="C733" s="12">
        <v>45302</v>
      </c>
      <c r="D733" s="10" t="s">
        <v>156</v>
      </c>
      <c r="E733" s="10" t="s">
        <v>156</v>
      </c>
      <c r="F733" s="10">
        <v>2835</v>
      </c>
      <c r="G733" s="10" t="s">
        <v>15</v>
      </c>
      <c r="H733" s="10" t="s">
        <v>17</v>
      </c>
      <c r="I733" s="10" t="s">
        <v>43</v>
      </c>
      <c r="J733" s="10" t="s">
        <v>277</v>
      </c>
      <c r="K733" s="10" t="s">
        <v>278</v>
      </c>
      <c r="L733" s="10" t="s">
        <v>279</v>
      </c>
      <c r="M733" s="12"/>
      <c r="N733" s="10" t="s">
        <v>15</v>
      </c>
      <c r="O733" s="10" t="s">
        <v>2054</v>
      </c>
      <c r="P733" s="25" t="str">
        <f>IFERROR(
IF(OR(O733="anulado",O733="stand by"),CONCATENATE(O733,": ",H733),
IF(OR(YEAR(M733)=2022,YEAR(M733)=2023),CONCATENATE("Se activó en ",YEAR(M733)),
IF(AND(OR(O733="En proceso",O733="facturando"),AND(J733="-",M733="")),"Por revisar",
IF(M733="",IF(J733="NUEVAS",CONCATENATE("Estado: ",O733,", ",J733),
IF(L733=Meses!$A$3,"Por revisar",
IF(H733="","Sin registro","En programación Frcst."))),"En programación")))),
"Error")</f>
        <v>En programación Frcst.</v>
      </c>
      <c r="Q733" s="9" t="str">
        <f t="shared" si="33"/>
        <v/>
      </c>
      <c r="R733" s="25">
        <f>IF(P733="En programación Frcst.",VLOOKUP(L733,Meses!$A$1:$H$14,3+HLOOKUP(Cronograma!J733,Meses!$D$1:$G$2,2,FALSE),FALSE),
IF(P733="En programación",M733,""))</f>
        <v>45309</v>
      </c>
      <c r="S733" s="25" t="str">
        <f t="shared" si="35"/>
        <v>2024/1</v>
      </c>
      <c r="T733" s="21">
        <f>IFERROR(
(VLOOKUP(MONTH(R733),Meses!$B$3:$C$14,2,FALSE)-DAY(R733))/VLOOKUP(MONTH(R733),Meses!$B$3:$C$14,2,FALSE)*U733,
"")</f>
        <v>1188.8709677419356</v>
      </c>
      <c r="U733" s="22">
        <f t="shared" si="34"/>
        <v>2835</v>
      </c>
    </row>
    <row r="734" spans="1:21" ht="47.4" hidden="1" thickBot="1" x14ac:dyDescent="0.6">
      <c r="A734" s="10" t="s">
        <v>920</v>
      </c>
      <c r="B734" s="10" t="s">
        <v>927</v>
      </c>
      <c r="C734" s="12"/>
      <c r="D734" s="10" t="s">
        <v>156</v>
      </c>
      <c r="E734" s="10" t="s">
        <v>156</v>
      </c>
      <c r="F734" s="10">
        <v>4182</v>
      </c>
      <c r="G734" s="10" t="s">
        <v>15</v>
      </c>
      <c r="H734" s="10" t="s">
        <v>2917</v>
      </c>
      <c r="I734" s="10" t="s">
        <v>43</v>
      </c>
      <c r="J734" s="10" t="s">
        <v>143</v>
      </c>
      <c r="K734" s="10" t="s">
        <v>2895</v>
      </c>
      <c r="L734" s="10" t="s">
        <v>2292</v>
      </c>
      <c r="M734" s="12">
        <v>45400</v>
      </c>
      <c r="N734" s="10" t="s">
        <v>15</v>
      </c>
      <c r="O734" s="10" t="s">
        <v>2057</v>
      </c>
      <c r="P734" s="25" t="str">
        <f>IFERROR(
IF(OR(O734="anulado",O734="stand by"),CONCATENATE(O734,": ",H734),
IF(OR(YEAR(M734)=2022,YEAR(M734)=2023),CONCATENATE("Se activó en ",YEAR(M734)),
IF(AND(OR(O734="En proceso",O734="facturando"),AND(J734="-",M734="")),"Por revisar",
IF(M734="",IF(J734="NUEVAS",CONCATENATE("Estado: ",O734,", ",J734),
IF(L734=Meses!$A$3,"Por revisar",
IF(H734="","Sin registro","En programación Frcst."))),"En programación")))),
"Error")</f>
        <v>En programación</v>
      </c>
      <c r="Q734" s="9" t="str">
        <f t="shared" si="33"/>
        <v/>
      </c>
      <c r="R734" s="25">
        <f>IF(P734="En programación Frcst.",VLOOKUP(L734,Meses!$A$1:$H$14,3+HLOOKUP(Cronograma!J734,Meses!$D$1:$G$2,2,FALSE),FALSE),
IF(P734="En programación",M734,""))</f>
        <v>45400</v>
      </c>
      <c r="S734" s="25" t="str">
        <f t="shared" si="35"/>
        <v>2024/4</v>
      </c>
      <c r="T734" s="21">
        <f>IFERROR(
(VLOOKUP(MONTH(R734),Meses!$B$3:$C$14,2,FALSE)-DAY(R734))/VLOOKUP(MONTH(R734),Meses!$B$3:$C$14,2,FALSE)*U734,
"")</f>
        <v>1672.8000000000002</v>
      </c>
      <c r="U734" s="22">
        <f t="shared" si="34"/>
        <v>4182</v>
      </c>
    </row>
    <row r="735" spans="1:21" ht="47.4" hidden="1" thickBot="1" x14ac:dyDescent="0.6">
      <c r="A735" s="10" t="s">
        <v>920</v>
      </c>
      <c r="B735" s="10" t="s">
        <v>928</v>
      </c>
      <c r="C735" s="12"/>
      <c r="D735" s="10" t="s">
        <v>156</v>
      </c>
      <c r="E735" s="10" t="s">
        <v>156</v>
      </c>
      <c r="F735" s="10">
        <v>13940</v>
      </c>
      <c r="G735" s="10" t="s">
        <v>15</v>
      </c>
      <c r="H735" s="10" t="s">
        <v>2921</v>
      </c>
      <c r="I735" s="10" t="s">
        <v>43</v>
      </c>
      <c r="J735" s="10" t="s">
        <v>292</v>
      </c>
      <c r="K735" s="10" t="s">
        <v>1697</v>
      </c>
      <c r="L735" s="10" t="s">
        <v>1120</v>
      </c>
      <c r="M735" s="12">
        <v>45379</v>
      </c>
      <c r="N735" s="10" t="s">
        <v>15</v>
      </c>
      <c r="O735" s="10" t="s">
        <v>2057</v>
      </c>
      <c r="P735" s="25" t="str">
        <f>IFERROR(
IF(OR(O735="anulado",O735="stand by"),CONCATENATE(O735,": ",H735),
IF(OR(YEAR(M735)=2022,YEAR(M735)=2023),CONCATENATE("Se activó en ",YEAR(M735)),
IF(AND(OR(O735="En proceso",O735="facturando"),AND(J735="-",M735="")),"Por revisar",
IF(M735="",IF(J735="NUEVAS",CONCATENATE("Estado: ",O735,", ",J735),
IF(L735=Meses!$A$3,"Por revisar",
IF(H735="","Sin registro","En programación Frcst."))),"En programación")))),
"Error")</f>
        <v>En programación</v>
      </c>
      <c r="Q735" s="9" t="str">
        <f t="shared" si="33"/>
        <v/>
      </c>
      <c r="R735" s="25">
        <f>IF(P735="En programación Frcst.",VLOOKUP(L735,Meses!$A$1:$H$14,3+HLOOKUP(Cronograma!J735,Meses!$D$1:$G$2,2,FALSE),FALSE),
IF(P735="En programación",M735,""))</f>
        <v>45379</v>
      </c>
      <c r="S735" s="25" t="str">
        <f t="shared" si="35"/>
        <v>2024/3</v>
      </c>
      <c r="T735" s="21">
        <f>IFERROR(
(VLOOKUP(MONTH(R735),Meses!$B$3:$C$14,2,FALSE)-DAY(R735))/VLOOKUP(MONTH(R735),Meses!$B$3:$C$14,2,FALSE)*U735,
"")</f>
        <v>1349.0322580645161</v>
      </c>
      <c r="U735" s="22">
        <f t="shared" si="34"/>
        <v>13940</v>
      </c>
    </row>
    <row r="736" spans="1:21" ht="47.4" hidden="1" thickBot="1" x14ac:dyDescent="0.6">
      <c r="A736" s="10" t="s">
        <v>920</v>
      </c>
      <c r="B736" s="10" t="s">
        <v>929</v>
      </c>
      <c r="C736" s="12">
        <v>45155</v>
      </c>
      <c r="D736" s="10" t="s">
        <v>930</v>
      </c>
      <c r="E736" s="10" t="s">
        <v>156</v>
      </c>
      <c r="F736" s="10">
        <v>5584</v>
      </c>
      <c r="G736" s="10" t="s">
        <v>15</v>
      </c>
      <c r="H736" s="10" t="s">
        <v>17</v>
      </c>
      <c r="I736" s="10" t="s">
        <v>66</v>
      </c>
      <c r="J736" s="10" t="s">
        <v>19</v>
      </c>
      <c r="K736" s="10" t="s">
        <v>19</v>
      </c>
      <c r="L736" s="10" t="s">
        <v>19</v>
      </c>
      <c r="M736" s="12"/>
      <c r="N736" s="10" t="s">
        <v>20</v>
      </c>
      <c r="O736" s="10" t="s">
        <v>2054</v>
      </c>
      <c r="P736" s="25" t="str">
        <f>IFERROR(
IF(OR(O736="anulado",O736="stand by"),CONCATENATE(O736,": ",H736),
IF(OR(YEAR(M736)=2022,YEAR(M736)=2023),CONCATENATE("Se activó en ",YEAR(M736)),
IF(AND(OR(O736="En proceso",O736="facturando"),AND(J736="-",M736="")),"Por revisar",
IF(M736="",IF(J736="NUEVAS",CONCATENATE("Estado: ",O736,", ",J736),
IF(L736=Meses!$A$3,"Por revisar",
IF(H736="","Sin registro","En programación Frcst."))),"En programación")))),
"Error")</f>
        <v>Por revisar</v>
      </c>
      <c r="Q736" s="9" t="str">
        <f t="shared" si="33"/>
        <v>programación de act. NO, estado: Facturando, Comercializador: ENEL X, Etapa: Instalado y Activado</v>
      </c>
      <c r="R736" s="25" t="str">
        <f>IF(P736="En programación Frcst.",VLOOKUP(L736,Meses!$A$1:$H$14,3+HLOOKUP(Cronograma!J736,Meses!$D$1:$G$2,2,FALSE),FALSE),
IF(P736="En programación",M736,""))</f>
        <v/>
      </c>
      <c r="S736" s="25" t="str">
        <f t="shared" si="35"/>
        <v/>
      </c>
      <c r="T736" s="21" t="str">
        <f>IFERROR(
(VLOOKUP(MONTH(R736),Meses!$B$3:$C$14,2,FALSE)-DAY(R736))/VLOOKUP(MONTH(R736),Meses!$B$3:$C$14,2,FALSE)*U736,
"")</f>
        <v/>
      </c>
      <c r="U736" s="22">
        <f t="shared" si="34"/>
        <v>5584</v>
      </c>
    </row>
    <row r="737" spans="1:21" ht="47.4" hidden="1" thickBot="1" x14ac:dyDescent="0.6">
      <c r="A737" s="10" t="s">
        <v>920</v>
      </c>
      <c r="B737" s="10" t="s">
        <v>931</v>
      </c>
      <c r="C737" s="12"/>
      <c r="D737" s="10" t="s">
        <v>156</v>
      </c>
      <c r="E737" s="10" t="s">
        <v>156</v>
      </c>
      <c r="F737" s="10">
        <v>12225</v>
      </c>
      <c r="G737" s="10" t="s">
        <v>15</v>
      </c>
      <c r="H737" s="10" t="s">
        <v>2916</v>
      </c>
      <c r="I737" s="10" t="s">
        <v>43</v>
      </c>
      <c r="J737" s="10" t="s">
        <v>292</v>
      </c>
      <c r="K737" s="10" t="s">
        <v>3325</v>
      </c>
      <c r="L737" s="10" t="s">
        <v>2292</v>
      </c>
      <c r="M737" s="12">
        <v>45407</v>
      </c>
      <c r="N737" s="10" t="s">
        <v>20</v>
      </c>
      <c r="O737" s="10" t="s">
        <v>2057</v>
      </c>
      <c r="P737" s="25" t="str">
        <f>IFERROR(
IF(OR(O737="anulado",O737="stand by"),CONCATENATE(O737,": ",H737),
IF(OR(YEAR(M737)=2022,YEAR(M737)=2023),CONCATENATE("Se activó en ",YEAR(M737)),
IF(AND(OR(O737="En proceso",O737="facturando"),AND(J737="-",M737="")),"Por revisar",
IF(M737="",IF(J737="NUEVAS",CONCATENATE("Estado: ",O737,", ",J737),
IF(L737=Meses!$A$3,"Por revisar",
IF(H737="","Sin registro","En programación Frcst."))),"En programación")))),
"Error")</f>
        <v>En programación</v>
      </c>
      <c r="Q737" s="9" t="str">
        <f t="shared" si="33"/>
        <v/>
      </c>
      <c r="R737" s="25">
        <f>IF(P737="En programación Frcst.",VLOOKUP(L737,Meses!$A$1:$H$14,3+HLOOKUP(Cronograma!J737,Meses!$D$1:$G$2,2,FALSE),FALSE),
IF(P737="En programación",M737,""))</f>
        <v>45407</v>
      </c>
      <c r="S737" s="25" t="str">
        <f t="shared" si="35"/>
        <v>2024/4</v>
      </c>
      <c r="T737" s="21">
        <f>IFERROR(
(VLOOKUP(MONTH(R737),Meses!$B$3:$C$14,2,FALSE)-DAY(R737))/VLOOKUP(MONTH(R737),Meses!$B$3:$C$14,2,FALSE)*U737,
"")</f>
        <v>2037.5</v>
      </c>
      <c r="U737" s="22">
        <f t="shared" si="34"/>
        <v>12225</v>
      </c>
    </row>
    <row r="738" spans="1:21" ht="47.4" hidden="1" thickBot="1" x14ac:dyDescent="0.6">
      <c r="A738" s="10" t="s">
        <v>920</v>
      </c>
      <c r="B738" s="10" t="s">
        <v>932</v>
      </c>
      <c r="C738" s="12"/>
      <c r="D738" s="10" t="s">
        <v>74</v>
      </c>
      <c r="E738" s="10" t="s">
        <v>74</v>
      </c>
      <c r="F738" s="10">
        <v>3200</v>
      </c>
      <c r="G738" s="10" t="s">
        <v>15</v>
      </c>
      <c r="H738" s="10" t="s">
        <v>2917</v>
      </c>
      <c r="I738" s="10" t="s">
        <v>43</v>
      </c>
      <c r="J738" s="10" t="s">
        <v>143</v>
      </c>
      <c r="K738" s="10" t="s">
        <v>2895</v>
      </c>
      <c r="L738" s="10" t="s">
        <v>2292</v>
      </c>
      <c r="M738" s="12">
        <v>45400</v>
      </c>
      <c r="N738" s="10" t="s">
        <v>15</v>
      </c>
      <c r="O738" s="10" t="s">
        <v>2057</v>
      </c>
      <c r="P738" s="25" t="str">
        <f>IFERROR(
IF(OR(O738="anulado",O738="stand by"),CONCATENATE(O738,": ",H738),
IF(OR(YEAR(M738)=2022,YEAR(M738)=2023),CONCATENATE("Se activó en ",YEAR(M738)),
IF(AND(OR(O738="En proceso",O738="facturando"),AND(J738="-",M738="")),"Por revisar",
IF(M738="",IF(J738="NUEVAS",CONCATENATE("Estado: ",O738,", ",J738),
IF(L738=Meses!$A$3,"Por revisar",
IF(H738="","Sin registro","En programación Frcst."))),"En programación")))),
"Error")</f>
        <v>En programación</v>
      </c>
      <c r="Q738" s="9" t="str">
        <f t="shared" si="33"/>
        <v/>
      </c>
      <c r="R738" s="25">
        <f>IF(P738="En programación Frcst.",VLOOKUP(L738,Meses!$A$1:$H$14,3+HLOOKUP(Cronograma!J738,Meses!$D$1:$G$2,2,FALSE),FALSE),
IF(P738="En programación",M738,""))</f>
        <v>45400</v>
      </c>
      <c r="S738" s="25" t="str">
        <f t="shared" si="35"/>
        <v>2024/4</v>
      </c>
      <c r="T738" s="21">
        <f>IFERROR(
(VLOOKUP(MONTH(R738),Meses!$B$3:$C$14,2,FALSE)-DAY(R738))/VLOOKUP(MONTH(R738),Meses!$B$3:$C$14,2,FALSE)*U738,
"")</f>
        <v>1280</v>
      </c>
      <c r="U738" s="22">
        <f t="shared" si="34"/>
        <v>3200</v>
      </c>
    </row>
    <row r="739" spans="1:21" ht="47.4" hidden="1" thickBot="1" x14ac:dyDescent="0.6">
      <c r="A739" s="10" t="s">
        <v>920</v>
      </c>
      <c r="B739" s="10" t="s">
        <v>933</v>
      </c>
      <c r="C739" s="12"/>
      <c r="D739" s="10" t="s">
        <v>74</v>
      </c>
      <c r="E739" s="10" t="s">
        <v>74</v>
      </c>
      <c r="F739" s="10">
        <v>3785</v>
      </c>
      <c r="G739" s="10" t="s">
        <v>15</v>
      </c>
      <c r="H739" s="10" t="s">
        <v>2917</v>
      </c>
      <c r="I739" s="10" t="s">
        <v>43</v>
      </c>
      <c r="J739" s="10" t="s">
        <v>143</v>
      </c>
      <c r="K739" s="10" t="s">
        <v>2895</v>
      </c>
      <c r="L739" s="10" t="s">
        <v>2292</v>
      </c>
      <c r="M739" s="12">
        <v>45400</v>
      </c>
      <c r="N739" s="10" t="s">
        <v>15</v>
      </c>
      <c r="O739" s="10" t="s">
        <v>2057</v>
      </c>
      <c r="P739" s="25" t="str">
        <f>IFERROR(
IF(OR(O739="anulado",O739="stand by"),CONCATENATE(O739,": ",H739),
IF(OR(YEAR(M739)=2022,YEAR(M739)=2023),CONCATENATE("Se activó en ",YEAR(M739)),
IF(AND(OR(O739="En proceso",O739="facturando"),AND(J739="-",M739="")),"Por revisar",
IF(M739="",IF(J739="NUEVAS",CONCATENATE("Estado: ",O739,", ",J739),
IF(L739=Meses!$A$3,"Por revisar",
IF(H739="","Sin registro","En programación Frcst."))),"En programación")))),
"Error")</f>
        <v>En programación</v>
      </c>
      <c r="Q739" s="9" t="str">
        <f t="shared" si="33"/>
        <v/>
      </c>
      <c r="R739" s="25">
        <f>IF(P739="En programación Frcst.",VLOOKUP(L739,Meses!$A$1:$H$14,3+HLOOKUP(Cronograma!J739,Meses!$D$1:$G$2,2,FALSE),FALSE),
IF(P739="En programación",M739,""))</f>
        <v>45400</v>
      </c>
      <c r="S739" s="25" t="str">
        <f t="shared" si="35"/>
        <v>2024/4</v>
      </c>
      <c r="T739" s="21">
        <f>IFERROR(
(VLOOKUP(MONTH(R739),Meses!$B$3:$C$14,2,FALSE)-DAY(R739))/VLOOKUP(MONTH(R739),Meses!$B$3:$C$14,2,FALSE)*U739,
"")</f>
        <v>1514</v>
      </c>
      <c r="U739" s="22">
        <f t="shared" si="34"/>
        <v>3785</v>
      </c>
    </row>
    <row r="740" spans="1:21" ht="47.4" hidden="1" thickBot="1" x14ac:dyDescent="0.6">
      <c r="A740" s="10" t="s">
        <v>920</v>
      </c>
      <c r="B740" s="10" t="s">
        <v>934</v>
      </c>
      <c r="C740" s="12"/>
      <c r="D740" s="10" t="s">
        <v>74</v>
      </c>
      <c r="E740" s="10" t="s">
        <v>74</v>
      </c>
      <c r="F740" s="10">
        <v>9920</v>
      </c>
      <c r="G740" s="10" t="s">
        <v>15</v>
      </c>
      <c r="H740" s="10" t="s">
        <v>2917</v>
      </c>
      <c r="I740" s="10" t="s">
        <v>43</v>
      </c>
      <c r="J740" s="10" t="s">
        <v>143</v>
      </c>
      <c r="K740" s="10" t="s">
        <v>2895</v>
      </c>
      <c r="L740" s="10" t="s">
        <v>2292</v>
      </c>
      <c r="M740" s="12">
        <v>45400</v>
      </c>
      <c r="N740" s="10" t="s">
        <v>15</v>
      </c>
      <c r="O740" s="10" t="s">
        <v>2057</v>
      </c>
      <c r="P740" s="25" t="str">
        <f>IFERROR(
IF(OR(O740="anulado",O740="stand by"),CONCATENATE(O740,": ",H740),
IF(OR(YEAR(M740)=2022,YEAR(M740)=2023),CONCATENATE("Se activó en ",YEAR(M740)),
IF(AND(OR(O740="En proceso",O740="facturando"),AND(J740="-",M740="")),"Por revisar",
IF(M740="",IF(J740="NUEVAS",CONCATENATE("Estado: ",O740,", ",J740),
IF(L740=Meses!$A$3,"Por revisar",
IF(H740="","Sin registro","En programación Frcst."))),"En programación")))),
"Error")</f>
        <v>En programación</v>
      </c>
      <c r="Q740" s="9" t="str">
        <f t="shared" si="33"/>
        <v/>
      </c>
      <c r="R740" s="25">
        <f>IF(P740="En programación Frcst.",VLOOKUP(L740,Meses!$A$1:$H$14,3+HLOOKUP(Cronograma!J740,Meses!$D$1:$G$2,2,FALSE),FALSE),
IF(P740="En programación",M740,""))</f>
        <v>45400</v>
      </c>
      <c r="S740" s="25" t="str">
        <f t="shared" si="35"/>
        <v>2024/4</v>
      </c>
      <c r="T740" s="21">
        <f>IFERROR(
(VLOOKUP(MONTH(R740),Meses!$B$3:$C$14,2,FALSE)-DAY(R740))/VLOOKUP(MONTH(R740),Meses!$B$3:$C$14,2,FALSE)*U740,
"")</f>
        <v>3968</v>
      </c>
      <c r="U740" s="22">
        <f t="shared" si="34"/>
        <v>9920</v>
      </c>
    </row>
    <row r="741" spans="1:21" ht="47.4" hidden="1" thickBot="1" x14ac:dyDescent="0.6">
      <c r="A741" s="10" t="s">
        <v>920</v>
      </c>
      <c r="B741" s="10" t="s">
        <v>935</v>
      </c>
      <c r="C741" s="12">
        <v>45204</v>
      </c>
      <c r="D741" s="10" t="s">
        <v>44</v>
      </c>
      <c r="E741" s="10" t="s">
        <v>44</v>
      </c>
      <c r="F741" s="10">
        <v>13280</v>
      </c>
      <c r="G741" s="10" t="s">
        <v>15</v>
      </c>
      <c r="H741" s="10" t="s">
        <v>17</v>
      </c>
      <c r="I741" s="10" t="s">
        <v>43</v>
      </c>
      <c r="J741" s="10" t="s">
        <v>19</v>
      </c>
      <c r="K741" s="10" t="s">
        <v>19</v>
      </c>
      <c r="L741" s="10" t="s">
        <v>19</v>
      </c>
      <c r="M741" s="12"/>
      <c r="N741" s="10" t="s">
        <v>20</v>
      </c>
      <c r="O741" s="10" t="s">
        <v>2054</v>
      </c>
      <c r="P741" s="25" t="str">
        <f>IFERROR(
IF(OR(O741="anulado",O741="stand by"),CONCATENATE(O741,": ",H741),
IF(OR(YEAR(M741)=2022,YEAR(M741)=2023),CONCATENATE("Se activó en ",YEAR(M741)),
IF(AND(OR(O741="En proceso",O741="facturando"),AND(J741="-",M741="")),"Por revisar",
IF(M741="",IF(J741="NUEVAS",CONCATENATE("Estado: ",O741,", ",J741),
IF(L741=Meses!$A$3,"Por revisar",
IF(H741="","Sin registro","En programación Frcst."))),"En programación")))),
"Error")</f>
        <v>Por revisar</v>
      </c>
      <c r="Q741" s="9" t="str">
        <f t="shared" si="33"/>
        <v>programación de act. NO, estado: Facturando, Comercializador: AFINIA, Etapa: Instalado y Activado</v>
      </c>
      <c r="R741" s="25" t="str">
        <f>IF(P741="En programación Frcst.",VLOOKUP(L741,Meses!$A$1:$H$14,3+HLOOKUP(Cronograma!J741,Meses!$D$1:$G$2,2,FALSE),FALSE),
IF(P741="En programación",M741,""))</f>
        <v/>
      </c>
      <c r="S741" s="25" t="str">
        <f t="shared" si="35"/>
        <v/>
      </c>
      <c r="T741" s="21" t="str">
        <f>IFERROR(
(VLOOKUP(MONTH(R741),Meses!$B$3:$C$14,2,FALSE)-DAY(R741))/VLOOKUP(MONTH(R741),Meses!$B$3:$C$14,2,FALSE)*U741,
"")</f>
        <v/>
      </c>
      <c r="U741" s="22">
        <f t="shared" si="34"/>
        <v>13280</v>
      </c>
    </row>
    <row r="742" spans="1:21" ht="31.8" hidden="1" thickBot="1" x14ac:dyDescent="0.6">
      <c r="A742" s="10" t="s">
        <v>936</v>
      </c>
      <c r="B742" s="10" t="s">
        <v>937</v>
      </c>
      <c r="C742" s="12"/>
      <c r="D742" s="10" t="s">
        <v>74</v>
      </c>
      <c r="E742" s="10" t="s">
        <v>74</v>
      </c>
      <c r="F742" s="10">
        <v>74800</v>
      </c>
      <c r="G742" s="10" t="s">
        <v>15</v>
      </c>
      <c r="H742" s="10" t="s">
        <v>2917</v>
      </c>
      <c r="I742" s="10" t="s">
        <v>43</v>
      </c>
      <c r="J742" s="10" t="s">
        <v>143</v>
      </c>
      <c r="K742" s="10" t="s">
        <v>2895</v>
      </c>
      <c r="L742" s="10" t="s">
        <v>2292</v>
      </c>
      <c r="M742" s="12">
        <v>45400</v>
      </c>
      <c r="N742" s="10" t="s">
        <v>15</v>
      </c>
      <c r="O742" s="10" t="s">
        <v>2057</v>
      </c>
      <c r="P742" s="25" t="str">
        <f>IFERROR(
IF(OR(O742="anulado",O742="stand by"),CONCATENATE(O742,": ",H742),
IF(OR(YEAR(M742)=2022,YEAR(M742)=2023),CONCATENATE("Se activó en ",YEAR(M742)),
IF(AND(OR(O742="En proceso",O742="facturando"),AND(J742="-",M742="")),"Por revisar",
IF(M742="",IF(J742="NUEVAS",CONCATENATE("Estado: ",O742,", ",J742),
IF(L742=Meses!$A$3,"Por revisar",
IF(H742="","Sin registro","En programación Frcst."))),"En programación")))),
"Error")</f>
        <v>En programación</v>
      </c>
      <c r="Q742" s="9" t="str">
        <f t="shared" si="33"/>
        <v/>
      </c>
      <c r="R742" s="25">
        <f>IF(P742="En programación Frcst.",VLOOKUP(L742,Meses!$A$1:$H$14,3+HLOOKUP(Cronograma!J742,Meses!$D$1:$G$2,2,FALSE),FALSE),
IF(P742="En programación",M742,""))</f>
        <v>45400</v>
      </c>
      <c r="S742" s="25" t="str">
        <f t="shared" si="35"/>
        <v>2024/4</v>
      </c>
      <c r="T742" s="21">
        <f>IFERROR(
(VLOOKUP(MONTH(R742),Meses!$B$3:$C$14,2,FALSE)-DAY(R742))/VLOOKUP(MONTH(R742),Meses!$B$3:$C$14,2,FALSE)*U742,
"")</f>
        <v>29920</v>
      </c>
      <c r="U742" s="22">
        <f t="shared" si="34"/>
        <v>74800</v>
      </c>
    </row>
    <row r="743" spans="1:21" ht="63" hidden="1" thickBot="1" x14ac:dyDescent="0.6">
      <c r="A743" s="10" t="s">
        <v>938</v>
      </c>
      <c r="B743" s="10" t="s">
        <v>939</v>
      </c>
      <c r="C743" s="12"/>
      <c r="D743" s="10" t="s">
        <v>74</v>
      </c>
      <c r="E743" s="10" t="s">
        <v>74</v>
      </c>
      <c r="F743" s="10">
        <v>29485</v>
      </c>
      <c r="G743" s="10" t="s">
        <v>15</v>
      </c>
      <c r="H743" s="10" t="s">
        <v>2916</v>
      </c>
      <c r="I743" s="10" t="s">
        <v>43</v>
      </c>
      <c r="J743" s="10" t="s">
        <v>143</v>
      </c>
      <c r="K743" s="10" t="s">
        <v>2895</v>
      </c>
      <c r="L743" s="10" t="s">
        <v>2292</v>
      </c>
      <c r="M743" s="12">
        <v>45400</v>
      </c>
      <c r="N743" s="10" t="s">
        <v>15</v>
      </c>
      <c r="O743" s="10" t="s">
        <v>2057</v>
      </c>
      <c r="P743" s="25" t="str">
        <f>IFERROR(
IF(OR(O743="anulado",O743="stand by"),CONCATENATE(O743,": ",H743),
IF(OR(YEAR(M743)=2022,YEAR(M743)=2023),CONCATENATE("Se activó en ",YEAR(M743)),
IF(AND(OR(O743="En proceso",O743="facturando"),AND(J743="-",M743="")),"Por revisar",
IF(M743="",IF(J743="NUEVAS",CONCATENATE("Estado: ",O743,", ",J743),
IF(L743=Meses!$A$3,"Por revisar",
IF(H743="","Sin registro","En programación Frcst."))),"En programación")))),
"Error")</f>
        <v>En programación</v>
      </c>
      <c r="Q743" s="9" t="str">
        <f t="shared" si="33"/>
        <v/>
      </c>
      <c r="R743" s="25">
        <f>IF(P743="En programación Frcst.",VLOOKUP(L743,Meses!$A$1:$H$14,3+HLOOKUP(Cronograma!J743,Meses!$D$1:$G$2,2,FALSE),FALSE),
IF(P743="En programación",M743,""))</f>
        <v>45400</v>
      </c>
      <c r="S743" s="25" t="str">
        <f t="shared" si="35"/>
        <v>2024/4</v>
      </c>
      <c r="T743" s="21">
        <f>IFERROR(
(VLOOKUP(MONTH(R743),Meses!$B$3:$C$14,2,FALSE)-DAY(R743))/VLOOKUP(MONTH(R743),Meses!$B$3:$C$14,2,FALSE)*U743,
"")</f>
        <v>11794</v>
      </c>
      <c r="U743" s="22">
        <f t="shared" si="34"/>
        <v>29485</v>
      </c>
    </row>
    <row r="744" spans="1:21" ht="32.4" hidden="1" thickBot="1" x14ac:dyDescent="0.6">
      <c r="A744" s="10" t="s">
        <v>940</v>
      </c>
      <c r="B744" s="10" t="s">
        <v>941</v>
      </c>
      <c r="C744" s="12">
        <v>45162</v>
      </c>
      <c r="D744" s="10" t="s">
        <v>862</v>
      </c>
      <c r="E744" s="10" t="s">
        <v>14</v>
      </c>
      <c r="F744" s="10">
        <v>59908</v>
      </c>
      <c r="G744" s="10" t="s">
        <v>15</v>
      </c>
      <c r="H744" s="10" t="s">
        <v>17</v>
      </c>
      <c r="I744" s="10" t="s">
        <v>66</v>
      </c>
      <c r="J744" s="10" t="s">
        <v>19</v>
      </c>
      <c r="K744" s="10" t="s">
        <v>19</v>
      </c>
      <c r="L744" s="10" t="s">
        <v>19</v>
      </c>
      <c r="M744" s="12"/>
      <c r="N744" s="10" t="s">
        <v>20</v>
      </c>
      <c r="O744" s="10" t="s">
        <v>2054</v>
      </c>
      <c r="P744" s="25" t="str">
        <f>IFERROR(
IF(OR(O744="anulado",O744="stand by"),CONCATENATE(O744,": ",H744),
IF(OR(YEAR(M744)=2022,YEAR(M744)=2023),CONCATENATE("Se activó en ",YEAR(M744)),
IF(AND(OR(O744="En proceso",O744="facturando"),AND(J744="-",M744="")),"Por revisar",
IF(M744="",IF(J744="NUEVAS",CONCATENATE("Estado: ",O744,", ",J744),
IF(L744=Meses!$A$3,"Por revisar",
IF(H744="","Sin registro","En programación Frcst."))),"En programación")))),
"Error")</f>
        <v>Por revisar</v>
      </c>
      <c r="Q744" s="9" t="str">
        <f t="shared" si="33"/>
        <v>programación de act. NO, estado: Facturando, Comercializador: DICELER, Etapa: Instalado y Activado</v>
      </c>
      <c r="R744" s="25" t="str">
        <f>IF(P744="En programación Frcst.",VLOOKUP(L744,Meses!$A$1:$H$14,3+HLOOKUP(Cronograma!J744,Meses!$D$1:$G$2,2,FALSE),FALSE),
IF(P744="En programación",M744,""))</f>
        <v/>
      </c>
      <c r="S744" s="25" t="str">
        <f t="shared" si="35"/>
        <v/>
      </c>
      <c r="T744" s="21" t="str">
        <f>IFERROR(
(VLOOKUP(MONTH(R744),Meses!$B$3:$C$14,2,FALSE)-DAY(R744))/VLOOKUP(MONTH(R744),Meses!$B$3:$C$14,2,FALSE)*U744,
"")</f>
        <v/>
      </c>
      <c r="U744" s="22">
        <f t="shared" si="34"/>
        <v>59908</v>
      </c>
    </row>
    <row r="745" spans="1:21" ht="32.4" hidden="1" thickBot="1" x14ac:dyDescent="0.6">
      <c r="A745" s="10" t="s">
        <v>940</v>
      </c>
      <c r="B745" s="10" t="s">
        <v>942</v>
      </c>
      <c r="C745" s="12">
        <v>45162</v>
      </c>
      <c r="D745" s="10" t="s">
        <v>862</v>
      </c>
      <c r="E745" s="10" t="s">
        <v>14</v>
      </c>
      <c r="F745" s="10">
        <v>15548</v>
      </c>
      <c r="G745" s="10" t="s">
        <v>15</v>
      </c>
      <c r="H745" s="10" t="s">
        <v>17</v>
      </c>
      <c r="I745" s="10" t="s">
        <v>66</v>
      </c>
      <c r="J745" s="10" t="s">
        <v>19</v>
      </c>
      <c r="K745" s="10" t="s">
        <v>19</v>
      </c>
      <c r="L745" s="10" t="s">
        <v>19</v>
      </c>
      <c r="M745" s="12"/>
      <c r="N745" s="10" t="s">
        <v>20</v>
      </c>
      <c r="O745" s="10" t="s">
        <v>2054</v>
      </c>
      <c r="P745" s="25" t="str">
        <f>IFERROR(
IF(OR(O745="anulado",O745="stand by"),CONCATENATE(O745,": ",H745),
IF(OR(YEAR(M745)=2022,YEAR(M745)=2023),CONCATENATE("Se activó en ",YEAR(M745)),
IF(AND(OR(O745="En proceso",O745="facturando"),AND(J745="-",M745="")),"Por revisar",
IF(M745="",IF(J745="NUEVAS",CONCATENATE("Estado: ",O745,", ",J745),
IF(L745=Meses!$A$3,"Por revisar",
IF(H745="","Sin registro","En programación Frcst."))),"En programación")))),
"Error")</f>
        <v>Por revisar</v>
      </c>
      <c r="Q745" s="9" t="str">
        <f t="shared" si="33"/>
        <v>programación de act. NO, estado: Facturando, Comercializador: DICELER, Etapa: Instalado y Activado</v>
      </c>
      <c r="R745" s="25" t="str">
        <f>IF(P745="En programación Frcst.",VLOOKUP(L745,Meses!$A$1:$H$14,3+HLOOKUP(Cronograma!J745,Meses!$D$1:$G$2,2,FALSE),FALSE),
IF(P745="En programación",M745,""))</f>
        <v/>
      </c>
      <c r="S745" s="25" t="str">
        <f t="shared" si="35"/>
        <v/>
      </c>
      <c r="T745" s="21" t="str">
        <f>IFERROR(
(VLOOKUP(MONTH(R745),Meses!$B$3:$C$14,2,FALSE)-DAY(R745))/VLOOKUP(MONTH(R745),Meses!$B$3:$C$14,2,FALSE)*U745,
"")</f>
        <v/>
      </c>
      <c r="U745" s="22">
        <f t="shared" si="34"/>
        <v>15548</v>
      </c>
    </row>
    <row r="746" spans="1:21" ht="32.4" hidden="1" thickBot="1" x14ac:dyDescent="0.6">
      <c r="A746" s="10" t="s">
        <v>943</v>
      </c>
      <c r="B746" s="10" t="s">
        <v>944</v>
      </c>
      <c r="C746" s="12">
        <v>45295</v>
      </c>
      <c r="D746" s="10" t="s">
        <v>171</v>
      </c>
      <c r="E746" s="10" t="s">
        <v>74</v>
      </c>
      <c r="F746" s="10">
        <v>2526</v>
      </c>
      <c r="G746" s="10" t="s">
        <v>15</v>
      </c>
      <c r="H746" s="10" t="s">
        <v>17</v>
      </c>
      <c r="I746" s="10" t="s">
        <v>66</v>
      </c>
      <c r="J746" s="10" t="s">
        <v>292</v>
      </c>
      <c r="K746" s="10" t="s">
        <v>945</v>
      </c>
      <c r="L746" s="10" t="s">
        <v>145</v>
      </c>
      <c r="M746" s="12"/>
      <c r="N746" s="10" t="s">
        <v>15</v>
      </c>
      <c r="O746" s="10" t="s">
        <v>2054</v>
      </c>
      <c r="P746" s="25" t="str">
        <f>IFERROR(
IF(OR(O746="anulado",O746="stand by"),CONCATENATE(O746,": ",H746),
IF(OR(YEAR(M746)=2022,YEAR(M746)=2023),CONCATENATE("Se activó en ",YEAR(M746)),
IF(AND(OR(O746="En proceso",O746="facturando"),AND(J746="-",M746="")),"Por revisar",
IF(M746="",IF(J746="NUEVAS",CONCATENATE("Estado: ",O746,", ",J746),
IF(L746=Meses!$A$3,"Por revisar",
IF(H746="","Sin registro","En programación Frcst."))),"En programación")))),
"Error")</f>
        <v>Por revisar</v>
      </c>
      <c r="Q746" s="9" t="str">
        <f t="shared" si="33"/>
        <v>programación de act. SI, estado: Facturando, Comercializador: VATIA, Etapa: Instalado y Activado</v>
      </c>
      <c r="R746" s="25" t="str">
        <f>IF(P746="En programación Frcst.",VLOOKUP(L746,Meses!$A$1:$H$14,3+HLOOKUP(Cronograma!J746,Meses!$D$1:$G$2,2,FALSE),FALSE),
IF(P746="En programación",M746,""))</f>
        <v/>
      </c>
      <c r="S746" s="25" t="str">
        <f t="shared" si="35"/>
        <v/>
      </c>
      <c r="T746" s="21" t="str">
        <f>IFERROR(
(VLOOKUP(MONTH(R746),Meses!$B$3:$C$14,2,FALSE)-DAY(R746))/VLOOKUP(MONTH(R746),Meses!$B$3:$C$14,2,FALSE)*U746,
"")</f>
        <v/>
      </c>
      <c r="U746" s="22">
        <f t="shared" si="34"/>
        <v>2526</v>
      </c>
    </row>
    <row r="747" spans="1:21" ht="47.4" hidden="1" thickBot="1" x14ac:dyDescent="0.6">
      <c r="A747" s="10" t="s">
        <v>946</v>
      </c>
      <c r="B747" s="10" t="s">
        <v>947</v>
      </c>
      <c r="C747" s="12">
        <v>45169</v>
      </c>
      <c r="D747" s="10" t="s">
        <v>862</v>
      </c>
      <c r="E747" s="10" t="s">
        <v>14</v>
      </c>
      <c r="F747" s="10">
        <v>8005</v>
      </c>
      <c r="G747" s="10" t="s">
        <v>15</v>
      </c>
      <c r="H747" s="10" t="s">
        <v>17</v>
      </c>
      <c r="I747" s="10" t="s">
        <v>66</v>
      </c>
      <c r="J747" s="10" t="s">
        <v>19</v>
      </c>
      <c r="K747" s="10" t="s">
        <v>19</v>
      </c>
      <c r="L747" s="10" t="s">
        <v>19</v>
      </c>
      <c r="M747" s="12"/>
      <c r="N747" s="10" t="s">
        <v>20</v>
      </c>
      <c r="O747" s="10" t="s">
        <v>2054</v>
      </c>
      <c r="P747" s="25" t="str">
        <f>IFERROR(
IF(OR(O747="anulado",O747="stand by"),CONCATENATE(O747,": ",H747),
IF(OR(YEAR(M747)=2022,YEAR(M747)=2023),CONCATENATE("Se activó en ",YEAR(M747)),
IF(AND(OR(O747="En proceso",O747="facturando"),AND(J747="-",M747="")),"Por revisar",
IF(M747="",IF(J747="NUEVAS",CONCATENATE("Estado: ",O747,", ",J747),
IF(L747=Meses!$A$3,"Por revisar",
IF(H747="","Sin registro","En programación Frcst."))),"En programación")))),
"Error")</f>
        <v>Por revisar</v>
      </c>
      <c r="Q747" s="9" t="str">
        <f t="shared" si="33"/>
        <v>programación de act. NO, estado: Facturando, Comercializador: DICELER, Etapa: Instalado y Activado</v>
      </c>
      <c r="R747" s="25" t="str">
        <f>IF(P747="En programación Frcst.",VLOOKUP(L747,Meses!$A$1:$H$14,3+HLOOKUP(Cronograma!J747,Meses!$D$1:$G$2,2,FALSE),FALSE),
IF(P747="En programación",M747,""))</f>
        <v/>
      </c>
      <c r="S747" s="25" t="str">
        <f t="shared" si="35"/>
        <v/>
      </c>
      <c r="T747" s="21" t="str">
        <f>IFERROR(
(VLOOKUP(MONTH(R747),Meses!$B$3:$C$14,2,FALSE)-DAY(R747))/VLOOKUP(MONTH(R747),Meses!$B$3:$C$14,2,FALSE)*U747,
"")</f>
        <v/>
      </c>
      <c r="U747" s="22">
        <f t="shared" si="34"/>
        <v>8005</v>
      </c>
    </row>
    <row r="748" spans="1:21" ht="47.4" hidden="1" thickBot="1" x14ac:dyDescent="0.6">
      <c r="A748" s="10" t="s">
        <v>946</v>
      </c>
      <c r="B748" s="10" t="s">
        <v>948</v>
      </c>
      <c r="C748" s="12">
        <v>45169</v>
      </c>
      <c r="D748" s="10" t="s">
        <v>862</v>
      </c>
      <c r="E748" s="10" t="s">
        <v>14</v>
      </c>
      <c r="F748" s="10">
        <v>26839</v>
      </c>
      <c r="G748" s="10" t="s">
        <v>15</v>
      </c>
      <c r="H748" s="10" t="s">
        <v>17</v>
      </c>
      <c r="I748" s="10" t="s">
        <v>66</v>
      </c>
      <c r="J748" s="10" t="s">
        <v>19</v>
      </c>
      <c r="K748" s="10" t="s">
        <v>19</v>
      </c>
      <c r="L748" s="10" t="s">
        <v>19</v>
      </c>
      <c r="M748" s="12"/>
      <c r="N748" s="10" t="s">
        <v>20</v>
      </c>
      <c r="O748" s="10" t="s">
        <v>2054</v>
      </c>
      <c r="P748" s="25" t="str">
        <f>IFERROR(
IF(OR(O748="anulado",O748="stand by"),CONCATENATE(O748,": ",H748),
IF(OR(YEAR(M748)=2022,YEAR(M748)=2023),CONCATENATE("Se activó en ",YEAR(M748)),
IF(AND(OR(O748="En proceso",O748="facturando"),AND(J748="-",M748="")),"Por revisar",
IF(M748="",IF(J748="NUEVAS",CONCATENATE("Estado: ",O748,", ",J748),
IF(L748=Meses!$A$3,"Por revisar",
IF(H748="","Sin registro","En programación Frcst."))),"En programación")))),
"Error")</f>
        <v>Por revisar</v>
      </c>
      <c r="Q748" s="9" t="str">
        <f t="shared" si="33"/>
        <v>programación de act. NO, estado: Facturando, Comercializador: DICELER, Etapa: Instalado y Activado</v>
      </c>
      <c r="R748" s="25" t="str">
        <f>IF(P748="En programación Frcst.",VLOOKUP(L748,Meses!$A$1:$H$14,3+HLOOKUP(Cronograma!J748,Meses!$D$1:$G$2,2,FALSE),FALSE),
IF(P748="En programación",M748,""))</f>
        <v/>
      </c>
      <c r="S748" s="25" t="str">
        <f t="shared" si="35"/>
        <v/>
      </c>
      <c r="T748" s="21" t="str">
        <f>IFERROR(
(VLOOKUP(MONTH(R748),Meses!$B$3:$C$14,2,FALSE)-DAY(R748))/VLOOKUP(MONTH(R748),Meses!$B$3:$C$14,2,FALSE)*U748,
"")</f>
        <v/>
      </c>
      <c r="U748" s="22">
        <f t="shared" si="34"/>
        <v>26839</v>
      </c>
    </row>
    <row r="749" spans="1:21" ht="32.4" hidden="1" thickBot="1" x14ac:dyDescent="0.6">
      <c r="A749" s="10" t="s">
        <v>949</v>
      </c>
      <c r="B749" s="10" t="s">
        <v>950</v>
      </c>
      <c r="C749" s="12">
        <v>45162</v>
      </c>
      <c r="D749" s="10" t="s">
        <v>14</v>
      </c>
      <c r="E749" s="10" t="s">
        <v>14</v>
      </c>
      <c r="F749" s="10">
        <v>70000</v>
      </c>
      <c r="G749" s="10" t="s">
        <v>15</v>
      </c>
      <c r="H749" s="10" t="s">
        <v>17</v>
      </c>
      <c r="I749" s="10" t="s">
        <v>18</v>
      </c>
      <c r="J749" s="10" t="s">
        <v>19</v>
      </c>
      <c r="K749" s="10" t="s">
        <v>19</v>
      </c>
      <c r="L749" s="10" t="s">
        <v>19</v>
      </c>
      <c r="M749" s="12"/>
      <c r="N749" s="10" t="s">
        <v>20</v>
      </c>
      <c r="O749" s="10" t="s">
        <v>2054</v>
      </c>
      <c r="P749" s="25" t="str">
        <f>IFERROR(
IF(OR(O749="anulado",O749="stand by"),CONCATENATE(O749,": ",H749),
IF(OR(YEAR(M749)=2022,YEAR(M749)=2023),CONCATENATE("Se activó en ",YEAR(M749)),
IF(AND(OR(O749="En proceso",O749="facturando"),AND(J749="-",M749="")),"Por revisar",
IF(M749="",IF(J749="NUEVAS",CONCATENATE("Estado: ",O749,", ",J749),
IF(L749=Meses!$A$3,"Por revisar",
IF(H749="","Sin registro","En programación Frcst."))),"En programación")))),
"Error")</f>
        <v>Por revisar</v>
      </c>
      <c r="Q749" s="9" t="str">
        <f t="shared" si="33"/>
        <v>programación de act. NO, estado: Facturando, Comercializador: ENEL, Etapa: Instalado y Activado</v>
      </c>
      <c r="R749" s="25" t="str">
        <f>IF(P749="En programación Frcst.",VLOOKUP(L749,Meses!$A$1:$H$14,3+HLOOKUP(Cronograma!J749,Meses!$D$1:$G$2,2,FALSE),FALSE),
IF(P749="En programación",M749,""))</f>
        <v/>
      </c>
      <c r="S749" s="25" t="str">
        <f t="shared" si="35"/>
        <v/>
      </c>
      <c r="T749" s="21" t="str">
        <f>IFERROR(
(VLOOKUP(MONTH(R749),Meses!$B$3:$C$14,2,FALSE)-DAY(R749))/VLOOKUP(MONTH(R749),Meses!$B$3:$C$14,2,FALSE)*U749,
"")</f>
        <v/>
      </c>
      <c r="U749" s="22">
        <f t="shared" si="34"/>
        <v>70000</v>
      </c>
    </row>
    <row r="750" spans="1:21" ht="31.8" hidden="1" thickBot="1" x14ac:dyDescent="0.6">
      <c r="A750" s="10" t="s">
        <v>951</v>
      </c>
      <c r="B750" s="10" t="s">
        <v>952</v>
      </c>
      <c r="C750" s="12"/>
      <c r="D750" s="10" t="s">
        <v>74</v>
      </c>
      <c r="E750" s="10" t="s">
        <v>74</v>
      </c>
      <c r="F750" s="10">
        <v>25898</v>
      </c>
      <c r="G750" s="10" t="s">
        <v>15</v>
      </c>
      <c r="H750" s="10" t="s">
        <v>140</v>
      </c>
      <c r="I750" s="10" t="s">
        <v>43</v>
      </c>
      <c r="J750" s="10" t="s">
        <v>19</v>
      </c>
      <c r="K750" s="10" t="s">
        <v>19</v>
      </c>
      <c r="L750" s="10" t="s">
        <v>19</v>
      </c>
      <c r="M750" s="12"/>
      <c r="N750" s="10" t="s">
        <v>20</v>
      </c>
      <c r="O750" s="10" t="s">
        <v>2056</v>
      </c>
      <c r="P750" s="25" t="str">
        <f>IFERROR(
IF(OR(O750="anulado",O750="stand by"),CONCATENATE(O750,": ",H750),
IF(OR(YEAR(M750)=2022,YEAR(M750)=2023),CONCATENATE("Se activó en ",YEAR(M750)),
IF(AND(OR(O750="En proceso",O750="facturando"),AND(J750="-",M750="")),"Por revisar",
IF(M750="",IF(J750="NUEVAS",CONCATENATE("Estado: ",O750,", ",J750),
IF(L750=Meses!$A$3,"Por revisar",
IF(H750="","Sin registro","En programación Frcst."))),"En programación")))),
"Error")</f>
        <v>anulado: Desistido</v>
      </c>
      <c r="Q750" s="9" t="str">
        <f t="shared" si="33"/>
        <v/>
      </c>
      <c r="R750" s="25" t="str">
        <f>IF(P750="En programación Frcst.",VLOOKUP(L750,Meses!$A$1:$H$14,3+HLOOKUP(Cronograma!J750,Meses!$D$1:$G$2,2,FALSE),FALSE),
IF(P750="En programación",M750,""))</f>
        <v/>
      </c>
      <c r="S750" s="25" t="str">
        <f t="shared" si="35"/>
        <v/>
      </c>
      <c r="T750" s="21" t="str">
        <f>IFERROR(
(VLOOKUP(MONTH(R750),Meses!$B$3:$C$14,2,FALSE)-DAY(R750))/VLOOKUP(MONTH(R750),Meses!$B$3:$C$14,2,FALSE)*U750,
"")</f>
        <v/>
      </c>
      <c r="U750" s="22">
        <f t="shared" si="34"/>
        <v>25898</v>
      </c>
    </row>
    <row r="751" spans="1:21" ht="32.4" hidden="1" thickBot="1" x14ac:dyDescent="0.6">
      <c r="A751" s="10" t="s">
        <v>953</v>
      </c>
      <c r="B751" s="10" t="s">
        <v>954</v>
      </c>
      <c r="C751" s="12">
        <v>45295</v>
      </c>
      <c r="D751" s="10" t="s">
        <v>291</v>
      </c>
      <c r="E751" s="10" t="s">
        <v>291</v>
      </c>
      <c r="F751" s="10">
        <v>2047</v>
      </c>
      <c r="G751" s="10" t="s">
        <v>15</v>
      </c>
      <c r="H751" s="10" t="s">
        <v>17</v>
      </c>
      <c r="I751" s="10" t="s">
        <v>43</v>
      </c>
      <c r="J751" s="10" t="s">
        <v>143</v>
      </c>
      <c r="K751" s="10" t="s">
        <v>144</v>
      </c>
      <c r="L751" s="10" t="s">
        <v>145</v>
      </c>
      <c r="M751" s="12"/>
      <c r="N751" s="10" t="s">
        <v>15</v>
      </c>
      <c r="O751" s="10" t="s">
        <v>2054</v>
      </c>
      <c r="P751" s="25" t="str">
        <f>IFERROR(
IF(OR(O751="anulado",O751="stand by"),CONCATENATE(O751,": ",H751),
IF(OR(YEAR(M751)=2022,YEAR(M751)=2023),CONCATENATE("Se activó en ",YEAR(M751)),
IF(AND(OR(O751="En proceso",O751="facturando"),AND(J751="-",M751="")),"Por revisar",
IF(M751="",IF(J751="NUEVAS",CONCATENATE("Estado: ",O751,", ",J751),
IF(L751=Meses!$A$3,"Por revisar",
IF(H751="","Sin registro","En programación Frcst."))),"En programación")))),
"Error")</f>
        <v>Por revisar</v>
      </c>
      <c r="Q751" s="9" t="str">
        <f t="shared" si="33"/>
        <v>programación de act. SI, estado: Facturando, Comercializador: ELECTROHUILA, Etapa: Instalado y Activado</v>
      </c>
      <c r="R751" s="25" t="str">
        <f>IF(P751="En programación Frcst.",VLOOKUP(L751,Meses!$A$1:$H$14,3+HLOOKUP(Cronograma!J751,Meses!$D$1:$G$2,2,FALSE),FALSE),
IF(P751="En programación",M751,""))</f>
        <v/>
      </c>
      <c r="S751" s="25" t="str">
        <f t="shared" si="35"/>
        <v/>
      </c>
      <c r="T751" s="21" t="str">
        <f>IFERROR(
(VLOOKUP(MONTH(R751),Meses!$B$3:$C$14,2,FALSE)-DAY(R751))/VLOOKUP(MONTH(R751),Meses!$B$3:$C$14,2,FALSE)*U751,
"")</f>
        <v/>
      </c>
      <c r="U751" s="22">
        <f t="shared" si="34"/>
        <v>2047</v>
      </c>
    </row>
    <row r="752" spans="1:21" ht="63" hidden="1" thickBot="1" x14ac:dyDescent="0.6">
      <c r="A752" s="10" t="s">
        <v>955</v>
      </c>
      <c r="B752" s="10" t="s">
        <v>956</v>
      </c>
      <c r="C752" s="12">
        <v>45295</v>
      </c>
      <c r="D752" s="10" t="s">
        <v>291</v>
      </c>
      <c r="E752" s="10" t="s">
        <v>291</v>
      </c>
      <c r="F752" s="10">
        <v>2084</v>
      </c>
      <c r="G752" s="10" t="s">
        <v>15</v>
      </c>
      <c r="H752" s="10" t="s">
        <v>17</v>
      </c>
      <c r="I752" s="10" t="s">
        <v>43</v>
      </c>
      <c r="J752" s="10" t="s">
        <v>143</v>
      </c>
      <c r="K752" s="10" t="s">
        <v>144</v>
      </c>
      <c r="L752" s="10" t="s">
        <v>145</v>
      </c>
      <c r="M752" s="12"/>
      <c r="N752" s="10" t="s">
        <v>15</v>
      </c>
      <c r="O752" s="10" t="s">
        <v>2054</v>
      </c>
      <c r="P752" s="25" t="str">
        <f>IFERROR(
IF(OR(O752="anulado",O752="stand by"),CONCATENATE(O752,": ",H752),
IF(OR(YEAR(M752)=2022,YEAR(M752)=2023),CONCATENATE("Se activó en ",YEAR(M752)),
IF(AND(OR(O752="En proceso",O752="facturando"),AND(J752="-",M752="")),"Por revisar",
IF(M752="",IF(J752="NUEVAS",CONCATENATE("Estado: ",O752,", ",J752),
IF(L752=Meses!$A$3,"Por revisar",
IF(H752="","Sin registro","En programación Frcst."))),"En programación")))),
"Error")</f>
        <v>Por revisar</v>
      </c>
      <c r="Q752" s="9" t="str">
        <f t="shared" si="33"/>
        <v>programación de act. SI, estado: Facturando, Comercializador: ELECTROHUILA, Etapa: Instalado y Activado</v>
      </c>
      <c r="R752" s="25" t="str">
        <f>IF(P752="En programación Frcst.",VLOOKUP(L752,Meses!$A$1:$H$14,3+HLOOKUP(Cronograma!J752,Meses!$D$1:$G$2,2,FALSE),FALSE),
IF(P752="En programación",M752,""))</f>
        <v/>
      </c>
      <c r="S752" s="25" t="str">
        <f t="shared" si="35"/>
        <v/>
      </c>
      <c r="T752" s="21" t="str">
        <f>IFERROR(
(VLOOKUP(MONTH(R752),Meses!$B$3:$C$14,2,FALSE)-DAY(R752))/VLOOKUP(MONTH(R752),Meses!$B$3:$C$14,2,FALSE)*U752,
"")</f>
        <v/>
      </c>
      <c r="U752" s="22">
        <f t="shared" si="34"/>
        <v>2084</v>
      </c>
    </row>
    <row r="753" spans="1:21" ht="32.4" hidden="1" thickBot="1" x14ac:dyDescent="0.6">
      <c r="A753" s="10" t="s">
        <v>957</v>
      </c>
      <c r="B753" s="10" t="s">
        <v>958</v>
      </c>
      <c r="C753" s="12">
        <v>45183</v>
      </c>
      <c r="D753" s="10" t="s">
        <v>862</v>
      </c>
      <c r="E753" s="10" t="s">
        <v>959</v>
      </c>
      <c r="F753" s="10">
        <v>1126</v>
      </c>
      <c r="G753" s="10" t="s">
        <v>15</v>
      </c>
      <c r="H753" s="10" t="s">
        <v>17</v>
      </c>
      <c r="I753" s="10" t="s">
        <v>66</v>
      </c>
      <c r="J753" s="10" t="s">
        <v>19</v>
      </c>
      <c r="K753" s="10" t="s">
        <v>19</v>
      </c>
      <c r="L753" s="10" t="s">
        <v>19</v>
      </c>
      <c r="M753" s="12"/>
      <c r="N753" s="10" t="s">
        <v>20</v>
      </c>
      <c r="O753" s="10" t="s">
        <v>2054</v>
      </c>
      <c r="P753" s="25" t="str">
        <f>IFERROR(
IF(OR(O753="anulado",O753="stand by"),CONCATENATE(O753,": ",H753),
IF(OR(YEAR(M753)=2022,YEAR(M753)=2023),CONCATENATE("Se activó en ",YEAR(M753)),
IF(AND(OR(O753="En proceso",O753="facturando"),AND(J753="-",M753="")),"Por revisar",
IF(M753="",IF(J753="NUEVAS",CONCATENATE("Estado: ",O753,", ",J753),
IF(L753=Meses!$A$3,"Por revisar",
IF(H753="","Sin registro","En programación Frcst."))),"En programación")))),
"Error")</f>
        <v>Por revisar</v>
      </c>
      <c r="Q753" s="9" t="str">
        <f t="shared" si="33"/>
        <v>programación de act. NO, estado: Facturando, Comercializador: DICELER, Etapa: Instalado y Activado</v>
      </c>
      <c r="R753" s="25" t="str">
        <f>IF(P753="En programación Frcst.",VLOOKUP(L753,Meses!$A$1:$H$14,3+HLOOKUP(Cronograma!J753,Meses!$D$1:$G$2,2,FALSE),FALSE),
IF(P753="En programación",M753,""))</f>
        <v/>
      </c>
      <c r="S753" s="25" t="str">
        <f t="shared" si="35"/>
        <v/>
      </c>
      <c r="T753" s="21" t="str">
        <f>IFERROR(
(VLOOKUP(MONTH(R753),Meses!$B$3:$C$14,2,FALSE)-DAY(R753))/VLOOKUP(MONTH(R753),Meses!$B$3:$C$14,2,FALSE)*U753,
"")</f>
        <v/>
      </c>
      <c r="U753" s="22">
        <f t="shared" si="34"/>
        <v>1126</v>
      </c>
    </row>
    <row r="754" spans="1:21" ht="32.4" hidden="1" thickBot="1" x14ac:dyDescent="0.6">
      <c r="A754" s="10" t="s">
        <v>957</v>
      </c>
      <c r="B754" s="10" t="s">
        <v>960</v>
      </c>
      <c r="C754" s="12">
        <v>45183</v>
      </c>
      <c r="D754" s="10" t="s">
        <v>862</v>
      </c>
      <c r="E754" s="10" t="s">
        <v>959</v>
      </c>
      <c r="F754" s="10">
        <v>1196</v>
      </c>
      <c r="G754" s="10" t="s">
        <v>15</v>
      </c>
      <c r="H754" s="10" t="s">
        <v>17</v>
      </c>
      <c r="I754" s="10" t="s">
        <v>66</v>
      </c>
      <c r="J754" s="10" t="s">
        <v>19</v>
      </c>
      <c r="K754" s="10" t="s">
        <v>19</v>
      </c>
      <c r="L754" s="10" t="s">
        <v>19</v>
      </c>
      <c r="M754" s="12"/>
      <c r="N754" s="10" t="s">
        <v>20</v>
      </c>
      <c r="O754" s="10" t="s">
        <v>2054</v>
      </c>
      <c r="P754" s="25" t="str">
        <f>IFERROR(
IF(OR(O754="anulado",O754="stand by"),CONCATENATE(O754,": ",H754),
IF(OR(YEAR(M754)=2022,YEAR(M754)=2023),CONCATENATE("Se activó en ",YEAR(M754)),
IF(AND(OR(O754="En proceso",O754="facturando"),AND(J754="-",M754="")),"Por revisar",
IF(M754="",IF(J754="NUEVAS",CONCATENATE("Estado: ",O754,", ",J754),
IF(L754=Meses!$A$3,"Por revisar",
IF(H754="","Sin registro","En programación Frcst."))),"En programación")))),
"Error")</f>
        <v>Por revisar</v>
      </c>
      <c r="Q754" s="9" t="str">
        <f t="shared" si="33"/>
        <v>programación de act. NO, estado: Facturando, Comercializador: DICELER, Etapa: Instalado y Activado</v>
      </c>
      <c r="R754" s="25" t="str">
        <f>IF(P754="En programación Frcst.",VLOOKUP(L754,Meses!$A$1:$H$14,3+HLOOKUP(Cronograma!J754,Meses!$D$1:$G$2,2,FALSE),FALSE),
IF(P754="En programación",M754,""))</f>
        <v/>
      </c>
      <c r="S754" s="25" t="str">
        <f t="shared" si="35"/>
        <v/>
      </c>
      <c r="T754" s="21" t="str">
        <f>IFERROR(
(VLOOKUP(MONTH(R754),Meses!$B$3:$C$14,2,FALSE)-DAY(R754))/VLOOKUP(MONTH(R754),Meses!$B$3:$C$14,2,FALSE)*U754,
"")</f>
        <v/>
      </c>
      <c r="U754" s="22">
        <f t="shared" si="34"/>
        <v>1196</v>
      </c>
    </row>
    <row r="755" spans="1:21" ht="63" hidden="1" thickBot="1" x14ac:dyDescent="0.6">
      <c r="A755" s="10" t="s">
        <v>961</v>
      </c>
      <c r="B755" s="10" t="s">
        <v>962</v>
      </c>
      <c r="C755" s="12"/>
      <c r="D755" s="10" t="s">
        <v>291</v>
      </c>
      <c r="E755" s="10" t="s">
        <v>291</v>
      </c>
      <c r="F755" s="10">
        <v>4804</v>
      </c>
      <c r="G755" s="10" t="s">
        <v>15</v>
      </c>
      <c r="H755" s="10" t="s">
        <v>140</v>
      </c>
      <c r="I755" s="10" t="s">
        <v>43</v>
      </c>
      <c r="J755" s="10" t="s">
        <v>19</v>
      </c>
      <c r="K755" s="10" t="s">
        <v>19</v>
      </c>
      <c r="L755" s="10" t="s">
        <v>19</v>
      </c>
      <c r="M755" s="12"/>
      <c r="N755" s="10" t="s">
        <v>20</v>
      </c>
      <c r="O755" s="10" t="s">
        <v>2056</v>
      </c>
      <c r="P755" s="25" t="str">
        <f>IFERROR(
IF(OR(O755="anulado",O755="stand by"),CONCATENATE(O755,": ",H755),
IF(OR(YEAR(M755)=2022,YEAR(M755)=2023),CONCATENATE("Se activó en ",YEAR(M755)),
IF(AND(OR(O755="En proceso",O755="facturando"),AND(J755="-",M755="")),"Por revisar",
IF(M755="",IF(J755="NUEVAS",CONCATENATE("Estado: ",O755,", ",J755),
IF(L755=Meses!$A$3,"Por revisar",
IF(H755="","Sin registro","En programación Frcst."))),"En programación")))),
"Error")</f>
        <v>anulado: Desistido</v>
      </c>
      <c r="Q755" s="9" t="str">
        <f t="shared" si="33"/>
        <v/>
      </c>
      <c r="R755" s="25" t="str">
        <f>IF(P755="En programación Frcst.",VLOOKUP(L755,Meses!$A$1:$H$14,3+HLOOKUP(Cronograma!J755,Meses!$D$1:$G$2,2,FALSE),FALSE),
IF(P755="En programación",M755,""))</f>
        <v/>
      </c>
      <c r="S755" s="25" t="str">
        <f t="shared" si="35"/>
        <v/>
      </c>
      <c r="T755" s="21" t="str">
        <f>IFERROR(
(VLOOKUP(MONTH(R755),Meses!$B$3:$C$14,2,FALSE)-DAY(R755))/VLOOKUP(MONTH(R755),Meses!$B$3:$C$14,2,FALSE)*U755,
"")</f>
        <v/>
      </c>
      <c r="U755" s="22">
        <f t="shared" si="34"/>
        <v>4804</v>
      </c>
    </row>
    <row r="756" spans="1:21" ht="63" hidden="1" thickBot="1" x14ac:dyDescent="0.6">
      <c r="A756" s="10" t="s">
        <v>963</v>
      </c>
      <c r="B756" s="10" t="s">
        <v>964</v>
      </c>
      <c r="C756" s="12">
        <v>45197</v>
      </c>
      <c r="D756" s="10" t="s">
        <v>171</v>
      </c>
      <c r="E756" s="10" t="s">
        <v>291</v>
      </c>
      <c r="F756" s="10">
        <v>13000</v>
      </c>
      <c r="G756" s="10" t="s">
        <v>15</v>
      </c>
      <c r="H756" s="10" t="s">
        <v>17</v>
      </c>
      <c r="I756" s="10" t="s">
        <v>66</v>
      </c>
      <c r="J756" s="10" t="s">
        <v>19</v>
      </c>
      <c r="K756" s="10" t="s">
        <v>19</v>
      </c>
      <c r="L756" s="10" t="s">
        <v>19</v>
      </c>
      <c r="M756" s="12"/>
      <c r="N756" s="10" t="s">
        <v>20</v>
      </c>
      <c r="O756" s="10" t="s">
        <v>2054</v>
      </c>
      <c r="P756" s="25" t="str">
        <f>IFERROR(
IF(OR(O756="anulado",O756="stand by"),CONCATENATE(O756,": ",H756),
IF(OR(YEAR(M756)=2022,YEAR(M756)=2023),CONCATENATE("Se activó en ",YEAR(M756)),
IF(AND(OR(O756="En proceso",O756="facturando"),AND(J756="-",M756="")),"Por revisar",
IF(M756="",IF(J756="NUEVAS",CONCATENATE("Estado: ",O756,", ",J756),
IF(L756=Meses!$A$3,"Por revisar",
IF(H756="","Sin registro","En programación Frcst."))),"En programación")))),
"Error")</f>
        <v>Por revisar</v>
      </c>
      <c r="Q756" s="9" t="str">
        <f t="shared" si="33"/>
        <v>programación de act. NO, estado: Facturando, Comercializador: VATIA, Etapa: Instalado y Activado</v>
      </c>
      <c r="R756" s="25" t="str">
        <f>IF(P756="En programación Frcst.",VLOOKUP(L756,Meses!$A$1:$H$14,3+HLOOKUP(Cronograma!J756,Meses!$D$1:$G$2,2,FALSE),FALSE),
IF(P756="En programación",M756,""))</f>
        <v/>
      </c>
      <c r="S756" s="25" t="str">
        <f t="shared" si="35"/>
        <v/>
      </c>
      <c r="T756" s="21" t="str">
        <f>IFERROR(
(VLOOKUP(MONTH(R756),Meses!$B$3:$C$14,2,FALSE)-DAY(R756))/VLOOKUP(MONTH(R756),Meses!$B$3:$C$14,2,FALSE)*U756,
"")</f>
        <v/>
      </c>
      <c r="U756" s="22">
        <f t="shared" si="34"/>
        <v>13000</v>
      </c>
    </row>
    <row r="757" spans="1:21" ht="47.4" hidden="1" thickBot="1" x14ac:dyDescent="0.6">
      <c r="A757" s="10" t="s">
        <v>965</v>
      </c>
      <c r="B757" s="10" t="s">
        <v>966</v>
      </c>
      <c r="C757" s="12"/>
      <c r="D757" s="10" t="s">
        <v>23</v>
      </c>
      <c r="E757" s="10" t="s">
        <v>23</v>
      </c>
      <c r="F757" s="10">
        <v>2400</v>
      </c>
      <c r="G757" s="10" t="s">
        <v>15</v>
      </c>
      <c r="H757" s="10" t="s">
        <v>140</v>
      </c>
      <c r="I757" s="10" t="s">
        <v>43</v>
      </c>
      <c r="J757" s="10" t="s">
        <v>19</v>
      </c>
      <c r="K757" s="10" t="s">
        <v>19</v>
      </c>
      <c r="L757" s="10" t="s">
        <v>19</v>
      </c>
      <c r="M757" s="12"/>
      <c r="N757" s="10" t="s">
        <v>20</v>
      </c>
      <c r="O757" s="10" t="s">
        <v>2056</v>
      </c>
      <c r="P757" s="25" t="str">
        <f>IFERROR(
IF(OR(O757="anulado",O757="stand by"),CONCATENATE(O757,": ",H757),
IF(OR(YEAR(M757)=2022,YEAR(M757)=2023),CONCATENATE("Se activó en ",YEAR(M757)),
IF(AND(OR(O757="En proceso",O757="facturando"),AND(J757="-",M757="")),"Por revisar",
IF(M757="",IF(J757="NUEVAS",CONCATENATE("Estado: ",O757,", ",J757),
IF(L757=Meses!$A$3,"Por revisar",
IF(H757="","Sin registro","En programación Frcst."))),"En programación")))),
"Error")</f>
        <v>anulado: Desistido</v>
      </c>
      <c r="Q757" s="9" t="str">
        <f t="shared" si="33"/>
        <v/>
      </c>
      <c r="R757" s="25" t="str">
        <f>IF(P757="En programación Frcst.",VLOOKUP(L757,Meses!$A$1:$H$14,3+HLOOKUP(Cronograma!J757,Meses!$D$1:$G$2,2,FALSE),FALSE),
IF(P757="En programación",M757,""))</f>
        <v/>
      </c>
      <c r="S757" s="25" t="str">
        <f t="shared" si="35"/>
        <v/>
      </c>
      <c r="T757" s="21" t="str">
        <f>IFERROR(
(VLOOKUP(MONTH(R757),Meses!$B$3:$C$14,2,FALSE)-DAY(R757))/VLOOKUP(MONTH(R757),Meses!$B$3:$C$14,2,FALSE)*U757,
"")</f>
        <v/>
      </c>
      <c r="U757" s="22">
        <f t="shared" si="34"/>
        <v>2400</v>
      </c>
    </row>
    <row r="758" spans="1:21" ht="47.4" hidden="1" thickBot="1" x14ac:dyDescent="0.6">
      <c r="A758" s="10" t="s">
        <v>967</v>
      </c>
      <c r="B758" s="10" t="s">
        <v>968</v>
      </c>
      <c r="C758" s="12">
        <v>45170</v>
      </c>
      <c r="D758" s="10" t="s">
        <v>654</v>
      </c>
      <c r="E758" s="10" t="s">
        <v>23</v>
      </c>
      <c r="F758" s="10">
        <v>19000</v>
      </c>
      <c r="G758" s="10" t="s">
        <v>15</v>
      </c>
      <c r="H758" s="10" t="s">
        <v>17</v>
      </c>
      <c r="I758" s="10" t="s">
        <v>66</v>
      </c>
      <c r="J758" s="10" t="s">
        <v>19</v>
      </c>
      <c r="K758" s="10" t="s">
        <v>19</v>
      </c>
      <c r="L758" s="10" t="s">
        <v>19</v>
      </c>
      <c r="M758" s="12"/>
      <c r="N758" s="10" t="s">
        <v>20</v>
      </c>
      <c r="O758" s="10" t="s">
        <v>2054</v>
      </c>
      <c r="P758" s="25" t="str">
        <f>IFERROR(
IF(OR(O758="anulado",O758="stand by"),CONCATENATE(O758,": ",H758),
IF(OR(YEAR(M758)=2022,YEAR(M758)=2023),CONCATENATE("Se activó en ",YEAR(M758)),
IF(AND(OR(O758="En proceso",O758="facturando"),AND(J758="-",M758="")),"Por revisar",
IF(M758="",IF(J758="NUEVAS",CONCATENATE("Estado: ",O758,", ",J758),
IF(L758=Meses!$A$3,"Por revisar",
IF(H758="","Sin registro","En programación Frcst."))),"En programación")))),
"Error")</f>
        <v>Por revisar</v>
      </c>
      <c r="Q758" s="9" t="str">
        <f t="shared" si="33"/>
        <v>programación de act. NO, estado: Facturando, Comercializador: QI ENERGY, Etapa: Instalado y Activado</v>
      </c>
      <c r="R758" s="25" t="str">
        <f>IF(P758="En programación Frcst.",VLOOKUP(L758,Meses!$A$1:$H$14,3+HLOOKUP(Cronograma!J758,Meses!$D$1:$G$2,2,FALSE),FALSE),
IF(P758="En programación",M758,""))</f>
        <v/>
      </c>
      <c r="S758" s="25" t="str">
        <f t="shared" si="35"/>
        <v/>
      </c>
      <c r="T758" s="21" t="str">
        <f>IFERROR(
(VLOOKUP(MONTH(R758),Meses!$B$3:$C$14,2,FALSE)-DAY(R758))/VLOOKUP(MONTH(R758),Meses!$B$3:$C$14,2,FALSE)*U758,
"")</f>
        <v/>
      </c>
      <c r="U758" s="22">
        <f t="shared" si="34"/>
        <v>19000</v>
      </c>
    </row>
    <row r="759" spans="1:21" ht="47.4" hidden="1" thickBot="1" x14ac:dyDescent="0.6">
      <c r="A759" s="10" t="s">
        <v>969</v>
      </c>
      <c r="B759" s="10" t="s">
        <v>970</v>
      </c>
      <c r="C759" s="12"/>
      <c r="D759" s="10" t="s">
        <v>291</v>
      </c>
      <c r="E759" s="10" t="s">
        <v>291</v>
      </c>
      <c r="F759" s="10">
        <v>4909</v>
      </c>
      <c r="G759" s="10" t="s">
        <v>15</v>
      </c>
      <c r="H759" s="10" t="s">
        <v>140</v>
      </c>
      <c r="I759" s="10" t="s">
        <v>43</v>
      </c>
      <c r="J759" s="10" t="s">
        <v>19</v>
      </c>
      <c r="K759" s="10" t="s">
        <v>19</v>
      </c>
      <c r="L759" s="10" t="s">
        <v>19</v>
      </c>
      <c r="M759" s="12"/>
      <c r="N759" s="10" t="s">
        <v>20</v>
      </c>
      <c r="O759" s="10" t="s">
        <v>2056</v>
      </c>
      <c r="P759" s="25" t="str">
        <f>IFERROR(
IF(OR(O759="anulado",O759="stand by"),CONCATENATE(O759,": ",H759),
IF(OR(YEAR(M759)=2022,YEAR(M759)=2023),CONCATENATE("Se activó en ",YEAR(M759)),
IF(AND(OR(O759="En proceso",O759="facturando"),AND(J759="-",M759="")),"Por revisar",
IF(M759="",IF(J759="NUEVAS",CONCATENATE("Estado: ",O759,", ",J759),
IF(L759=Meses!$A$3,"Por revisar",
IF(H759="","Sin registro","En programación Frcst."))),"En programación")))),
"Error")</f>
        <v>anulado: Desistido</v>
      </c>
      <c r="Q759" s="9" t="str">
        <f t="shared" si="33"/>
        <v/>
      </c>
      <c r="R759" s="25" t="str">
        <f>IF(P759="En programación Frcst.",VLOOKUP(L759,Meses!$A$1:$H$14,3+HLOOKUP(Cronograma!J759,Meses!$D$1:$G$2,2,FALSE),FALSE),
IF(P759="En programación",M759,""))</f>
        <v/>
      </c>
      <c r="S759" s="25" t="str">
        <f t="shared" si="35"/>
        <v/>
      </c>
      <c r="T759" s="21" t="str">
        <f>IFERROR(
(VLOOKUP(MONTH(R759),Meses!$B$3:$C$14,2,FALSE)-DAY(R759))/VLOOKUP(MONTH(R759),Meses!$B$3:$C$14,2,FALSE)*U759,
"")</f>
        <v/>
      </c>
      <c r="U759" s="22">
        <f t="shared" si="34"/>
        <v>4909</v>
      </c>
    </row>
    <row r="760" spans="1:21" ht="31.8" hidden="1" thickBot="1" x14ac:dyDescent="0.6">
      <c r="A760" s="10" t="s">
        <v>971</v>
      </c>
      <c r="B760" s="10" t="s">
        <v>972</v>
      </c>
      <c r="C760" s="12"/>
      <c r="D760" s="10" t="s">
        <v>14</v>
      </c>
      <c r="E760" s="10" t="s">
        <v>14</v>
      </c>
      <c r="F760" s="10">
        <v>3194</v>
      </c>
      <c r="G760" s="10" t="s">
        <v>15</v>
      </c>
      <c r="H760" s="10" t="s">
        <v>2917</v>
      </c>
      <c r="I760" s="10" t="s">
        <v>18</v>
      </c>
      <c r="J760" s="10" t="s">
        <v>277</v>
      </c>
      <c r="K760" s="10" t="s">
        <v>3327</v>
      </c>
      <c r="L760" s="10" t="s">
        <v>2292</v>
      </c>
      <c r="M760" s="12">
        <v>45400</v>
      </c>
      <c r="N760" s="10" t="s">
        <v>20</v>
      </c>
      <c r="O760" s="10" t="s">
        <v>2057</v>
      </c>
      <c r="P760" s="25" t="str">
        <f>IFERROR(
IF(OR(O760="anulado",O760="stand by"),CONCATENATE(O760,": ",H760),
IF(OR(YEAR(M760)=2022,YEAR(M760)=2023),CONCATENATE("Se activó en ",YEAR(M760)),
IF(AND(OR(O760="En proceso",O760="facturando"),AND(J760="-",M760="")),"Por revisar",
IF(M760="",IF(J760="NUEVAS",CONCATENATE("Estado: ",O760,", ",J760),
IF(L760=Meses!$A$3,"Por revisar",
IF(H760="","Sin registro","En programación Frcst."))),"En programación")))),
"Error")</f>
        <v>En programación</v>
      </c>
      <c r="Q760" s="9" t="str">
        <f t="shared" si="33"/>
        <v/>
      </c>
      <c r="R760" s="25">
        <f>IF(P760="En programación Frcst.",VLOOKUP(L760,Meses!$A$1:$H$14,3+HLOOKUP(Cronograma!J760,Meses!$D$1:$G$2,2,FALSE),FALSE),
IF(P760="En programación",M760,""))</f>
        <v>45400</v>
      </c>
      <c r="S760" s="25" t="str">
        <f t="shared" si="35"/>
        <v>2024/4</v>
      </c>
      <c r="T760" s="21">
        <f>IFERROR(
(VLOOKUP(MONTH(R760),Meses!$B$3:$C$14,2,FALSE)-DAY(R760))/VLOOKUP(MONTH(R760),Meses!$B$3:$C$14,2,FALSE)*U760,
"")</f>
        <v>1277.6000000000001</v>
      </c>
      <c r="U760" s="22">
        <f t="shared" si="34"/>
        <v>3194</v>
      </c>
    </row>
    <row r="761" spans="1:21" ht="47.4" hidden="1" thickBot="1" x14ac:dyDescent="0.6">
      <c r="A761" s="10" t="s">
        <v>973</v>
      </c>
      <c r="B761" s="10" t="s">
        <v>974</v>
      </c>
      <c r="C761" s="12">
        <v>45162</v>
      </c>
      <c r="D761" s="10" t="s">
        <v>862</v>
      </c>
      <c r="E761" s="10" t="s">
        <v>14</v>
      </c>
      <c r="F761" s="10">
        <v>17000</v>
      </c>
      <c r="G761" s="10" t="s">
        <v>15</v>
      </c>
      <c r="H761" s="10" t="s">
        <v>17</v>
      </c>
      <c r="I761" s="10" t="s">
        <v>66</v>
      </c>
      <c r="J761" s="10" t="s">
        <v>19</v>
      </c>
      <c r="K761" s="10" t="s">
        <v>19</v>
      </c>
      <c r="L761" s="10" t="s">
        <v>19</v>
      </c>
      <c r="M761" s="12"/>
      <c r="N761" s="10" t="s">
        <v>20</v>
      </c>
      <c r="O761" s="10" t="s">
        <v>2054</v>
      </c>
      <c r="P761" s="25" t="str">
        <f>IFERROR(
IF(OR(O761="anulado",O761="stand by"),CONCATENATE(O761,": ",H761),
IF(OR(YEAR(M761)=2022,YEAR(M761)=2023),CONCATENATE("Se activó en ",YEAR(M761)),
IF(AND(OR(O761="En proceso",O761="facturando"),AND(J761="-",M761="")),"Por revisar",
IF(M761="",IF(J761="NUEVAS",CONCATENATE("Estado: ",O761,", ",J761),
IF(L761=Meses!$A$3,"Por revisar",
IF(H761="","Sin registro","En programación Frcst."))),"En programación")))),
"Error")</f>
        <v>Por revisar</v>
      </c>
      <c r="Q761" s="9" t="str">
        <f t="shared" si="33"/>
        <v>programación de act. NO, estado: Facturando, Comercializador: DICELER, Etapa: Instalado y Activado</v>
      </c>
      <c r="R761" s="25" t="str">
        <f>IF(P761="En programación Frcst.",VLOOKUP(L761,Meses!$A$1:$H$14,3+HLOOKUP(Cronograma!J761,Meses!$D$1:$G$2,2,FALSE),FALSE),
IF(P761="En programación",M761,""))</f>
        <v/>
      </c>
      <c r="S761" s="25" t="str">
        <f t="shared" si="35"/>
        <v/>
      </c>
      <c r="T761" s="21" t="str">
        <f>IFERROR(
(VLOOKUP(MONTH(R761),Meses!$B$3:$C$14,2,FALSE)-DAY(R761))/VLOOKUP(MONTH(R761),Meses!$B$3:$C$14,2,FALSE)*U761,
"")</f>
        <v/>
      </c>
      <c r="U761" s="22">
        <f t="shared" si="34"/>
        <v>17000</v>
      </c>
    </row>
    <row r="762" spans="1:21" ht="31.8" hidden="1" thickBot="1" x14ac:dyDescent="0.6">
      <c r="A762" s="10" t="s">
        <v>975</v>
      </c>
      <c r="B762" s="10" t="s">
        <v>976</v>
      </c>
      <c r="C762" s="12">
        <v>45204</v>
      </c>
      <c r="D762" s="10" t="s">
        <v>14</v>
      </c>
      <c r="E762" s="10" t="s">
        <v>14</v>
      </c>
      <c r="F762" s="10">
        <v>584</v>
      </c>
      <c r="G762" s="10" t="s">
        <v>15</v>
      </c>
      <c r="H762" s="10" t="s">
        <v>2406</v>
      </c>
      <c r="I762" s="10" t="s">
        <v>18</v>
      </c>
      <c r="J762" s="10" t="s">
        <v>282</v>
      </c>
      <c r="K762" s="10" t="s">
        <v>2901</v>
      </c>
      <c r="L762" s="10" t="s">
        <v>2298</v>
      </c>
      <c r="M762" s="12"/>
      <c r="N762" s="10" t="s">
        <v>20</v>
      </c>
      <c r="O762" s="10" t="s">
        <v>2054</v>
      </c>
      <c r="P762" s="25" t="str">
        <f>IFERROR(
IF(OR(O762="anulado",O762="stand by"),CONCATENATE(O762,": ",H762),
IF(OR(YEAR(M762)=2022,YEAR(M762)=2023),CONCATENATE("Se activó en ",YEAR(M762)),
IF(AND(OR(O762="En proceso",O762="facturando"),AND(J762="-",M762="")),"Por revisar",
IF(M762="",IF(J762="NUEVAS",CONCATENATE("Estado: ",O762,", ",J762),
IF(L762=Meses!$A$3,"Por revisar",
IF(H762="","Sin registro","En programación Frcst."))),"En programación")))),
"Error")</f>
        <v>En programación Frcst.</v>
      </c>
      <c r="Q762" s="9" t="str">
        <f t="shared" si="33"/>
        <v/>
      </c>
      <c r="R762" s="25">
        <f>IF(P762="En programación Frcst.",VLOOKUP(L762,Meses!$A$1:$H$14,3+HLOOKUP(Cronograma!J762,Meses!$D$1:$G$2,2,FALSE),FALSE),
IF(P762="En programación",M762,""))</f>
        <v>0</v>
      </c>
      <c r="S762" s="25" t="str">
        <f t="shared" si="35"/>
        <v>1900/1</v>
      </c>
      <c r="T762" s="21">
        <f>IFERROR(
(VLOOKUP(MONTH(R762),Meses!$B$3:$C$14,2,FALSE)-DAY(R762))/VLOOKUP(MONTH(R762),Meses!$B$3:$C$14,2,FALSE)*U762,
"")</f>
        <v>584</v>
      </c>
      <c r="U762" s="22">
        <f t="shared" si="34"/>
        <v>584</v>
      </c>
    </row>
    <row r="763" spans="1:21" ht="32.4" hidden="1" thickBot="1" x14ac:dyDescent="0.6">
      <c r="A763" s="10" t="s">
        <v>975</v>
      </c>
      <c r="B763" s="10" t="s">
        <v>977</v>
      </c>
      <c r="C763" s="12">
        <v>45204</v>
      </c>
      <c r="D763" s="10" t="s">
        <v>14</v>
      </c>
      <c r="E763" s="10" t="s">
        <v>14</v>
      </c>
      <c r="F763" s="10">
        <v>101640</v>
      </c>
      <c r="G763" s="10" t="s">
        <v>15</v>
      </c>
      <c r="H763" s="10" t="s">
        <v>17</v>
      </c>
      <c r="I763" s="10" t="s">
        <v>18</v>
      </c>
      <c r="J763" s="10" t="s">
        <v>19</v>
      </c>
      <c r="K763" s="10" t="s">
        <v>19</v>
      </c>
      <c r="L763" s="10" t="s">
        <v>19</v>
      </c>
      <c r="M763" s="12"/>
      <c r="N763" s="10" t="s">
        <v>20</v>
      </c>
      <c r="O763" s="10" t="s">
        <v>2054</v>
      </c>
      <c r="P763" s="25" t="str">
        <f>IFERROR(
IF(OR(O763="anulado",O763="stand by"),CONCATENATE(O763,": ",H763),
IF(OR(YEAR(M763)=2022,YEAR(M763)=2023),CONCATENATE("Se activó en ",YEAR(M763)),
IF(AND(OR(O763="En proceso",O763="facturando"),AND(J763="-",M763="")),"Por revisar",
IF(M763="",IF(J763="NUEVAS",CONCATENATE("Estado: ",O763,", ",J763),
IF(L763=Meses!$A$3,"Por revisar",
IF(H763="","Sin registro","En programación Frcst."))),"En programación")))),
"Error")</f>
        <v>Por revisar</v>
      </c>
      <c r="Q763" s="9" t="str">
        <f t="shared" si="33"/>
        <v>programación de act. NO, estado: Facturando, Comercializador: ENEL, Etapa: Instalado y Activado</v>
      </c>
      <c r="R763" s="25" t="str">
        <f>IF(P763="En programación Frcst.",VLOOKUP(L763,Meses!$A$1:$H$14,3+HLOOKUP(Cronograma!J763,Meses!$D$1:$G$2,2,FALSE),FALSE),
IF(P763="En programación",M763,""))</f>
        <v/>
      </c>
      <c r="S763" s="25" t="str">
        <f t="shared" si="35"/>
        <v/>
      </c>
      <c r="T763" s="21" t="str">
        <f>IFERROR(
(VLOOKUP(MONTH(R763),Meses!$B$3:$C$14,2,FALSE)-DAY(R763))/VLOOKUP(MONTH(R763),Meses!$B$3:$C$14,2,FALSE)*U763,
"")</f>
        <v/>
      </c>
      <c r="U763" s="22">
        <f t="shared" si="34"/>
        <v>101640</v>
      </c>
    </row>
    <row r="764" spans="1:21" ht="31.8" hidden="1" thickBot="1" x14ac:dyDescent="0.6">
      <c r="A764" s="10" t="s">
        <v>975</v>
      </c>
      <c r="B764" s="10" t="s">
        <v>978</v>
      </c>
      <c r="C764" s="12"/>
      <c r="D764" s="10" t="s">
        <v>14</v>
      </c>
      <c r="E764" s="10" t="s">
        <v>14</v>
      </c>
      <c r="F764" s="10">
        <v>23680</v>
      </c>
      <c r="G764" s="10" t="s">
        <v>15</v>
      </c>
      <c r="H764" s="10" t="s">
        <v>140</v>
      </c>
      <c r="I764" s="10" t="s">
        <v>18</v>
      </c>
      <c r="J764" s="10" t="s">
        <v>19</v>
      </c>
      <c r="K764" s="10" t="s">
        <v>19</v>
      </c>
      <c r="L764" s="10" t="s">
        <v>19</v>
      </c>
      <c r="M764" s="12"/>
      <c r="N764" s="10" t="s">
        <v>20</v>
      </c>
      <c r="O764" s="10" t="s">
        <v>2056</v>
      </c>
      <c r="P764" s="25" t="str">
        <f>IFERROR(
IF(OR(O764="anulado",O764="stand by"),CONCATENATE(O764,": ",H764),
IF(OR(YEAR(M764)=2022,YEAR(M764)=2023),CONCATENATE("Se activó en ",YEAR(M764)),
IF(AND(OR(O764="En proceso",O764="facturando"),AND(J764="-",M764="")),"Por revisar",
IF(M764="",IF(J764="NUEVAS",CONCATENATE("Estado: ",O764,", ",J764),
IF(L764=Meses!$A$3,"Por revisar",
IF(H764="","Sin registro","En programación Frcst."))),"En programación")))),
"Error")</f>
        <v>anulado: Desistido</v>
      </c>
      <c r="Q764" s="9" t="str">
        <f t="shared" si="33"/>
        <v/>
      </c>
      <c r="R764" s="25" t="str">
        <f>IF(P764="En programación Frcst.",VLOOKUP(L764,Meses!$A$1:$H$14,3+HLOOKUP(Cronograma!J764,Meses!$D$1:$G$2,2,FALSE),FALSE),
IF(P764="En programación",M764,""))</f>
        <v/>
      </c>
      <c r="S764" s="25" t="str">
        <f t="shared" si="35"/>
        <v/>
      </c>
      <c r="T764" s="21" t="str">
        <f>IFERROR(
(VLOOKUP(MONTH(R764),Meses!$B$3:$C$14,2,FALSE)-DAY(R764))/VLOOKUP(MONTH(R764),Meses!$B$3:$C$14,2,FALSE)*U764,
"")</f>
        <v/>
      </c>
      <c r="U764" s="22">
        <f t="shared" si="34"/>
        <v>23680</v>
      </c>
    </row>
    <row r="765" spans="1:21" ht="32.4" hidden="1" thickBot="1" x14ac:dyDescent="0.6">
      <c r="A765" s="10" t="s">
        <v>975</v>
      </c>
      <c r="B765" s="10" t="s">
        <v>979</v>
      </c>
      <c r="C765" s="12">
        <v>45204</v>
      </c>
      <c r="D765" s="10" t="s">
        <v>14</v>
      </c>
      <c r="E765" s="10" t="s">
        <v>14</v>
      </c>
      <c r="F765" s="10">
        <v>899</v>
      </c>
      <c r="G765" s="10" t="s">
        <v>15</v>
      </c>
      <c r="H765" s="10" t="s">
        <v>17</v>
      </c>
      <c r="I765" s="10" t="s">
        <v>18</v>
      </c>
      <c r="J765" s="10" t="s">
        <v>19</v>
      </c>
      <c r="K765" s="10" t="s">
        <v>19</v>
      </c>
      <c r="L765" s="10" t="s">
        <v>19</v>
      </c>
      <c r="M765" s="12"/>
      <c r="N765" s="10" t="s">
        <v>20</v>
      </c>
      <c r="O765" s="10" t="s">
        <v>2054</v>
      </c>
      <c r="P765" s="25" t="str">
        <f>IFERROR(
IF(OR(O765="anulado",O765="stand by"),CONCATENATE(O765,": ",H765),
IF(OR(YEAR(M765)=2022,YEAR(M765)=2023),CONCATENATE("Se activó en ",YEAR(M765)),
IF(AND(OR(O765="En proceso",O765="facturando"),AND(J765="-",M765="")),"Por revisar",
IF(M765="",IF(J765="NUEVAS",CONCATENATE("Estado: ",O765,", ",J765),
IF(L765=Meses!$A$3,"Por revisar",
IF(H765="","Sin registro","En programación Frcst."))),"En programación")))),
"Error")</f>
        <v>Por revisar</v>
      </c>
      <c r="Q765" s="9" t="str">
        <f t="shared" si="33"/>
        <v>programación de act. NO, estado: Facturando, Comercializador: ENEL, Etapa: Instalado y Activado</v>
      </c>
      <c r="R765" s="25" t="str">
        <f>IF(P765="En programación Frcst.",VLOOKUP(L765,Meses!$A$1:$H$14,3+HLOOKUP(Cronograma!J765,Meses!$D$1:$G$2,2,FALSE),FALSE),
IF(P765="En programación",M765,""))</f>
        <v/>
      </c>
      <c r="S765" s="25" t="str">
        <f t="shared" si="35"/>
        <v/>
      </c>
      <c r="T765" s="21" t="str">
        <f>IFERROR(
(VLOOKUP(MONTH(R765),Meses!$B$3:$C$14,2,FALSE)-DAY(R765))/VLOOKUP(MONTH(R765),Meses!$B$3:$C$14,2,FALSE)*U765,
"")</f>
        <v/>
      </c>
      <c r="U765" s="22">
        <f t="shared" si="34"/>
        <v>899</v>
      </c>
    </row>
    <row r="766" spans="1:21" ht="31.8" hidden="1" thickBot="1" x14ac:dyDescent="0.6">
      <c r="A766" s="10" t="s">
        <v>975</v>
      </c>
      <c r="B766" s="10" t="s">
        <v>980</v>
      </c>
      <c r="C766" s="12">
        <v>45204</v>
      </c>
      <c r="D766" s="10" t="s">
        <v>14</v>
      </c>
      <c r="E766" s="10" t="s">
        <v>14</v>
      </c>
      <c r="F766" s="10">
        <v>985</v>
      </c>
      <c r="G766" s="10" t="s">
        <v>15</v>
      </c>
      <c r="H766" s="10" t="s">
        <v>2406</v>
      </c>
      <c r="I766" s="10" t="s">
        <v>18</v>
      </c>
      <c r="J766" s="10" t="s">
        <v>282</v>
      </c>
      <c r="K766" s="10" t="s">
        <v>2901</v>
      </c>
      <c r="L766" s="10" t="s">
        <v>2298</v>
      </c>
      <c r="M766" s="12"/>
      <c r="N766" s="10" t="s">
        <v>20</v>
      </c>
      <c r="O766" s="10" t="s">
        <v>2054</v>
      </c>
      <c r="P766" s="25" t="str">
        <f>IFERROR(
IF(OR(O766="anulado",O766="stand by"),CONCATENATE(O766,": ",H766),
IF(OR(YEAR(M766)=2022,YEAR(M766)=2023),CONCATENATE("Se activó en ",YEAR(M766)),
IF(AND(OR(O766="En proceso",O766="facturando"),AND(J766="-",M766="")),"Por revisar",
IF(M766="",IF(J766="NUEVAS",CONCATENATE("Estado: ",O766,", ",J766),
IF(L766=Meses!$A$3,"Por revisar",
IF(H766="","Sin registro","En programación Frcst."))),"En programación")))),
"Error")</f>
        <v>En programación Frcst.</v>
      </c>
      <c r="Q766" s="9" t="str">
        <f t="shared" si="33"/>
        <v/>
      </c>
      <c r="R766" s="25">
        <f>IF(P766="En programación Frcst.",VLOOKUP(L766,Meses!$A$1:$H$14,3+HLOOKUP(Cronograma!J766,Meses!$D$1:$G$2,2,FALSE),FALSE),
IF(P766="En programación",M766,""))</f>
        <v>0</v>
      </c>
      <c r="S766" s="25" t="str">
        <f t="shared" si="35"/>
        <v>1900/1</v>
      </c>
      <c r="T766" s="21">
        <f>IFERROR(
(VLOOKUP(MONTH(R766),Meses!$B$3:$C$14,2,FALSE)-DAY(R766))/VLOOKUP(MONTH(R766),Meses!$B$3:$C$14,2,FALSE)*U766,
"")</f>
        <v>985</v>
      </c>
      <c r="U766" s="22">
        <f t="shared" si="34"/>
        <v>985</v>
      </c>
    </row>
    <row r="767" spans="1:21" ht="32.4" hidden="1" thickBot="1" x14ac:dyDescent="0.6">
      <c r="A767" s="10" t="s">
        <v>975</v>
      </c>
      <c r="B767" s="10" t="s">
        <v>981</v>
      </c>
      <c r="C767" s="12">
        <v>45204</v>
      </c>
      <c r="D767" s="10" t="s">
        <v>14</v>
      </c>
      <c r="E767" s="10" t="s">
        <v>14</v>
      </c>
      <c r="F767" s="10">
        <v>5413</v>
      </c>
      <c r="G767" s="10" t="s">
        <v>15</v>
      </c>
      <c r="H767" s="10" t="s">
        <v>17</v>
      </c>
      <c r="I767" s="10" t="s">
        <v>18</v>
      </c>
      <c r="J767" s="10" t="s">
        <v>19</v>
      </c>
      <c r="K767" s="10" t="s">
        <v>19</v>
      </c>
      <c r="L767" s="10" t="s">
        <v>19</v>
      </c>
      <c r="M767" s="12"/>
      <c r="N767" s="10" t="s">
        <v>20</v>
      </c>
      <c r="O767" s="10" t="s">
        <v>2054</v>
      </c>
      <c r="P767" s="25" t="str">
        <f>IFERROR(
IF(OR(O767="anulado",O767="stand by"),CONCATENATE(O767,": ",H767),
IF(OR(YEAR(M767)=2022,YEAR(M767)=2023),CONCATENATE("Se activó en ",YEAR(M767)),
IF(AND(OR(O767="En proceso",O767="facturando"),AND(J767="-",M767="")),"Por revisar",
IF(M767="",IF(J767="NUEVAS",CONCATENATE("Estado: ",O767,", ",J767),
IF(L767=Meses!$A$3,"Por revisar",
IF(H767="","Sin registro","En programación Frcst."))),"En programación")))),
"Error")</f>
        <v>Por revisar</v>
      </c>
      <c r="Q767" s="9" t="str">
        <f t="shared" si="33"/>
        <v>programación de act. NO, estado: Facturando, Comercializador: ENEL, Etapa: Instalado y Activado</v>
      </c>
      <c r="R767" s="25" t="str">
        <f>IF(P767="En programación Frcst.",VLOOKUP(L767,Meses!$A$1:$H$14,3+HLOOKUP(Cronograma!J767,Meses!$D$1:$G$2,2,FALSE),FALSE),
IF(P767="En programación",M767,""))</f>
        <v/>
      </c>
      <c r="S767" s="25" t="str">
        <f t="shared" si="35"/>
        <v/>
      </c>
      <c r="T767" s="21" t="str">
        <f>IFERROR(
(VLOOKUP(MONTH(R767),Meses!$B$3:$C$14,2,FALSE)-DAY(R767))/VLOOKUP(MONTH(R767),Meses!$B$3:$C$14,2,FALSE)*U767,
"")</f>
        <v/>
      </c>
      <c r="U767" s="22">
        <f t="shared" si="34"/>
        <v>5413</v>
      </c>
    </row>
    <row r="768" spans="1:21" ht="31.8" hidden="1" thickBot="1" x14ac:dyDescent="0.6">
      <c r="A768" s="10" t="s">
        <v>975</v>
      </c>
      <c r="B768" s="10" t="s">
        <v>982</v>
      </c>
      <c r="C768" s="12">
        <v>45204</v>
      </c>
      <c r="D768" s="10" t="s">
        <v>14</v>
      </c>
      <c r="E768" s="10" t="s">
        <v>14</v>
      </c>
      <c r="F768" s="10">
        <v>88000</v>
      </c>
      <c r="G768" s="10" t="s">
        <v>15</v>
      </c>
      <c r="H768" s="10" t="s">
        <v>2406</v>
      </c>
      <c r="I768" s="10" t="s">
        <v>18</v>
      </c>
      <c r="J768" s="10" t="s">
        <v>282</v>
      </c>
      <c r="K768" s="10" t="s">
        <v>2901</v>
      </c>
      <c r="L768" s="10" t="s">
        <v>2298</v>
      </c>
      <c r="M768" s="12"/>
      <c r="N768" s="10" t="s">
        <v>20</v>
      </c>
      <c r="O768" s="10" t="s">
        <v>2054</v>
      </c>
      <c r="P768" s="25" t="str">
        <f>IFERROR(
IF(OR(O768="anulado",O768="stand by"),CONCATENATE(O768,": ",H768),
IF(OR(YEAR(M768)=2022,YEAR(M768)=2023),CONCATENATE("Se activó en ",YEAR(M768)),
IF(AND(OR(O768="En proceso",O768="facturando"),AND(J768="-",M768="")),"Por revisar",
IF(M768="",IF(J768="NUEVAS",CONCATENATE("Estado: ",O768,", ",J768),
IF(L768=Meses!$A$3,"Por revisar",
IF(H768="","Sin registro","En programación Frcst."))),"En programación")))),
"Error")</f>
        <v>En programación Frcst.</v>
      </c>
      <c r="Q768" s="9" t="str">
        <f t="shared" si="33"/>
        <v/>
      </c>
      <c r="R768" s="25">
        <f>IF(P768="En programación Frcst.",VLOOKUP(L768,Meses!$A$1:$H$14,3+HLOOKUP(Cronograma!J768,Meses!$D$1:$G$2,2,FALSE),FALSE),
IF(P768="En programación",M768,""))</f>
        <v>0</v>
      </c>
      <c r="S768" s="25" t="str">
        <f t="shared" si="35"/>
        <v>1900/1</v>
      </c>
      <c r="T768" s="21">
        <f>IFERROR(
(VLOOKUP(MONTH(R768),Meses!$B$3:$C$14,2,FALSE)-DAY(R768))/VLOOKUP(MONTH(R768),Meses!$B$3:$C$14,2,FALSE)*U768,
"")</f>
        <v>88000</v>
      </c>
      <c r="U768" s="22">
        <f t="shared" si="34"/>
        <v>88000</v>
      </c>
    </row>
    <row r="769" spans="1:21" ht="32.4" hidden="1" thickBot="1" x14ac:dyDescent="0.6">
      <c r="A769" s="10" t="s">
        <v>975</v>
      </c>
      <c r="B769" s="10" t="s">
        <v>983</v>
      </c>
      <c r="C769" s="12">
        <v>45204</v>
      </c>
      <c r="D769" s="10" t="s">
        <v>14</v>
      </c>
      <c r="E769" s="10" t="s">
        <v>14</v>
      </c>
      <c r="F769" s="10">
        <v>1865</v>
      </c>
      <c r="G769" s="10" t="s">
        <v>15</v>
      </c>
      <c r="H769" s="10" t="s">
        <v>17</v>
      </c>
      <c r="I769" s="10" t="s">
        <v>18</v>
      </c>
      <c r="J769" s="10" t="s">
        <v>19</v>
      </c>
      <c r="K769" s="10" t="s">
        <v>19</v>
      </c>
      <c r="L769" s="10" t="s">
        <v>19</v>
      </c>
      <c r="M769" s="12"/>
      <c r="N769" s="10" t="s">
        <v>20</v>
      </c>
      <c r="O769" s="10" t="s">
        <v>2054</v>
      </c>
      <c r="P769" s="25" t="str">
        <f>IFERROR(
IF(OR(O769="anulado",O769="stand by"),CONCATENATE(O769,": ",H769),
IF(OR(YEAR(M769)=2022,YEAR(M769)=2023),CONCATENATE("Se activó en ",YEAR(M769)),
IF(AND(OR(O769="En proceso",O769="facturando"),AND(J769="-",M769="")),"Por revisar",
IF(M769="",IF(J769="NUEVAS",CONCATENATE("Estado: ",O769,", ",J769),
IF(L769=Meses!$A$3,"Por revisar",
IF(H769="","Sin registro","En programación Frcst."))),"En programación")))),
"Error")</f>
        <v>Por revisar</v>
      </c>
      <c r="Q769" s="9" t="str">
        <f t="shared" si="33"/>
        <v>programación de act. NO, estado: Facturando, Comercializador: ENEL, Etapa: Instalado y Activado</v>
      </c>
      <c r="R769" s="25" t="str">
        <f>IF(P769="En programación Frcst.",VLOOKUP(L769,Meses!$A$1:$H$14,3+HLOOKUP(Cronograma!J769,Meses!$D$1:$G$2,2,FALSE),FALSE),
IF(P769="En programación",M769,""))</f>
        <v/>
      </c>
      <c r="S769" s="25" t="str">
        <f t="shared" si="35"/>
        <v/>
      </c>
      <c r="T769" s="21" t="str">
        <f>IFERROR(
(VLOOKUP(MONTH(R769),Meses!$B$3:$C$14,2,FALSE)-DAY(R769))/VLOOKUP(MONTH(R769),Meses!$B$3:$C$14,2,FALSE)*U769,
"")</f>
        <v/>
      </c>
      <c r="U769" s="22">
        <f t="shared" si="34"/>
        <v>1865</v>
      </c>
    </row>
    <row r="770" spans="1:21" ht="31.8" hidden="1" thickBot="1" x14ac:dyDescent="0.6">
      <c r="A770" s="10" t="s">
        <v>975</v>
      </c>
      <c r="B770" s="10" t="s">
        <v>984</v>
      </c>
      <c r="C770" s="12">
        <v>45204</v>
      </c>
      <c r="D770" s="10" t="s">
        <v>14</v>
      </c>
      <c r="E770" s="10" t="s">
        <v>14</v>
      </c>
      <c r="F770" s="10">
        <v>18240</v>
      </c>
      <c r="G770" s="10" t="s">
        <v>15</v>
      </c>
      <c r="H770" s="10" t="s">
        <v>2406</v>
      </c>
      <c r="I770" s="10" t="s">
        <v>18</v>
      </c>
      <c r="J770" s="10" t="s">
        <v>282</v>
      </c>
      <c r="K770" s="10" t="s">
        <v>2901</v>
      </c>
      <c r="L770" s="10" t="s">
        <v>2298</v>
      </c>
      <c r="M770" s="12"/>
      <c r="N770" s="10" t="s">
        <v>20</v>
      </c>
      <c r="O770" s="10" t="s">
        <v>2054</v>
      </c>
      <c r="P770" s="25" t="str">
        <f>IFERROR(
IF(OR(O770="anulado",O770="stand by"),CONCATENATE(O770,": ",H770),
IF(OR(YEAR(M770)=2022,YEAR(M770)=2023),CONCATENATE("Se activó en ",YEAR(M770)),
IF(AND(OR(O770="En proceso",O770="facturando"),AND(J770="-",M770="")),"Por revisar",
IF(M770="",IF(J770="NUEVAS",CONCATENATE("Estado: ",O770,", ",J770),
IF(L770=Meses!$A$3,"Por revisar",
IF(H770="","Sin registro","En programación Frcst."))),"En programación")))),
"Error")</f>
        <v>En programación Frcst.</v>
      </c>
      <c r="Q770" s="9" t="str">
        <f t="shared" ref="Q770:Q833" si="36">IF(P770="Por revisar",CONCATENATE("programación de act. ",N770,", estado: ",O770,", Comercializador: ",D770,", Etapa: ",H770),"")</f>
        <v/>
      </c>
      <c r="R770" s="25">
        <f>IF(P770="En programación Frcst.",VLOOKUP(L770,Meses!$A$1:$H$14,3+HLOOKUP(Cronograma!J770,Meses!$D$1:$G$2,2,FALSE),FALSE),
IF(P770="En programación",M770,""))</f>
        <v>0</v>
      </c>
      <c r="S770" s="25" t="str">
        <f t="shared" si="35"/>
        <v>1900/1</v>
      </c>
      <c r="T770" s="21">
        <f>IFERROR(
(VLOOKUP(MONTH(R770),Meses!$B$3:$C$14,2,FALSE)-DAY(R770))/VLOOKUP(MONTH(R770),Meses!$B$3:$C$14,2,FALSE)*U770,
"")</f>
        <v>18240</v>
      </c>
      <c r="U770" s="22">
        <f t="shared" ref="U770:U833" si="37">F770</f>
        <v>18240</v>
      </c>
    </row>
    <row r="771" spans="1:21" ht="32.4" hidden="1" thickBot="1" x14ac:dyDescent="0.6">
      <c r="A771" s="10" t="s">
        <v>975</v>
      </c>
      <c r="B771" s="10" t="s">
        <v>985</v>
      </c>
      <c r="C771" s="12">
        <v>45204</v>
      </c>
      <c r="D771" s="10" t="s">
        <v>14</v>
      </c>
      <c r="E771" s="10" t="s">
        <v>14</v>
      </c>
      <c r="F771" s="10">
        <v>2508</v>
      </c>
      <c r="G771" s="10" t="s">
        <v>15</v>
      </c>
      <c r="H771" s="10" t="s">
        <v>17</v>
      </c>
      <c r="I771" s="10" t="s">
        <v>18</v>
      </c>
      <c r="J771" s="10" t="s">
        <v>19</v>
      </c>
      <c r="K771" s="10" t="s">
        <v>19</v>
      </c>
      <c r="L771" s="10" t="s">
        <v>19</v>
      </c>
      <c r="M771" s="12"/>
      <c r="N771" s="10" t="s">
        <v>20</v>
      </c>
      <c r="O771" s="10" t="s">
        <v>2054</v>
      </c>
      <c r="P771" s="25" t="str">
        <f>IFERROR(
IF(OR(O771="anulado",O771="stand by"),CONCATENATE(O771,": ",H771),
IF(OR(YEAR(M771)=2022,YEAR(M771)=2023),CONCATENATE("Se activó en ",YEAR(M771)),
IF(AND(OR(O771="En proceso",O771="facturando"),AND(J771="-",M771="")),"Por revisar",
IF(M771="",IF(J771="NUEVAS",CONCATENATE("Estado: ",O771,", ",J771),
IF(L771=Meses!$A$3,"Por revisar",
IF(H771="","Sin registro","En programación Frcst."))),"En programación")))),
"Error")</f>
        <v>Por revisar</v>
      </c>
      <c r="Q771" s="9" t="str">
        <f t="shared" si="36"/>
        <v>programación de act. NO, estado: Facturando, Comercializador: ENEL, Etapa: Instalado y Activado</v>
      </c>
      <c r="R771" s="25" t="str">
        <f>IF(P771="En programación Frcst.",VLOOKUP(L771,Meses!$A$1:$H$14,3+HLOOKUP(Cronograma!J771,Meses!$D$1:$G$2,2,FALSE),FALSE),
IF(P771="En programación",M771,""))</f>
        <v/>
      </c>
      <c r="S771" s="25" t="str">
        <f t="shared" ref="S771:S834" si="38">IFERROR(CONCATENATE(YEAR(R771),"/",MONTH(R771)),"")</f>
        <v/>
      </c>
      <c r="T771" s="21" t="str">
        <f>IFERROR(
(VLOOKUP(MONTH(R771),Meses!$B$3:$C$14,2,FALSE)-DAY(R771))/VLOOKUP(MONTH(R771),Meses!$B$3:$C$14,2,FALSE)*U771,
"")</f>
        <v/>
      </c>
      <c r="U771" s="22">
        <f t="shared" si="37"/>
        <v>2508</v>
      </c>
    </row>
    <row r="772" spans="1:21" ht="31.8" hidden="1" thickBot="1" x14ac:dyDescent="0.6">
      <c r="A772" s="10" t="s">
        <v>975</v>
      </c>
      <c r="B772" s="10" t="s">
        <v>986</v>
      </c>
      <c r="C772" s="12">
        <v>45204</v>
      </c>
      <c r="D772" s="10" t="s">
        <v>14</v>
      </c>
      <c r="E772" s="10" t="s">
        <v>14</v>
      </c>
      <c r="F772" s="10">
        <v>577</v>
      </c>
      <c r="G772" s="10" t="s">
        <v>15</v>
      </c>
      <c r="H772" s="10" t="s">
        <v>2406</v>
      </c>
      <c r="I772" s="10" t="s">
        <v>18</v>
      </c>
      <c r="J772" s="10" t="s">
        <v>282</v>
      </c>
      <c r="K772" s="10" t="s">
        <v>2901</v>
      </c>
      <c r="L772" s="10" t="s">
        <v>2298</v>
      </c>
      <c r="M772" s="12"/>
      <c r="N772" s="10" t="s">
        <v>20</v>
      </c>
      <c r="O772" s="10" t="s">
        <v>2054</v>
      </c>
      <c r="P772" s="25" t="str">
        <f>IFERROR(
IF(OR(O772="anulado",O772="stand by"),CONCATENATE(O772,": ",H772),
IF(OR(YEAR(M772)=2022,YEAR(M772)=2023),CONCATENATE("Se activó en ",YEAR(M772)),
IF(AND(OR(O772="En proceso",O772="facturando"),AND(J772="-",M772="")),"Por revisar",
IF(M772="",IF(J772="NUEVAS",CONCATENATE("Estado: ",O772,", ",J772),
IF(L772=Meses!$A$3,"Por revisar",
IF(H772="","Sin registro","En programación Frcst."))),"En programación")))),
"Error")</f>
        <v>En programación Frcst.</v>
      </c>
      <c r="Q772" s="9" t="str">
        <f t="shared" si="36"/>
        <v/>
      </c>
      <c r="R772" s="25">
        <f>IF(P772="En programación Frcst.",VLOOKUP(L772,Meses!$A$1:$H$14,3+HLOOKUP(Cronograma!J772,Meses!$D$1:$G$2,2,FALSE),FALSE),
IF(P772="En programación",M772,""))</f>
        <v>0</v>
      </c>
      <c r="S772" s="25" t="str">
        <f t="shared" si="38"/>
        <v>1900/1</v>
      </c>
      <c r="T772" s="21">
        <f>IFERROR(
(VLOOKUP(MONTH(R772),Meses!$B$3:$C$14,2,FALSE)-DAY(R772))/VLOOKUP(MONTH(R772),Meses!$B$3:$C$14,2,FALSE)*U772,
"")</f>
        <v>577</v>
      </c>
      <c r="U772" s="22">
        <f t="shared" si="37"/>
        <v>577</v>
      </c>
    </row>
    <row r="773" spans="1:21" ht="31.8" hidden="1" thickBot="1" x14ac:dyDescent="0.6">
      <c r="A773" s="10" t="s">
        <v>975</v>
      </c>
      <c r="B773" s="10" t="s">
        <v>987</v>
      </c>
      <c r="C773" s="12">
        <v>45204</v>
      </c>
      <c r="D773" s="10" t="s">
        <v>14</v>
      </c>
      <c r="E773" s="10" t="s">
        <v>14</v>
      </c>
      <c r="F773" s="10">
        <v>25020</v>
      </c>
      <c r="G773" s="10" t="s">
        <v>15</v>
      </c>
      <c r="H773" s="10" t="s">
        <v>2406</v>
      </c>
      <c r="I773" s="10" t="s">
        <v>18</v>
      </c>
      <c r="J773" s="10" t="s">
        <v>282</v>
      </c>
      <c r="K773" s="10" t="s">
        <v>2901</v>
      </c>
      <c r="L773" s="10" t="s">
        <v>2298</v>
      </c>
      <c r="M773" s="12"/>
      <c r="N773" s="10" t="s">
        <v>20</v>
      </c>
      <c r="O773" s="10" t="s">
        <v>2054</v>
      </c>
      <c r="P773" s="25" t="str">
        <f>IFERROR(
IF(OR(O773="anulado",O773="stand by"),CONCATENATE(O773,": ",H773),
IF(OR(YEAR(M773)=2022,YEAR(M773)=2023),CONCATENATE("Se activó en ",YEAR(M773)),
IF(AND(OR(O773="En proceso",O773="facturando"),AND(J773="-",M773="")),"Por revisar",
IF(M773="",IF(J773="NUEVAS",CONCATENATE("Estado: ",O773,", ",J773),
IF(L773=Meses!$A$3,"Por revisar",
IF(H773="","Sin registro","En programación Frcst."))),"En programación")))),
"Error")</f>
        <v>En programación Frcst.</v>
      </c>
      <c r="Q773" s="9" t="str">
        <f t="shared" si="36"/>
        <v/>
      </c>
      <c r="R773" s="25">
        <f>IF(P773="En programación Frcst.",VLOOKUP(L773,Meses!$A$1:$H$14,3+HLOOKUP(Cronograma!J773,Meses!$D$1:$G$2,2,FALSE),FALSE),
IF(P773="En programación",M773,""))</f>
        <v>0</v>
      </c>
      <c r="S773" s="25" t="str">
        <f t="shared" si="38"/>
        <v>1900/1</v>
      </c>
      <c r="T773" s="21">
        <f>IFERROR(
(VLOOKUP(MONTH(R773),Meses!$B$3:$C$14,2,FALSE)-DAY(R773))/VLOOKUP(MONTH(R773),Meses!$B$3:$C$14,2,FALSE)*U773,
"")</f>
        <v>25020</v>
      </c>
      <c r="U773" s="22">
        <f t="shared" si="37"/>
        <v>25020</v>
      </c>
    </row>
    <row r="774" spans="1:21" ht="31.8" hidden="1" thickBot="1" x14ac:dyDescent="0.6">
      <c r="A774" s="10" t="s">
        <v>975</v>
      </c>
      <c r="B774" s="10" t="s">
        <v>988</v>
      </c>
      <c r="C774" s="12" t="s">
        <v>989</v>
      </c>
      <c r="D774" s="10" t="s">
        <v>14</v>
      </c>
      <c r="E774" s="10" t="s">
        <v>14</v>
      </c>
      <c r="F774" s="10">
        <v>0</v>
      </c>
      <c r="G774" s="10" t="s">
        <v>15</v>
      </c>
      <c r="H774" s="10" t="s">
        <v>140</v>
      </c>
      <c r="I774" s="10" t="s">
        <v>18</v>
      </c>
      <c r="J774" s="10" t="s">
        <v>19</v>
      </c>
      <c r="K774" s="10" t="s">
        <v>19</v>
      </c>
      <c r="L774" s="10" t="s">
        <v>19</v>
      </c>
      <c r="M774" s="12"/>
      <c r="N774" s="10" t="s">
        <v>20</v>
      </c>
      <c r="O774" s="10" t="s">
        <v>2056</v>
      </c>
      <c r="P774" s="25" t="str">
        <f>IFERROR(
IF(OR(O774="anulado",O774="stand by"),CONCATENATE(O774,": ",H774),
IF(OR(YEAR(M774)=2022,YEAR(M774)=2023),CONCATENATE("Se activó en ",YEAR(M774)),
IF(AND(OR(O774="En proceso",O774="facturando"),AND(J774="-",M774="")),"Por revisar",
IF(M774="",IF(J774="NUEVAS",CONCATENATE("Estado: ",O774,", ",J774),
IF(L774=Meses!$A$3,"Por revisar",
IF(H774="","Sin registro","En programación Frcst."))),"En programación")))),
"Error")</f>
        <v>anulado: Desistido</v>
      </c>
      <c r="Q774" s="9" t="str">
        <f t="shared" si="36"/>
        <v/>
      </c>
      <c r="R774" s="25" t="str">
        <f>IF(P774="En programación Frcst.",VLOOKUP(L774,Meses!$A$1:$H$14,3+HLOOKUP(Cronograma!J774,Meses!$D$1:$G$2,2,FALSE),FALSE),
IF(P774="En programación",M774,""))</f>
        <v/>
      </c>
      <c r="S774" s="25" t="str">
        <f t="shared" si="38"/>
        <v/>
      </c>
      <c r="T774" s="21" t="str">
        <f>IFERROR(
(VLOOKUP(MONTH(R774),Meses!$B$3:$C$14,2,FALSE)-DAY(R774))/VLOOKUP(MONTH(R774),Meses!$B$3:$C$14,2,FALSE)*U774,
"")</f>
        <v/>
      </c>
      <c r="U774" s="22">
        <f t="shared" si="37"/>
        <v>0</v>
      </c>
    </row>
    <row r="775" spans="1:21" ht="32.4" hidden="1" thickBot="1" x14ac:dyDescent="0.6">
      <c r="A775" s="10" t="s">
        <v>975</v>
      </c>
      <c r="B775" s="10" t="s">
        <v>990</v>
      </c>
      <c r="C775" s="12">
        <v>45204</v>
      </c>
      <c r="D775" s="10" t="s">
        <v>14</v>
      </c>
      <c r="E775" s="10" t="s">
        <v>14</v>
      </c>
      <c r="F775" s="10">
        <v>5461</v>
      </c>
      <c r="G775" s="10" t="s">
        <v>15</v>
      </c>
      <c r="H775" s="10" t="s">
        <v>17</v>
      </c>
      <c r="I775" s="10" t="s">
        <v>18</v>
      </c>
      <c r="J775" s="10" t="s">
        <v>19</v>
      </c>
      <c r="K775" s="10" t="s">
        <v>19</v>
      </c>
      <c r="L775" s="10" t="s">
        <v>19</v>
      </c>
      <c r="M775" s="12"/>
      <c r="N775" s="10" t="s">
        <v>20</v>
      </c>
      <c r="O775" s="10" t="s">
        <v>2054</v>
      </c>
      <c r="P775" s="25" t="str">
        <f>IFERROR(
IF(OR(O775="anulado",O775="stand by"),CONCATENATE(O775,": ",H775),
IF(OR(YEAR(M775)=2022,YEAR(M775)=2023),CONCATENATE("Se activó en ",YEAR(M775)),
IF(AND(OR(O775="En proceso",O775="facturando"),AND(J775="-",M775="")),"Por revisar",
IF(M775="",IF(J775="NUEVAS",CONCATENATE("Estado: ",O775,", ",J775),
IF(L775=Meses!$A$3,"Por revisar",
IF(H775="","Sin registro","En programación Frcst."))),"En programación")))),
"Error")</f>
        <v>Por revisar</v>
      </c>
      <c r="Q775" s="9" t="str">
        <f t="shared" si="36"/>
        <v>programación de act. NO, estado: Facturando, Comercializador: ENEL, Etapa: Instalado y Activado</v>
      </c>
      <c r="R775" s="25" t="str">
        <f>IF(P775="En programación Frcst.",VLOOKUP(L775,Meses!$A$1:$H$14,3+HLOOKUP(Cronograma!J775,Meses!$D$1:$G$2,2,FALSE),FALSE),
IF(P775="En programación",M775,""))</f>
        <v/>
      </c>
      <c r="S775" s="25" t="str">
        <f t="shared" si="38"/>
        <v/>
      </c>
      <c r="T775" s="21" t="str">
        <f>IFERROR(
(VLOOKUP(MONTH(R775),Meses!$B$3:$C$14,2,FALSE)-DAY(R775))/VLOOKUP(MONTH(R775),Meses!$B$3:$C$14,2,FALSE)*U775,
"")</f>
        <v/>
      </c>
      <c r="U775" s="22">
        <f t="shared" si="37"/>
        <v>5461</v>
      </c>
    </row>
    <row r="776" spans="1:21" ht="32.4" hidden="1" thickBot="1" x14ac:dyDescent="0.6">
      <c r="A776" s="10" t="s">
        <v>975</v>
      </c>
      <c r="B776" s="10" t="s">
        <v>991</v>
      </c>
      <c r="C776" s="12">
        <v>45204</v>
      </c>
      <c r="D776" s="10" t="s">
        <v>14</v>
      </c>
      <c r="E776" s="10" t="s">
        <v>14</v>
      </c>
      <c r="F776" s="10">
        <v>5400</v>
      </c>
      <c r="G776" s="10" t="s">
        <v>15</v>
      </c>
      <c r="H776" s="10" t="s">
        <v>17</v>
      </c>
      <c r="I776" s="10" t="s">
        <v>18</v>
      </c>
      <c r="J776" s="10" t="s">
        <v>19</v>
      </c>
      <c r="K776" s="10" t="s">
        <v>19</v>
      </c>
      <c r="L776" s="10" t="s">
        <v>19</v>
      </c>
      <c r="M776" s="12"/>
      <c r="N776" s="10" t="s">
        <v>20</v>
      </c>
      <c r="O776" s="10" t="s">
        <v>2054</v>
      </c>
      <c r="P776" s="25" t="str">
        <f>IFERROR(
IF(OR(O776="anulado",O776="stand by"),CONCATENATE(O776,": ",H776),
IF(OR(YEAR(M776)=2022,YEAR(M776)=2023),CONCATENATE("Se activó en ",YEAR(M776)),
IF(AND(OR(O776="En proceso",O776="facturando"),AND(J776="-",M776="")),"Por revisar",
IF(M776="",IF(J776="NUEVAS",CONCATENATE("Estado: ",O776,", ",J776),
IF(L776=Meses!$A$3,"Por revisar",
IF(H776="","Sin registro","En programación Frcst."))),"En programación")))),
"Error")</f>
        <v>Por revisar</v>
      </c>
      <c r="Q776" s="9" t="str">
        <f t="shared" si="36"/>
        <v>programación de act. NO, estado: Facturando, Comercializador: ENEL, Etapa: Instalado y Activado</v>
      </c>
      <c r="R776" s="25" t="str">
        <f>IF(P776="En programación Frcst.",VLOOKUP(L776,Meses!$A$1:$H$14,3+HLOOKUP(Cronograma!J776,Meses!$D$1:$G$2,2,FALSE),FALSE),
IF(P776="En programación",M776,""))</f>
        <v/>
      </c>
      <c r="S776" s="25" t="str">
        <f t="shared" si="38"/>
        <v/>
      </c>
      <c r="T776" s="21" t="str">
        <f>IFERROR(
(VLOOKUP(MONTH(R776),Meses!$B$3:$C$14,2,FALSE)-DAY(R776))/VLOOKUP(MONTH(R776),Meses!$B$3:$C$14,2,FALSE)*U776,
"")</f>
        <v/>
      </c>
      <c r="U776" s="22">
        <f t="shared" si="37"/>
        <v>5400</v>
      </c>
    </row>
    <row r="777" spans="1:21" ht="31.8" hidden="1" thickBot="1" x14ac:dyDescent="0.6">
      <c r="A777" s="10" t="s">
        <v>975</v>
      </c>
      <c r="B777" s="10" t="s">
        <v>992</v>
      </c>
      <c r="C777" s="12">
        <v>45204</v>
      </c>
      <c r="D777" s="10" t="s">
        <v>14</v>
      </c>
      <c r="E777" s="10" t="s">
        <v>14</v>
      </c>
      <c r="F777" s="10">
        <v>562</v>
      </c>
      <c r="G777" s="10" t="s">
        <v>15</v>
      </c>
      <c r="H777" s="10" t="s">
        <v>2406</v>
      </c>
      <c r="I777" s="10" t="s">
        <v>18</v>
      </c>
      <c r="J777" s="10" t="s">
        <v>282</v>
      </c>
      <c r="K777" s="10" t="s">
        <v>2901</v>
      </c>
      <c r="L777" s="10" t="s">
        <v>2298</v>
      </c>
      <c r="M777" s="12"/>
      <c r="N777" s="10" t="s">
        <v>20</v>
      </c>
      <c r="O777" s="10" t="s">
        <v>2054</v>
      </c>
      <c r="P777" s="25" t="str">
        <f>IFERROR(
IF(OR(O777="anulado",O777="stand by"),CONCATENATE(O777,": ",H777),
IF(OR(YEAR(M777)=2022,YEAR(M777)=2023),CONCATENATE("Se activó en ",YEAR(M777)),
IF(AND(OR(O777="En proceso",O777="facturando"),AND(J777="-",M777="")),"Por revisar",
IF(M777="",IF(J777="NUEVAS",CONCATENATE("Estado: ",O777,", ",J777),
IF(L777=Meses!$A$3,"Por revisar",
IF(H777="","Sin registro","En programación Frcst."))),"En programación")))),
"Error")</f>
        <v>En programación Frcst.</v>
      </c>
      <c r="Q777" s="9" t="str">
        <f t="shared" si="36"/>
        <v/>
      </c>
      <c r="R777" s="25">
        <f>IF(P777="En programación Frcst.",VLOOKUP(L777,Meses!$A$1:$H$14,3+HLOOKUP(Cronograma!J777,Meses!$D$1:$G$2,2,FALSE),FALSE),
IF(P777="En programación",M777,""))</f>
        <v>0</v>
      </c>
      <c r="S777" s="25" t="str">
        <f t="shared" si="38"/>
        <v>1900/1</v>
      </c>
      <c r="T777" s="21">
        <f>IFERROR(
(VLOOKUP(MONTH(R777),Meses!$B$3:$C$14,2,FALSE)-DAY(R777))/VLOOKUP(MONTH(R777),Meses!$B$3:$C$14,2,FALSE)*U777,
"")</f>
        <v>562</v>
      </c>
      <c r="U777" s="22">
        <f t="shared" si="37"/>
        <v>562</v>
      </c>
    </row>
    <row r="778" spans="1:21" ht="31.8" hidden="1" thickBot="1" x14ac:dyDescent="0.6">
      <c r="A778" s="10" t="s">
        <v>993</v>
      </c>
      <c r="B778" s="10" t="s">
        <v>994</v>
      </c>
      <c r="C778" s="12">
        <v>45190</v>
      </c>
      <c r="D778" s="10" t="s">
        <v>14</v>
      </c>
      <c r="E778" s="10" t="s">
        <v>14</v>
      </c>
      <c r="F778" s="10">
        <v>636</v>
      </c>
      <c r="G778" s="10" t="s">
        <v>15</v>
      </c>
      <c r="H778" s="10" t="s">
        <v>2406</v>
      </c>
      <c r="I778" s="10" t="s">
        <v>18</v>
      </c>
      <c r="J778" s="10" t="s">
        <v>277</v>
      </c>
      <c r="K778" s="10" t="s">
        <v>2902</v>
      </c>
      <c r="L778" s="10" t="s">
        <v>2297</v>
      </c>
      <c r="M778" s="12"/>
      <c r="N778" s="10" t="s">
        <v>20</v>
      </c>
      <c r="O778" s="10" t="s">
        <v>2054</v>
      </c>
      <c r="P778" s="25" t="str">
        <f>IFERROR(
IF(OR(O778="anulado",O778="stand by"),CONCATENATE(O778,": ",H778),
IF(OR(YEAR(M778)=2022,YEAR(M778)=2023),CONCATENATE("Se activó en ",YEAR(M778)),
IF(AND(OR(O778="En proceso",O778="facturando"),AND(J778="-",M778="")),"Por revisar",
IF(M778="",IF(J778="NUEVAS",CONCATENATE("Estado: ",O778,", ",J778),
IF(L778=Meses!$A$3,"Por revisar",
IF(H778="","Sin registro","En programación Frcst."))),"En programación")))),
"Error")</f>
        <v>En programación Frcst.</v>
      </c>
      <c r="Q778" s="9" t="str">
        <f t="shared" si="36"/>
        <v/>
      </c>
      <c r="R778" s="25">
        <f>IF(P778="En programación Frcst.",VLOOKUP(L778,Meses!$A$1:$H$14,3+HLOOKUP(Cronograma!J778,Meses!$D$1:$G$2,2,FALSE),FALSE),
IF(P778="En programación",M778,""))</f>
        <v>0</v>
      </c>
      <c r="S778" s="25" t="str">
        <f t="shared" si="38"/>
        <v>1900/1</v>
      </c>
      <c r="T778" s="21">
        <f>IFERROR(
(VLOOKUP(MONTH(R778),Meses!$B$3:$C$14,2,FALSE)-DAY(R778))/VLOOKUP(MONTH(R778),Meses!$B$3:$C$14,2,FALSE)*U778,
"")</f>
        <v>636</v>
      </c>
      <c r="U778" s="22">
        <f t="shared" si="37"/>
        <v>636</v>
      </c>
    </row>
    <row r="779" spans="1:21" ht="31.8" hidden="1" thickBot="1" x14ac:dyDescent="0.6">
      <c r="A779" s="10" t="s">
        <v>993</v>
      </c>
      <c r="B779" s="10" t="s">
        <v>995</v>
      </c>
      <c r="C779" s="12"/>
      <c r="D779" s="10" t="s">
        <v>14</v>
      </c>
      <c r="E779" s="10" t="s">
        <v>14</v>
      </c>
      <c r="F779" s="10">
        <v>450</v>
      </c>
      <c r="G779" s="10" t="s">
        <v>15</v>
      </c>
      <c r="H779" s="10" t="s">
        <v>140</v>
      </c>
      <c r="I779" s="10" t="s">
        <v>18</v>
      </c>
      <c r="J779" s="10" t="s">
        <v>292</v>
      </c>
      <c r="K779" s="10" t="s">
        <v>1697</v>
      </c>
      <c r="L779" s="10" t="s">
        <v>1120</v>
      </c>
      <c r="M779" s="12">
        <v>45379</v>
      </c>
      <c r="N779" s="10" t="s">
        <v>15</v>
      </c>
      <c r="O779" s="10" t="s">
        <v>2056</v>
      </c>
      <c r="P779" s="25" t="str">
        <f>IFERROR(
IF(OR(O779="anulado",O779="stand by"),CONCATENATE(O779,": ",H779),
IF(OR(YEAR(M779)=2022,YEAR(M779)=2023),CONCATENATE("Se activó en ",YEAR(M779)),
IF(AND(OR(O779="En proceso",O779="facturando"),AND(J779="-",M779="")),"Por revisar",
IF(M779="",IF(J779="NUEVAS",CONCATENATE("Estado: ",O779,", ",J779),
IF(L779=Meses!$A$3,"Por revisar",
IF(H779="","Sin registro","En programación Frcst."))),"En programación")))),
"Error")</f>
        <v>anulado: Desistido</v>
      </c>
      <c r="Q779" s="9" t="str">
        <f t="shared" si="36"/>
        <v/>
      </c>
      <c r="R779" s="25" t="str">
        <f>IF(P779="En programación Frcst.",VLOOKUP(L779,Meses!$A$1:$H$14,3+HLOOKUP(Cronograma!J779,Meses!$D$1:$G$2,2,FALSE),FALSE),
IF(P779="En programación",M779,""))</f>
        <v/>
      </c>
      <c r="S779" s="25" t="str">
        <f t="shared" si="38"/>
        <v/>
      </c>
      <c r="T779" s="21" t="str">
        <f>IFERROR(
(VLOOKUP(MONTH(R779),Meses!$B$3:$C$14,2,FALSE)-DAY(R779))/VLOOKUP(MONTH(R779),Meses!$B$3:$C$14,2,FALSE)*U779,
"")</f>
        <v/>
      </c>
      <c r="U779" s="22">
        <f t="shared" si="37"/>
        <v>450</v>
      </c>
    </row>
    <row r="780" spans="1:21" ht="32.4" hidden="1" thickBot="1" x14ac:dyDescent="0.6">
      <c r="A780" s="10" t="s">
        <v>993</v>
      </c>
      <c r="B780" s="10" t="s">
        <v>996</v>
      </c>
      <c r="C780" s="12">
        <v>45176</v>
      </c>
      <c r="D780" s="10" t="s">
        <v>14</v>
      </c>
      <c r="E780" s="10" t="s">
        <v>14</v>
      </c>
      <c r="F780" s="10">
        <v>731</v>
      </c>
      <c r="G780" s="10" t="s">
        <v>15</v>
      </c>
      <c r="H780" s="10" t="s">
        <v>17</v>
      </c>
      <c r="I780" s="10" t="s">
        <v>18</v>
      </c>
      <c r="J780" s="10" t="s">
        <v>19</v>
      </c>
      <c r="K780" s="10" t="s">
        <v>19</v>
      </c>
      <c r="L780" s="10" t="s">
        <v>19</v>
      </c>
      <c r="M780" s="12"/>
      <c r="N780" s="10" t="s">
        <v>20</v>
      </c>
      <c r="O780" s="10" t="s">
        <v>2054</v>
      </c>
      <c r="P780" s="25" t="str">
        <f>IFERROR(
IF(OR(O780="anulado",O780="stand by"),CONCATENATE(O780,": ",H780),
IF(OR(YEAR(M780)=2022,YEAR(M780)=2023),CONCATENATE("Se activó en ",YEAR(M780)),
IF(AND(OR(O780="En proceso",O780="facturando"),AND(J780="-",M780="")),"Por revisar",
IF(M780="",IF(J780="NUEVAS",CONCATENATE("Estado: ",O780,", ",J780),
IF(L780=Meses!$A$3,"Por revisar",
IF(H780="","Sin registro","En programación Frcst."))),"En programación")))),
"Error")</f>
        <v>Por revisar</v>
      </c>
      <c r="Q780" s="9" t="str">
        <f t="shared" si="36"/>
        <v>programación de act. NO, estado: Facturando, Comercializador: ENEL, Etapa: Instalado y Activado</v>
      </c>
      <c r="R780" s="25" t="str">
        <f>IF(P780="En programación Frcst.",VLOOKUP(L780,Meses!$A$1:$H$14,3+HLOOKUP(Cronograma!J780,Meses!$D$1:$G$2,2,FALSE),FALSE),
IF(P780="En programación",M780,""))</f>
        <v/>
      </c>
      <c r="S780" s="25" t="str">
        <f t="shared" si="38"/>
        <v/>
      </c>
      <c r="T780" s="21" t="str">
        <f>IFERROR(
(VLOOKUP(MONTH(R780),Meses!$B$3:$C$14,2,FALSE)-DAY(R780))/VLOOKUP(MONTH(R780),Meses!$B$3:$C$14,2,FALSE)*U780,
"")</f>
        <v/>
      </c>
      <c r="U780" s="22">
        <f t="shared" si="37"/>
        <v>731</v>
      </c>
    </row>
    <row r="781" spans="1:21" ht="32.4" hidden="1" thickBot="1" x14ac:dyDescent="0.6">
      <c r="A781" s="10" t="s">
        <v>993</v>
      </c>
      <c r="B781" s="10" t="s">
        <v>997</v>
      </c>
      <c r="C781" s="12">
        <v>45190</v>
      </c>
      <c r="D781" s="10" t="s">
        <v>14</v>
      </c>
      <c r="E781" s="10" t="s">
        <v>14</v>
      </c>
      <c r="F781" s="10">
        <v>2022</v>
      </c>
      <c r="G781" s="10" t="s">
        <v>15</v>
      </c>
      <c r="H781" s="10" t="s">
        <v>17</v>
      </c>
      <c r="I781" s="10" t="s">
        <v>18</v>
      </c>
      <c r="J781" s="10" t="s">
        <v>19</v>
      </c>
      <c r="K781" s="10" t="s">
        <v>19</v>
      </c>
      <c r="L781" s="10" t="s">
        <v>19</v>
      </c>
      <c r="M781" s="12"/>
      <c r="N781" s="10" t="s">
        <v>20</v>
      </c>
      <c r="O781" s="10" t="s">
        <v>2054</v>
      </c>
      <c r="P781" s="25" t="str">
        <f>IFERROR(
IF(OR(O781="anulado",O781="stand by"),CONCATENATE(O781,": ",H781),
IF(OR(YEAR(M781)=2022,YEAR(M781)=2023),CONCATENATE("Se activó en ",YEAR(M781)),
IF(AND(OR(O781="En proceso",O781="facturando"),AND(J781="-",M781="")),"Por revisar",
IF(M781="",IF(J781="NUEVAS",CONCATENATE("Estado: ",O781,", ",J781),
IF(L781=Meses!$A$3,"Por revisar",
IF(H781="","Sin registro","En programación Frcst."))),"En programación")))),
"Error")</f>
        <v>Por revisar</v>
      </c>
      <c r="Q781" s="9" t="str">
        <f t="shared" si="36"/>
        <v>programación de act. NO, estado: Facturando, Comercializador: ENEL, Etapa: Instalado y Activado</v>
      </c>
      <c r="R781" s="25" t="str">
        <f>IF(P781="En programación Frcst.",VLOOKUP(L781,Meses!$A$1:$H$14,3+HLOOKUP(Cronograma!J781,Meses!$D$1:$G$2,2,FALSE),FALSE),
IF(P781="En programación",M781,""))</f>
        <v/>
      </c>
      <c r="S781" s="25" t="str">
        <f t="shared" si="38"/>
        <v/>
      </c>
      <c r="T781" s="21" t="str">
        <f>IFERROR(
(VLOOKUP(MONTH(R781),Meses!$B$3:$C$14,2,FALSE)-DAY(R781))/VLOOKUP(MONTH(R781),Meses!$B$3:$C$14,2,FALSE)*U781,
"")</f>
        <v/>
      </c>
      <c r="U781" s="22">
        <f t="shared" si="37"/>
        <v>2022</v>
      </c>
    </row>
    <row r="782" spans="1:21" ht="32.4" hidden="1" thickBot="1" x14ac:dyDescent="0.6">
      <c r="A782" s="10" t="s">
        <v>993</v>
      </c>
      <c r="B782" s="10" t="s">
        <v>998</v>
      </c>
      <c r="C782" s="12">
        <v>45176</v>
      </c>
      <c r="D782" s="10" t="s">
        <v>14</v>
      </c>
      <c r="E782" s="10" t="s">
        <v>14</v>
      </c>
      <c r="F782" s="10">
        <v>1311</v>
      </c>
      <c r="G782" s="10" t="s">
        <v>15</v>
      </c>
      <c r="H782" s="10" t="s">
        <v>17</v>
      </c>
      <c r="I782" s="10" t="s">
        <v>18</v>
      </c>
      <c r="J782" s="10" t="s">
        <v>19</v>
      </c>
      <c r="K782" s="10" t="s">
        <v>19</v>
      </c>
      <c r="L782" s="10" t="s">
        <v>19</v>
      </c>
      <c r="M782" s="12"/>
      <c r="N782" s="10" t="s">
        <v>20</v>
      </c>
      <c r="O782" s="10" t="s">
        <v>2054</v>
      </c>
      <c r="P782" s="25" t="str">
        <f>IFERROR(
IF(OR(O782="anulado",O782="stand by"),CONCATENATE(O782,": ",H782),
IF(OR(YEAR(M782)=2022,YEAR(M782)=2023),CONCATENATE("Se activó en ",YEAR(M782)),
IF(AND(OR(O782="En proceso",O782="facturando"),AND(J782="-",M782="")),"Por revisar",
IF(M782="",IF(J782="NUEVAS",CONCATENATE("Estado: ",O782,", ",J782),
IF(L782=Meses!$A$3,"Por revisar",
IF(H782="","Sin registro","En programación Frcst."))),"En programación")))),
"Error")</f>
        <v>Por revisar</v>
      </c>
      <c r="Q782" s="9" t="str">
        <f t="shared" si="36"/>
        <v>programación de act. NO, estado: Facturando, Comercializador: ENEL, Etapa: Instalado y Activado</v>
      </c>
      <c r="R782" s="25" t="str">
        <f>IF(P782="En programación Frcst.",VLOOKUP(L782,Meses!$A$1:$H$14,3+HLOOKUP(Cronograma!J782,Meses!$D$1:$G$2,2,FALSE),FALSE),
IF(P782="En programación",M782,""))</f>
        <v/>
      </c>
      <c r="S782" s="25" t="str">
        <f t="shared" si="38"/>
        <v/>
      </c>
      <c r="T782" s="21" t="str">
        <f>IFERROR(
(VLOOKUP(MONTH(R782),Meses!$B$3:$C$14,2,FALSE)-DAY(R782))/VLOOKUP(MONTH(R782),Meses!$B$3:$C$14,2,FALSE)*U782,
"")</f>
        <v/>
      </c>
      <c r="U782" s="22">
        <f t="shared" si="37"/>
        <v>1311</v>
      </c>
    </row>
    <row r="783" spans="1:21" ht="32.4" hidden="1" thickBot="1" x14ac:dyDescent="0.6">
      <c r="A783" s="10" t="s">
        <v>993</v>
      </c>
      <c r="B783" s="10" t="s">
        <v>999</v>
      </c>
      <c r="C783" s="12">
        <v>45176</v>
      </c>
      <c r="D783" s="10" t="s">
        <v>14</v>
      </c>
      <c r="E783" s="10" t="s">
        <v>14</v>
      </c>
      <c r="F783" s="10">
        <v>43</v>
      </c>
      <c r="G783" s="10" t="s">
        <v>15</v>
      </c>
      <c r="H783" s="10" t="s">
        <v>17</v>
      </c>
      <c r="I783" s="10" t="s">
        <v>18</v>
      </c>
      <c r="J783" s="10" t="s">
        <v>19</v>
      </c>
      <c r="K783" s="10" t="s">
        <v>19</v>
      </c>
      <c r="L783" s="10" t="s">
        <v>19</v>
      </c>
      <c r="M783" s="12"/>
      <c r="N783" s="10" t="s">
        <v>20</v>
      </c>
      <c r="O783" s="10" t="s">
        <v>2054</v>
      </c>
      <c r="P783" s="25" t="str">
        <f>IFERROR(
IF(OR(O783="anulado",O783="stand by"),CONCATENATE(O783,": ",H783),
IF(OR(YEAR(M783)=2022,YEAR(M783)=2023),CONCATENATE("Se activó en ",YEAR(M783)),
IF(AND(OR(O783="En proceso",O783="facturando"),AND(J783="-",M783="")),"Por revisar",
IF(M783="",IF(J783="NUEVAS",CONCATENATE("Estado: ",O783,", ",J783),
IF(L783=Meses!$A$3,"Por revisar",
IF(H783="","Sin registro","En programación Frcst."))),"En programación")))),
"Error")</f>
        <v>Por revisar</v>
      </c>
      <c r="Q783" s="9" t="str">
        <f t="shared" si="36"/>
        <v>programación de act. NO, estado: Facturando, Comercializador: ENEL, Etapa: Instalado y Activado</v>
      </c>
      <c r="R783" s="25" t="str">
        <f>IF(P783="En programación Frcst.",VLOOKUP(L783,Meses!$A$1:$H$14,3+HLOOKUP(Cronograma!J783,Meses!$D$1:$G$2,2,FALSE),FALSE),
IF(P783="En programación",M783,""))</f>
        <v/>
      </c>
      <c r="S783" s="25" t="str">
        <f t="shared" si="38"/>
        <v/>
      </c>
      <c r="T783" s="21" t="str">
        <f>IFERROR(
(VLOOKUP(MONTH(R783),Meses!$B$3:$C$14,2,FALSE)-DAY(R783))/VLOOKUP(MONTH(R783),Meses!$B$3:$C$14,2,FALSE)*U783,
"")</f>
        <v/>
      </c>
      <c r="U783" s="22">
        <f t="shared" si="37"/>
        <v>43</v>
      </c>
    </row>
    <row r="784" spans="1:21" ht="32.4" hidden="1" thickBot="1" x14ac:dyDescent="0.6">
      <c r="A784" s="10" t="s">
        <v>993</v>
      </c>
      <c r="B784" s="10" t="s">
        <v>1000</v>
      </c>
      <c r="C784" s="12">
        <v>45176</v>
      </c>
      <c r="D784" s="10" t="s">
        <v>14</v>
      </c>
      <c r="E784" s="10" t="s">
        <v>14</v>
      </c>
      <c r="F784" s="10">
        <v>4354</v>
      </c>
      <c r="G784" s="10" t="s">
        <v>15</v>
      </c>
      <c r="H784" s="10" t="s">
        <v>17</v>
      </c>
      <c r="I784" s="10" t="s">
        <v>18</v>
      </c>
      <c r="J784" s="10" t="s">
        <v>19</v>
      </c>
      <c r="K784" s="10" t="s">
        <v>19</v>
      </c>
      <c r="L784" s="10" t="s">
        <v>19</v>
      </c>
      <c r="M784" s="12"/>
      <c r="N784" s="10" t="s">
        <v>20</v>
      </c>
      <c r="O784" s="10" t="s">
        <v>2054</v>
      </c>
      <c r="P784" s="25" t="str">
        <f>IFERROR(
IF(OR(O784="anulado",O784="stand by"),CONCATENATE(O784,": ",H784),
IF(OR(YEAR(M784)=2022,YEAR(M784)=2023),CONCATENATE("Se activó en ",YEAR(M784)),
IF(AND(OR(O784="En proceso",O784="facturando"),AND(J784="-",M784="")),"Por revisar",
IF(M784="",IF(J784="NUEVAS",CONCATENATE("Estado: ",O784,", ",J784),
IF(L784=Meses!$A$3,"Por revisar",
IF(H784="","Sin registro","En programación Frcst."))),"En programación")))),
"Error")</f>
        <v>Por revisar</v>
      </c>
      <c r="Q784" s="9" t="str">
        <f t="shared" si="36"/>
        <v>programación de act. NO, estado: Facturando, Comercializador: ENEL, Etapa: Instalado y Activado</v>
      </c>
      <c r="R784" s="25" t="str">
        <f>IF(P784="En programación Frcst.",VLOOKUP(L784,Meses!$A$1:$H$14,3+HLOOKUP(Cronograma!J784,Meses!$D$1:$G$2,2,FALSE),FALSE),
IF(P784="En programación",M784,""))</f>
        <v/>
      </c>
      <c r="S784" s="25" t="str">
        <f t="shared" si="38"/>
        <v/>
      </c>
      <c r="T784" s="21" t="str">
        <f>IFERROR(
(VLOOKUP(MONTH(R784),Meses!$B$3:$C$14,2,FALSE)-DAY(R784))/VLOOKUP(MONTH(R784),Meses!$B$3:$C$14,2,FALSE)*U784,
"")</f>
        <v/>
      </c>
      <c r="U784" s="22">
        <f t="shared" si="37"/>
        <v>4354</v>
      </c>
    </row>
    <row r="785" spans="1:21" ht="32.4" hidden="1" thickBot="1" x14ac:dyDescent="0.6">
      <c r="A785" s="10" t="s">
        <v>993</v>
      </c>
      <c r="B785" s="10" t="s">
        <v>1001</v>
      </c>
      <c r="C785" s="12">
        <v>45176</v>
      </c>
      <c r="D785" s="10" t="s">
        <v>14</v>
      </c>
      <c r="E785" s="10" t="s">
        <v>14</v>
      </c>
      <c r="F785" s="10">
        <v>5269</v>
      </c>
      <c r="G785" s="10" t="s">
        <v>15</v>
      </c>
      <c r="H785" s="10" t="s">
        <v>17</v>
      </c>
      <c r="I785" s="10" t="s">
        <v>18</v>
      </c>
      <c r="J785" s="10" t="s">
        <v>19</v>
      </c>
      <c r="K785" s="10" t="s">
        <v>19</v>
      </c>
      <c r="L785" s="10" t="s">
        <v>19</v>
      </c>
      <c r="M785" s="12"/>
      <c r="N785" s="10" t="s">
        <v>20</v>
      </c>
      <c r="O785" s="10" t="s">
        <v>2054</v>
      </c>
      <c r="P785" s="25" t="str">
        <f>IFERROR(
IF(OR(O785="anulado",O785="stand by"),CONCATENATE(O785,": ",H785),
IF(OR(YEAR(M785)=2022,YEAR(M785)=2023),CONCATENATE("Se activó en ",YEAR(M785)),
IF(AND(OR(O785="En proceso",O785="facturando"),AND(J785="-",M785="")),"Por revisar",
IF(M785="",IF(J785="NUEVAS",CONCATENATE("Estado: ",O785,", ",J785),
IF(L785=Meses!$A$3,"Por revisar",
IF(H785="","Sin registro","En programación Frcst."))),"En programación")))),
"Error")</f>
        <v>Por revisar</v>
      </c>
      <c r="Q785" s="9" t="str">
        <f t="shared" si="36"/>
        <v>programación de act. NO, estado: Facturando, Comercializador: ENEL, Etapa: Instalado y Activado</v>
      </c>
      <c r="R785" s="25" t="str">
        <f>IF(P785="En programación Frcst.",VLOOKUP(L785,Meses!$A$1:$H$14,3+HLOOKUP(Cronograma!J785,Meses!$D$1:$G$2,2,FALSE),FALSE),
IF(P785="En programación",M785,""))</f>
        <v/>
      </c>
      <c r="S785" s="25" t="str">
        <f t="shared" si="38"/>
        <v/>
      </c>
      <c r="T785" s="21" t="str">
        <f>IFERROR(
(VLOOKUP(MONTH(R785),Meses!$B$3:$C$14,2,FALSE)-DAY(R785))/VLOOKUP(MONTH(R785),Meses!$B$3:$C$14,2,FALSE)*U785,
"")</f>
        <v/>
      </c>
      <c r="U785" s="22">
        <f t="shared" si="37"/>
        <v>5269</v>
      </c>
    </row>
    <row r="786" spans="1:21" ht="32.4" hidden="1" thickBot="1" x14ac:dyDescent="0.6">
      <c r="A786" s="10" t="s">
        <v>993</v>
      </c>
      <c r="B786" s="10" t="s">
        <v>1002</v>
      </c>
      <c r="C786" s="12">
        <v>45176</v>
      </c>
      <c r="D786" s="10" t="s">
        <v>14</v>
      </c>
      <c r="E786" s="10" t="s">
        <v>14</v>
      </c>
      <c r="F786" s="10">
        <v>1500</v>
      </c>
      <c r="G786" s="10" t="s">
        <v>15</v>
      </c>
      <c r="H786" s="10" t="s">
        <v>17</v>
      </c>
      <c r="I786" s="10" t="s">
        <v>18</v>
      </c>
      <c r="J786" s="10" t="s">
        <v>19</v>
      </c>
      <c r="K786" s="10" t="s">
        <v>19</v>
      </c>
      <c r="L786" s="10" t="s">
        <v>19</v>
      </c>
      <c r="M786" s="12"/>
      <c r="N786" s="10" t="s">
        <v>20</v>
      </c>
      <c r="O786" s="10" t="s">
        <v>2054</v>
      </c>
      <c r="P786" s="25" t="str">
        <f>IFERROR(
IF(OR(O786="anulado",O786="stand by"),CONCATENATE(O786,": ",H786),
IF(OR(YEAR(M786)=2022,YEAR(M786)=2023),CONCATENATE("Se activó en ",YEAR(M786)),
IF(AND(OR(O786="En proceso",O786="facturando"),AND(J786="-",M786="")),"Por revisar",
IF(M786="",IF(J786="NUEVAS",CONCATENATE("Estado: ",O786,", ",J786),
IF(L786=Meses!$A$3,"Por revisar",
IF(H786="","Sin registro","En programación Frcst."))),"En programación")))),
"Error")</f>
        <v>Por revisar</v>
      </c>
      <c r="Q786" s="9" t="str">
        <f t="shared" si="36"/>
        <v>programación de act. NO, estado: Facturando, Comercializador: ENEL, Etapa: Instalado y Activado</v>
      </c>
      <c r="R786" s="25" t="str">
        <f>IF(P786="En programación Frcst.",VLOOKUP(L786,Meses!$A$1:$H$14,3+HLOOKUP(Cronograma!J786,Meses!$D$1:$G$2,2,FALSE),FALSE),
IF(P786="En programación",M786,""))</f>
        <v/>
      </c>
      <c r="S786" s="25" t="str">
        <f t="shared" si="38"/>
        <v/>
      </c>
      <c r="T786" s="21" t="str">
        <f>IFERROR(
(VLOOKUP(MONTH(R786),Meses!$B$3:$C$14,2,FALSE)-DAY(R786))/VLOOKUP(MONTH(R786),Meses!$B$3:$C$14,2,FALSE)*U786,
"")</f>
        <v/>
      </c>
      <c r="U786" s="22">
        <f t="shared" si="37"/>
        <v>1500</v>
      </c>
    </row>
    <row r="787" spans="1:21" ht="32.4" hidden="1" thickBot="1" x14ac:dyDescent="0.6">
      <c r="A787" s="10" t="s">
        <v>993</v>
      </c>
      <c r="B787" s="10" t="s">
        <v>1003</v>
      </c>
      <c r="C787" s="12">
        <v>45176</v>
      </c>
      <c r="D787" s="10" t="s">
        <v>14</v>
      </c>
      <c r="E787" s="10" t="s">
        <v>14</v>
      </c>
      <c r="F787" s="10">
        <v>1269</v>
      </c>
      <c r="G787" s="10" t="s">
        <v>15</v>
      </c>
      <c r="H787" s="10" t="s">
        <v>17</v>
      </c>
      <c r="I787" s="10" t="s">
        <v>18</v>
      </c>
      <c r="J787" s="10" t="s">
        <v>19</v>
      </c>
      <c r="K787" s="10" t="s">
        <v>19</v>
      </c>
      <c r="L787" s="10" t="s">
        <v>19</v>
      </c>
      <c r="M787" s="12"/>
      <c r="N787" s="10" t="s">
        <v>20</v>
      </c>
      <c r="O787" s="10" t="s">
        <v>2054</v>
      </c>
      <c r="P787" s="25" t="str">
        <f>IFERROR(
IF(OR(O787="anulado",O787="stand by"),CONCATENATE(O787,": ",H787),
IF(OR(YEAR(M787)=2022,YEAR(M787)=2023),CONCATENATE("Se activó en ",YEAR(M787)),
IF(AND(OR(O787="En proceso",O787="facturando"),AND(J787="-",M787="")),"Por revisar",
IF(M787="",IF(J787="NUEVAS",CONCATENATE("Estado: ",O787,", ",J787),
IF(L787=Meses!$A$3,"Por revisar",
IF(H787="","Sin registro","En programación Frcst."))),"En programación")))),
"Error")</f>
        <v>Por revisar</v>
      </c>
      <c r="Q787" s="9" t="str">
        <f t="shared" si="36"/>
        <v>programación de act. NO, estado: Facturando, Comercializador: ENEL, Etapa: Instalado y Activado</v>
      </c>
      <c r="R787" s="25" t="str">
        <f>IF(P787="En programación Frcst.",VLOOKUP(L787,Meses!$A$1:$H$14,3+HLOOKUP(Cronograma!J787,Meses!$D$1:$G$2,2,FALSE),FALSE),
IF(P787="En programación",M787,""))</f>
        <v/>
      </c>
      <c r="S787" s="25" t="str">
        <f t="shared" si="38"/>
        <v/>
      </c>
      <c r="T787" s="21" t="str">
        <f>IFERROR(
(VLOOKUP(MONTH(R787),Meses!$B$3:$C$14,2,FALSE)-DAY(R787))/VLOOKUP(MONTH(R787),Meses!$B$3:$C$14,2,FALSE)*U787,
"")</f>
        <v/>
      </c>
      <c r="U787" s="22">
        <f t="shared" si="37"/>
        <v>1269</v>
      </c>
    </row>
    <row r="788" spans="1:21" ht="32.4" hidden="1" thickBot="1" x14ac:dyDescent="0.6">
      <c r="A788" s="10" t="s">
        <v>993</v>
      </c>
      <c r="B788" s="10" t="s">
        <v>1004</v>
      </c>
      <c r="C788" s="12">
        <v>45176</v>
      </c>
      <c r="D788" s="10" t="s">
        <v>14</v>
      </c>
      <c r="E788" s="10" t="s">
        <v>14</v>
      </c>
      <c r="F788" s="10">
        <v>813</v>
      </c>
      <c r="G788" s="10" t="s">
        <v>15</v>
      </c>
      <c r="H788" s="10" t="s">
        <v>17</v>
      </c>
      <c r="I788" s="10" t="s">
        <v>18</v>
      </c>
      <c r="J788" s="10" t="s">
        <v>19</v>
      </c>
      <c r="K788" s="10" t="s">
        <v>19</v>
      </c>
      <c r="L788" s="10" t="s">
        <v>19</v>
      </c>
      <c r="M788" s="12"/>
      <c r="N788" s="10" t="s">
        <v>20</v>
      </c>
      <c r="O788" s="10" t="s">
        <v>2054</v>
      </c>
      <c r="P788" s="25" t="str">
        <f>IFERROR(
IF(OR(O788="anulado",O788="stand by"),CONCATENATE(O788,": ",H788),
IF(OR(YEAR(M788)=2022,YEAR(M788)=2023),CONCATENATE("Se activó en ",YEAR(M788)),
IF(AND(OR(O788="En proceso",O788="facturando"),AND(J788="-",M788="")),"Por revisar",
IF(M788="",IF(J788="NUEVAS",CONCATENATE("Estado: ",O788,", ",J788),
IF(L788=Meses!$A$3,"Por revisar",
IF(H788="","Sin registro","En programación Frcst."))),"En programación")))),
"Error")</f>
        <v>Por revisar</v>
      </c>
      <c r="Q788" s="9" t="str">
        <f t="shared" si="36"/>
        <v>programación de act. NO, estado: Facturando, Comercializador: ENEL, Etapa: Instalado y Activado</v>
      </c>
      <c r="R788" s="25" t="str">
        <f>IF(P788="En programación Frcst.",VLOOKUP(L788,Meses!$A$1:$H$14,3+HLOOKUP(Cronograma!J788,Meses!$D$1:$G$2,2,FALSE),FALSE),
IF(P788="En programación",M788,""))</f>
        <v/>
      </c>
      <c r="S788" s="25" t="str">
        <f t="shared" si="38"/>
        <v/>
      </c>
      <c r="T788" s="21" t="str">
        <f>IFERROR(
(VLOOKUP(MONTH(R788),Meses!$B$3:$C$14,2,FALSE)-DAY(R788))/VLOOKUP(MONTH(R788),Meses!$B$3:$C$14,2,FALSE)*U788,
"")</f>
        <v/>
      </c>
      <c r="U788" s="22">
        <f t="shared" si="37"/>
        <v>813</v>
      </c>
    </row>
    <row r="789" spans="1:21" ht="32.4" hidden="1" thickBot="1" x14ac:dyDescent="0.6">
      <c r="A789" s="10" t="s">
        <v>993</v>
      </c>
      <c r="B789" s="10" t="s">
        <v>1005</v>
      </c>
      <c r="C789" s="12">
        <v>45176</v>
      </c>
      <c r="D789" s="10" t="s">
        <v>14</v>
      </c>
      <c r="E789" s="10" t="s">
        <v>14</v>
      </c>
      <c r="F789" s="10">
        <v>806</v>
      </c>
      <c r="G789" s="10" t="s">
        <v>15</v>
      </c>
      <c r="H789" s="10" t="s">
        <v>17</v>
      </c>
      <c r="I789" s="10" t="s">
        <v>18</v>
      </c>
      <c r="J789" s="10" t="s">
        <v>19</v>
      </c>
      <c r="K789" s="10" t="s">
        <v>19</v>
      </c>
      <c r="L789" s="10" t="s">
        <v>19</v>
      </c>
      <c r="M789" s="12"/>
      <c r="N789" s="10" t="s">
        <v>20</v>
      </c>
      <c r="O789" s="10" t="s">
        <v>2054</v>
      </c>
      <c r="P789" s="25" t="str">
        <f>IFERROR(
IF(OR(O789="anulado",O789="stand by"),CONCATENATE(O789,": ",H789),
IF(OR(YEAR(M789)=2022,YEAR(M789)=2023),CONCATENATE("Se activó en ",YEAR(M789)),
IF(AND(OR(O789="En proceso",O789="facturando"),AND(J789="-",M789="")),"Por revisar",
IF(M789="",IF(J789="NUEVAS",CONCATENATE("Estado: ",O789,", ",J789),
IF(L789=Meses!$A$3,"Por revisar",
IF(H789="","Sin registro","En programación Frcst."))),"En programación")))),
"Error")</f>
        <v>Por revisar</v>
      </c>
      <c r="Q789" s="9" t="str">
        <f t="shared" si="36"/>
        <v>programación de act. NO, estado: Facturando, Comercializador: ENEL, Etapa: Instalado y Activado</v>
      </c>
      <c r="R789" s="25" t="str">
        <f>IF(P789="En programación Frcst.",VLOOKUP(L789,Meses!$A$1:$H$14,3+HLOOKUP(Cronograma!J789,Meses!$D$1:$G$2,2,FALSE),FALSE),
IF(P789="En programación",M789,""))</f>
        <v/>
      </c>
      <c r="S789" s="25" t="str">
        <f t="shared" si="38"/>
        <v/>
      </c>
      <c r="T789" s="21" t="str">
        <f>IFERROR(
(VLOOKUP(MONTH(R789),Meses!$B$3:$C$14,2,FALSE)-DAY(R789))/VLOOKUP(MONTH(R789),Meses!$B$3:$C$14,2,FALSE)*U789,
"")</f>
        <v/>
      </c>
      <c r="U789" s="22">
        <f t="shared" si="37"/>
        <v>806</v>
      </c>
    </row>
    <row r="790" spans="1:21" ht="31.8" hidden="1" thickBot="1" x14ac:dyDescent="0.6">
      <c r="A790" s="10" t="s">
        <v>993</v>
      </c>
      <c r="B790" s="10" t="s">
        <v>1006</v>
      </c>
      <c r="C790" s="12">
        <v>45351</v>
      </c>
      <c r="D790" s="10" t="s">
        <v>14</v>
      </c>
      <c r="E790" s="10" t="s">
        <v>14</v>
      </c>
      <c r="F790" s="10">
        <v>795</v>
      </c>
      <c r="G790" s="10" t="s">
        <v>15</v>
      </c>
      <c r="H790" s="10" t="s">
        <v>17</v>
      </c>
      <c r="I790" s="10" t="s">
        <v>18</v>
      </c>
      <c r="J790" s="10" t="s">
        <v>143</v>
      </c>
      <c r="K790" s="10" t="s">
        <v>538</v>
      </c>
      <c r="L790" s="10" t="s">
        <v>279</v>
      </c>
      <c r="M790" s="12"/>
      <c r="N790" s="10" t="s">
        <v>15</v>
      </c>
      <c r="O790" s="10" t="s">
        <v>2054</v>
      </c>
      <c r="P790" s="25" t="str">
        <f>IFERROR(
IF(OR(O790="anulado",O790="stand by"),CONCATENATE(O790,": ",H790),
IF(OR(YEAR(M790)=2022,YEAR(M790)=2023),CONCATENATE("Se activó en ",YEAR(M790)),
IF(AND(OR(O790="En proceso",O790="facturando"),AND(J790="-",M790="")),"Por revisar",
IF(M790="",IF(J790="NUEVAS",CONCATENATE("Estado: ",O790,", ",J790),
IF(L790=Meses!$A$3,"Por revisar",
IF(H790="","Sin registro","En programación Frcst."))),"En programación")))),
"Error")</f>
        <v>En programación Frcst.</v>
      </c>
      <c r="Q790" s="9" t="str">
        <f t="shared" si="36"/>
        <v/>
      </c>
      <c r="R790" s="25">
        <f>IF(P790="En programación Frcst.",VLOOKUP(L790,Meses!$A$1:$H$14,3+HLOOKUP(Cronograma!J790,Meses!$D$1:$G$2,2,FALSE),FALSE),
IF(P790="En programación",M790,""))</f>
        <v>45302</v>
      </c>
      <c r="S790" s="25" t="str">
        <f t="shared" si="38"/>
        <v>2024/1</v>
      </c>
      <c r="T790" s="21">
        <f>IFERROR(
(VLOOKUP(MONTH(R790),Meses!$B$3:$C$14,2,FALSE)-DAY(R790))/VLOOKUP(MONTH(R790),Meses!$B$3:$C$14,2,FALSE)*U790,
"")</f>
        <v>512.90322580645159</v>
      </c>
      <c r="U790" s="22">
        <f t="shared" si="37"/>
        <v>795</v>
      </c>
    </row>
    <row r="791" spans="1:21" ht="32.4" hidden="1" thickBot="1" x14ac:dyDescent="0.6">
      <c r="A791" s="10" t="s">
        <v>993</v>
      </c>
      <c r="B791" s="10" t="s">
        <v>1007</v>
      </c>
      <c r="C791" s="12">
        <v>45176</v>
      </c>
      <c r="D791" s="10" t="s">
        <v>14</v>
      </c>
      <c r="E791" s="10" t="s">
        <v>14</v>
      </c>
      <c r="F791" s="10">
        <v>677</v>
      </c>
      <c r="G791" s="10" t="s">
        <v>15</v>
      </c>
      <c r="H791" s="10" t="s">
        <v>17</v>
      </c>
      <c r="I791" s="10" t="s">
        <v>18</v>
      </c>
      <c r="J791" s="10" t="s">
        <v>19</v>
      </c>
      <c r="K791" s="10" t="s">
        <v>19</v>
      </c>
      <c r="L791" s="10" t="s">
        <v>19</v>
      </c>
      <c r="M791" s="12"/>
      <c r="N791" s="10" t="s">
        <v>20</v>
      </c>
      <c r="O791" s="10" t="s">
        <v>2054</v>
      </c>
      <c r="P791" s="25" t="str">
        <f>IFERROR(
IF(OR(O791="anulado",O791="stand by"),CONCATENATE(O791,": ",H791),
IF(OR(YEAR(M791)=2022,YEAR(M791)=2023),CONCATENATE("Se activó en ",YEAR(M791)),
IF(AND(OR(O791="En proceso",O791="facturando"),AND(J791="-",M791="")),"Por revisar",
IF(M791="",IF(J791="NUEVAS",CONCATENATE("Estado: ",O791,", ",J791),
IF(L791=Meses!$A$3,"Por revisar",
IF(H791="","Sin registro","En programación Frcst."))),"En programación")))),
"Error")</f>
        <v>Por revisar</v>
      </c>
      <c r="Q791" s="9" t="str">
        <f t="shared" si="36"/>
        <v>programación de act. NO, estado: Facturando, Comercializador: ENEL, Etapa: Instalado y Activado</v>
      </c>
      <c r="R791" s="25" t="str">
        <f>IF(P791="En programación Frcst.",VLOOKUP(L791,Meses!$A$1:$H$14,3+HLOOKUP(Cronograma!J791,Meses!$D$1:$G$2,2,FALSE),FALSE),
IF(P791="En programación",M791,""))</f>
        <v/>
      </c>
      <c r="S791" s="25" t="str">
        <f t="shared" si="38"/>
        <v/>
      </c>
      <c r="T791" s="21" t="str">
        <f>IFERROR(
(VLOOKUP(MONTH(R791),Meses!$B$3:$C$14,2,FALSE)-DAY(R791))/VLOOKUP(MONTH(R791),Meses!$B$3:$C$14,2,FALSE)*U791,
"")</f>
        <v/>
      </c>
      <c r="U791" s="22">
        <f t="shared" si="37"/>
        <v>677</v>
      </c>
    </row>
    <row r="792" spans="1:21" ht="32.4" hidden="1" thickBot="1" x14ac:dyDescent="0.6">
      <c r="A792" s="10" t="s">
        <v>993</v>
      </c>
      <c r="B792" s="10" t="s">
        <v>1008</v>
      </c>
      <c r="C792" s="12">
        <v>45176</v>
      </c>
      <c r="D792" s="10" t="s">
        <v>14</v>
      </c>
      <c r="E792" s="10" t="s">
        <v>14</v>
      </c>
      <c r="F792" s="10">
        <v>4590</v>
      </c>
      <c r="G792" s="10" t="s">
        <v>15</v>
      </c>
      <c r="H792" s="10" t="s">
        <v>17</v>
      </c>
      <c r="I792" s="10" t="s">
        <v>18</v>
      </c>
      <c r="J792" s="10" t="s">
        <v>19</v>
      </c>
      <c r="K792" s="10" t="s">
        <v>19</v>
      </c>
      <c r="L792" s="10" t="s">
        <v>19</v>
      </c>
      <c r="M792" s="12"/>
      <c r="N792" s="10" t="s">
        <v>20</v>
      </c>
      <c r="O792" s="10" t="s">
        <v>2054</v>
      </c>
      <c r="P792" s="25" t="str">
        <f>IFERROR(
IF(OR(O792="anulado",O792="stand by"),CONCATENATE(O792,": ",H792),
IF(OR(YEAR(M792)=2022,YEAR(M792)=2023),CONCATENATE("Se activó en ",YEAR(M792)),
IF(AND(OR(O792="En proceso",O792="facturando"),AND(J792="-",M792="")),"Por revisar",
IF(M792="",IF(J792="NUEVAS",CONCATENATE("Estado: ",O792,", ",J792),
IF(L792=Meses!$A$3,"Por revisar",
IF(H792="","Sin registro","En programación Frcst."))),"En programación")))),
"Error")</f>
        <v>Por revisar</v>
      </c>
      <c r="Q792" s="9" t="str">
        <f t="shared" si="36"/>
        <v>programación de act. NO, estado: Facturando, Comercializador: ENEL, Etapa: Instalado y Activado</v>
      </c>
      <c r="R792" s="25" t="str">
        <f>IF(P792="En programación Frcst.",VLOOKUP(L792,Meses!$A$1:$H$14,3+HLOOKUP(Cronograma!J792,Meses!$D$1:$G$2,2,FALSE),FALSE),
IF(P792="En programación",M792,""))</f>
        <v/>
      </c>
      <c r="S792" s="25" t="str">
        <f t="shared" si="38"/>
        <v/>
      </c>
      <c r="T792" s="21" t="str">
        <f>IFERROR(
(VLOOKUP(MONTH(R792),Meses!$B$3:$C$14,2,FALSE)-DAY(R792))/VLOOKUP(MONTH(R792),Meses!$B$3:$C$14,2,FALSE)*U792,
"")</f>
        <v/>
      </c>
      <c r="U792" s="22">
        <f t="shared" si="37"/>
        <v>4590</v>
      </c>
    </row>
    <row r="793" spans="1:21" ht="32.4" hidden="1" thickBot="1" x14ac:dyDescent="0.6">
      <c r="A793" s="10" t="s">
        <v>993</v>
      </c>
      <c r="B793" s="10" t="s">
        <v>1009</v>
      </c>
      <c r="C793" s="12">
        <v>45176</v>
      </c>
      <c r="D793" s="10" t="s">
        <v>14</v>
      </c>
      <c r="E793" s="10" t="s">
        <v>14</v>
      </c>
      <c r="F793" s="10">
        <v>546</v>
      </c>
      <c r="G793" s="10" t="s">
        <v>15</v>
      </c>
      <c r="H793" s="10" t="s">
        <v>17</v>
      </c>
      <c r="I793" s="10" t="s">
        <v>18</v>
      </c>
      <c r="J793" s="10" t="s">
        <v>19</v>
      </c>
      <c r="K793" s="10" t="s">
        <v>19</v>
      </c>
      <c r="L793" s="10" t="s">
        <v>19</v>
      </c>
      <c r="M793" s="12"/>
      <c r="N793" s="10" t="s">
        <v>20</v>
      </c>
      <c r="O793" s="10" t="s">
        <v>2054</v>
      </c>
      <c r="P793" s="25" t="str">
        <f>IFERROR(
IF(OR(O793="anulado",O793="stand by"),CONCATENATE(O793,": ",H793),
IF(OR(YEAR(M793)=2022,YEAR(M793)=2023),CONCATENATE("Se activó en ",YEAR(M793)),
IF(AND(OR(O793="En proceso",O793="facturando"),AND(J793="-",M793="")),"Por revisar",
IF(M793="",IF(J793="NUEVAS",CONCATENATE("Estado: ",O793,", ",J793),
IF(L793=Meses!$A$3,"Por revisar",
IF(H793="","Sin registro","En programación Frcst."))),"En programación")))),
"Error")</f>
        <v>Por revisar</v>
      </c>
      <c r="Q793" s="9" t="str">
        <f t="shared" si="36"/>
        <v>programación de act. NO, estado: Facturando, Comercializador: ENEL, Etapa: Instalado y Activado</v>
      </c>
      <c r="R793" s="25" t="str">
        <f>IF(P793="En programación Frcst.",VLOOKUP(L793,Meses!$A$1:$H$14,3+HLOOKUP(Cronograma!J793,Meses!$D$1:$G$2,2,FALSE),FALSE),
IF(P793="En programación",M793,""))</f>
        <v/>
      </c>
      <c r="S793" s="25" t="str">
        <f t="shared" si="38"/>
        <v/>
      </c>
      <c r="T793" s="21" t="str">
        <f>IFERROR(
(VLOOKUP(MONTH(R793),Meses!$B$3:$C$14,2,FALSE)-DAY(R793))/VLOOKUP(MONTH(R793),Meses!$B$3:$C$14,2,FALSE)*U793,
"")</f>
        <v/>
      </c>
      <c r="U793" s="22">
        <f t="shared" si="37"/>
        <v>546</v>
      </c>
    </row>
    <row r="794" spans="1:21" ht="32.4" hidden="1" thickBot="1" x14ac:dyDescent="0.6">
      <c r="A794" s="10" t="s">
        <v>993</v>
      </c>
      <c r="B794" s="10" t="s">
        <v>1010</v>
      </c>
      <c r="C794" s="12">
        <v>45176</v>
      </c>
      <c r="D794" s="10" t="s">
        <v>14</v>
      </c>
      <c r="E794" s="10" t="s">
        <v>14</v>
      </c>
      <c r="F794" s="10">
        <v>362</v>
      </c>
      <c r="G794" s="10" t="s">
        <v>15</v>
      </c>
      <c r="H794" s="10" t="s">
        <v>17</v>
      </c>
      <c r="I794" s="10" t="s">
        <v>18</v>
      </c>
      <c r="J794" s="10" t="s">
        <v>19</v>
      </c>
      <c r="K794" s="10" t="s">
        <v>19</v>
      </c>
      <c r="L794" s="10" t="s">
        <v>19</v>
      </c>
      <c r="M794" s="12"/>
      <c r="N794" s="10" t="s">
        <v>20</v>
      </c>
      <c r="O794" s="10" t="s">
        <v>2054</v>
      </c>
      <c r="P794" s="25" t="str">
        <f>IFERROR(
IF(OR(O794="anulado",O794="stand by"),CONCATENATE(O794,": ",H794),
IF(OR(YEAR(M794)=2022,YEAR(M794)=2023),CONCATENATE("Se activó en ",YEAR(M794)),
IF(AND(OR(O794="En proceso",O794="facturando"),AND(J794="-",M794="")),"Por revisar",
IF(M794="",IF(J794="NUEVAS",CONCATENATE("Estado: ",O794,", ",J794),
IF(L794=Meses!$A$3,"Por revisar",
IF(H794="","Sin registro","En programación Frcst."))),"En programación")))),
"Error")</f>
        <v>Por revisar</v>
      </c>
      <c r="Q794" s="9" t="str">
        <f t="shared" si="36"/>
        <v>programación de act. NO, estado: Facturando, Comercializador: ENEL, Etapa: Instalado y Activado</v>
      </c>
      <c r="R794" s="25" t="str">
        <f>IF(P794="En programación Frcst.",VLOOKUP(L794,Meses!$A$1:$H$14,3+HLOOKUP(Cronograma!J794,Meses!$D$1:$G$2,2,FALSE),FALSE),
IF(P794="En programación",M794,""))</f>
        <v/>
      </c>
      <c r="S794" s="25" t="str">
        <f t="shared" si="38"/>
        <v/>
      </c>
      <c r="T794" s="21" t="str">
        <f>IFERROR(
(VLOOKUP(MONTH(R794),Meses!$B$3:$C$14,2,FALSE)-DAY(R794))/VLOOKUP(MONTH(R794),Meses!$B$3:$C$14,2,FALSE)*U794,
"")</f>
        <v/>
      </c>
      <c r="U794" s="22">
        <f t="shared" si="37"/>
        <v>362</v>
      </c>
    </row>
    <row r="795" spans="1:21" ht="31.8" hidden="1" thickBot="1" x14ac:dyDescent="0.6">
      <c r="A795" s="10" t="s">
        <v>1011</v>
      </c>
      <c r="B795" s="10" t="s">
        <v>1012</v>
      </c>
      <c r="C795" s="12">
        <v>45302</v>
      </c>
      <c r="D795" s="10" t="s">
        <v>14</v>
      </c>
      <c r="E795" s="10" t="s">
        <v>14</v>
      </c>
      <c r="F795" s="10">
        <v>3415</v>
      </c>
      <c r="G795" s="10" t="s">
        <v>15</v>
      </c>
      <c r="H795" s="10" t="s">
        <v>17</v>
      </c>
      <c r="I795" s="10" t="s">
        <v>18</v>
      </c>
      <c r="J795" s="10" t="s">
        <v>282</v>
      </c>
      <c r="K795" s="10" t="s">
        <v>283</v>
      </c>
      <c r="L795" s="10" t="s">
        <v>279</v>
      </c>
      <c r="M795" s="12"/>
      <c r="N795" s="10" t="s">
        <v>15</v>
      </c>
      <c r="O795" s="10" t="s">
        <v>2054</v>
      </c>
      <c r="P795" s="25" t="str">
        <f>IFERROR(
IF(OR(O795="anulado",O795="stand by"),CONCATENATE(O795,": ",H795),
IF(OR(YEAR(M795)=2022,YEAR(M795)=2023),CONCATENATE("Se activó en ",YEAR(M795)),
IF(AND(OR(O795="En proceso",O795="facturando"),AND(J795="-",M795="")),"Por revisar",
IF(M795="",IF(J795="NUEVAS",CONCATENATE("Estado: ",O795,", ",J795),
IF(L795=Meses!$A$3,"Por revisar",
IF(H795="","Sin registro","En programación Frcst."))),"En programación")))),
"Error")</f>
        <v>En programación Frcst.</v>
      </c>
      <c r="Q795" s="9" t="str">
        <f t="shared" si="36"/>
        <v/>
      </c>
      <c r="R795" s="25">
        <f>IF(P795="En programación Frcst.",VLOOKUP(L795,Meses!$A$1:$H$14,3+HLOOKUP(Cronograma!J795,Meses!$D$1:$G$2,2,FALSE),FALSE),
IF(P795="En programación",M795,""))</f>
        <v>45295</v>
      </c>
      <c r="S795" s="25" t="str">
        <f t="shared" si="38"/>
        <v>2024/1</v>
      </c>
      <c r="T795" s="21">
        <f>IFERROR(
(VLOOKUP(MONTH(R795),Meses!$B$3:$C$14,2,FALSE)-DAY(R795))/VLOOKUP(MONTH(R795),Meses!$B$3:$C$14,2,FALSE)*U795,
"")</f>
        <v>2974.3548387096776</v>
      </c>
      <c r="U795" s="22">
        <f t="shared" si="37"/>
        <v>3415</v>
      </c>
    </row>
    <row r="796" spans="1:21" ht="31.8" hidden="1" thickBot="1" x14ac:dyDescent="0.6">
      <c r="A796" s="10" t="s">
        <v>1011</v>
      </c>
      <c r="B796" s="10" t="s">
        <v>1013</v>
      </c>
      <c r="C796" s="12">
        <v>45302</v>
      </c>
      <c r="D796" s="10" t="s">
        <v>14</v>
      </c>
      <c r="E796" s="10" t="s">
        <v>14</v>
      </c>
      <c r="F796" s="10">
        <v>987</v>
      </c>
      <c r="G796" s="10" t="s">
        <v>15</v>
      </c>
      <c r="H796" s="10" t="s">
        <v>17</v>
      </c>
      <c r="I796" s="10" t="s">
        <v>18</v>
      </c>
      <c r="J796" s="10" t="s">
        <v>282</v>
      </c>
      <c r="K796" s="10" t="s">
        <v>283</v>
      </c>
      <c r="L796" s="10" t="s">
        <v>279</v>
      </c>
      <c r="M796" s="12"/>
      <c r="N796" s="10" t="s">
        <v>15</v>
      </c>
      <c r="O796" s="10" t="s">
        <v>2054</v>
      </c>
      <c r="P796" s="25" t="str">
        <f>IFERROR(
IF(OR(O796="anulado",O796="stand by"),CONCATENATE(O796,": ",H796),
IF(OR(YEAR(M796)=2022,YEAR(M796)=2023),CONCATENATE("Se activó en ",YEAR(M796)),
IF(AND(OR(O796="En proceso",O796="facturando"),AND(J796="-",M796="")),"Por revisar",
IF(M796="",IF(J796="NUEVAS",CONCATENATE("Estado: ",O796,", ",J796),
IF(L796=Meses!$A$3,"Por revisar",
IF(H796="","Sin registro","En programación Frcst."))),"En programación")))),
"Error")</f>
        <v>En programación Frcst.</v>
      </c>
      <c r="Q796" s="9" t="str">
        <f t="shared" si="36"/>
        <v/>
      </c>
      <c r="R796" s="25">
        <f>IF(P796="En programación Frcst.",VLOOKUP(L796,Meses!$A$1:$H$14,3+HLOOKUP(Cronograma!J796,Meses!$D$1:$G$2,2,FALSE),FALSE),
IF(P796="En programación",M796,""))</f>
        <v>45295</v>
      </c>
      <c r="S796" s="25" t="str">
        <f t="shared" si="38"/>
        <v>2024/1</v>
      </c>
      <c r="T796" s="21">
        <f>IFERROR(
(VLOOKUP(MONTH(R796),Meses!$B$3:$C$14,2,FALSE)-DAY(R796))/VLOOKUP(MONTH(R796),Meses!$B$3:$C$14,2,FALSE)*U796,
"")</f>
        <v>859.64516129032256</v>
      </c>
      <c r="U796" s="22">
        <f t="shared" si="37"/>
        <v>987</v>
      </c>
    </row>
    <row r="797" spans="1:21" ht="31.8" hidden="1" thickBot="1" x14ac:dyDescent="0.6">
      <c r="A797" s="10" t="s">
        <v>1011</v>
      </c>
      <c r="B797" s="10" t="s">
        <v>1014</v>
      </c>
      <c r="C797" s="12">
        <v>45302</v>
      </c>
      <c r="D797" s="10" t="s">
        <v>14</v>
      </c>
      <c r="E797" s="10" t="s">
        <v>14</v>
      </c>
      <c r="F797" s="10">
        <v>126</v>
      </c>
      <c r="G797" s="10" t="s">
        <v>15</v>
      </c>
      <c r="H797" s="10" t="s">
        <v>17</v>
      </c>
      <c r="I797" s="10" t="s">
        <v>18</v>
      </c>
      <c r="J797" s="10" t="s">
        <v>282</v>
      </c>
      <c r="K797" s="10" t="s">
        <v>283</v>
      </c>
      <c r="L797" s="10" t="s">
        <v>279</v>
      </c>
      <c r="M797" s="12"/>
      <c r="N797" s="10" t="s">
        <v>15</v>
      </c>
      <c r="O797" s="10" t="s">
        <v>2054</v>
      </c>
      <c r="P797" s="25" t="str">
        <f>IFERROR(
IF(OR(O797="anulado",O797="stand by"),CONCATENATE(O797,": ",H797),
IF(OR(YEAR(M797)=2022,YEAR(M797)=2023),CONCATENATE("Se activó en ",YEAR(M797)),
IF(AND(OR(O797="En proceso",O797="facturando"),AND(J797="-",M797="")),"Por revisar",
IF(M797="",IF(J797="NUEVAS",CONCATENATE("Estado: ",O797,", ",J797),
IF(L797=Meses!$A$3,"Por revisar",
IF(H797="","Sin registro","En programación Frcst."))),"En programación")))),
"Error")</f>
        <v>En programación Frcst.</v>
      </c>
      <c r="Q797" s="9" t="str">
        <f t="shared" si="36"/>
        <v/>
      </c>
      <c r="R797" s="25">
        <f>IF(P797="En programación Frcst.",VLOOKUP(L797,Meses!$A$1:$H$14,3+HLOOKUP(Cronograma!J797,Meses!$D$1:$G$2,2,FALSE),FALSE),
IF(P797="En programación",M797,""))</f>
        <v>45295</v>
      </c>
      <c r="S797" s="25" t="str">
        <f t="shared" si="38"/>
        <v>2024/1</v>
      </c>
      <c r="T797" s="21">
        <f>IFERROR(
(VLOOKUP(MONTH(R797),Meses!$B$3:$C$14,2,FALSE)-DAY(R797))/VLOOKUP(MONTH(R797),Meses!$B$3:$C$14,2,FALSE)*U797,
"")</f>
        <v>109.74193548387098</v>
      </c>
      <c r="U797" s="22">
        <f t="shared" si="37"/>
        <v>126</v>
      </c>
    </row>
    <row r="798" spans="1:21" ht="31.8" hidden="1" thickBot="1" x14ac:dyDescent="0.6">
      <c r="A798" s="10" t="s">
        <v>1011</v>
      </c>
      <c r="B798" s="10" t="s">
        <v>1015</v>
      </c>
      <c r="C798" s="12">
        <v>45309</v>
      </c>
      <c r="D798" s="10" t="s">
        <v>14</v>
      </c>
      <c r="E798" s="10" t="s">
        <v>14</v>
      </c>
      <c r="F798" s="10">
        <v>3680</v>
      </c>
      <c r="G798" s="10" t="s">
        <v>15</v>
      </c>
      <c r="H798" s="10" t="s">
        <v>17</v>
      </c>
      <c r="I798" s="10" t="s">
        <v>18</v>
      </c>
      <c r="J798" s="10" t="s">
        <v>282</v>
      </c>
      <c r="K798" s="10" t="s">
        <v>283</v>
      </c>
      <c r="L798" s="10" t="s">
        <v>279</v>
      </c>
      <c r="M798" s="12"/>
      <c r="N798" s="10" t="s">
        <v>15</v>
      </c>
      <c r="O798" s="10" t="s">
        <v>2054</v>
      </c>
      <c r="P798" s="25" t="str">
        <f>IFERROR(
IF(OR(O798="anulado",O798="stand by"),CONCATENATE(O798,": ",H798),
IF(OR(YEAR(M798)=2022,YEAR(M798)=2023),CONCATENATE("Se activó en ",YEAR(M798)),
IF(AND(OR(O798="En proceso",O798="facturando"),AND(J798="-",M798="")),"Por revisar",
IF(M798="",IF(J798="NUEVAS",CONCATENATE("Estado: ",O798,", ",J798),
IF(L798=Meses!$A$3,"Por revisar",
IF(H798="","Sin registro","En programación Frcst."))),"En programación")))),
"Error")</f>
        <v>En programación Frcst.</v>
      </c>
      <c r="Q798" s="9" t="str">
        <f t="shared" si="36"/>
        <v/>
      </c>
      <c r="R798" s="25">
        <f>IF(P798="En programación Frcst.",VLOOKUP(L798,Meses!$A$1:$H$14,3+HLOOKUP(Cronograma!J798,Meses!$D$1:$G$2,2,FALSE),FALSE),
IF(P798="En programación",M798,""))</f>
        <v>45295</v>
      </c>
      <c r="S798" s="25" t="str">
        <f t="shared" si="38"/>
        <v>2024/1</v>
      </c>
      <c r="T798" s="21">
        <f>IFERROR(
(VLOOKUP(MONTH(R798),Meses!$B$3:$C$14,2,FALSE)-DAY(R798))/VLOOKUP(MONTH(R798),Meses!$B$3:$C$14,2,FALSE)*U798,
"")</f>
        <v>3205.1612903225805</v>
      </c>
      <c r="U798" s="22">
        <f t="shared" si="37"/>
        <v>3680</v>
      </c>
    </row>
    <row r="799" spans="1:21" ht="32.4" hidden="1" thickBot="1" x14ac:dyDescent="0.6">
      <c r="A799" s="10" t="s">
        <v>1016</v>
      </c>
      <c r="B799" s="10" t="s">
        <v>1017</v>
      </c>
      <c r="C799" s="12">
        <v>45197</v>
      </c>
      <c r="D799" s="10" t="s">
        <v>14</v>
      </c>
      <c r="E799" s="10" t="s">
        <v>14</v>
      </c>
      <c r="F799" s="10">
        <v>51480</v>
      </c>
      <c r="G799" s="10" t="s">
        <v>15</v>
      </c>
      <c r="H799" s="10" t="s">
        <v>17</v>
      </c>
      <c r="I799" s="10" t="s">
        <v>18</v>
      </c>
      <c r="J799" s="10" t="s">
        <v>19</v>
      </c>
      <c r="K799" s="10" t="s">
        <v>19</v>
      </c>
      <c r="L799" s="10" t="s">
        <v>19</v>
      </c>
      <c r="M799" s="12"/>
      <c r="N799" s="10" t="s">
        <v>20</v>
      </c>
      <c r="O799" s="10" t="s">
        <v>2054</v>
      </c>
      <c r="P799" s="25" t="str">
        <f>IFERROR(
IF(OR(O799="anulado",O799="stand by"),CONCATENATE(O799,": ",H799),
IF(OR(YEAR(M799)=2022,YEAR(M799)=2023),CONCATENATE("Se activó en ",YEAR(M799)),
IF(AND(OR(O799="En proceso",O799="facturando"),AND(J799="-",M799="")),"Por revisar",
IF(M799="",IF(J799="NUEVAS",CONCATENATE("Estado: ",O799,", ",J799),
IF(L799=Meses!$A$3,"Por revisar",
IF(H799="","Sin registro","En programación Frcst."))),"En programación")))),
"Error")</f>
        <v>Por revisar</v>
      </c>
      <c r="Q799" s="9" t="str">
        <f t="shared" si="36"/>
        <v>programación de act. NO, estado: Facturando, Comercializador: ENEL, Etapa: Instalado y Activado</v>
      </c>
      <c r="R799" s="25" t="str">
        <f>IF(P799="En programación Frcst.",VLOOKUP(L799,Meses!$A$1:$H$14,3+HLOOKUP(Cronograma!J799,Meses!$D$1:$G$2,2,FALSE),FALSE),
IF(P799="En programación",M799,""))</f>
        <v/>
      </c>
      <c r="S799" s="25" t="str">
        <f t="shared" si="38"/>
        <v/>
      </c>
      <c r="T799" s="21" t="str">
        <f>IFERROR(
(VLOOKUP(MONTH(R799),Meses!$B$3:$C$14,2,FALSE)-DAY(R799))/VLOOKUP(MONTH(R799),Meses!$B$3:$C$14,2,FALSE)*U799,
"")</f>
        <v/>
      </c>
      <c r="U799" s="22">
        <f t="shared" si="37"/>
        <v>51480</v>
      </c>
    </row>
    <row r="800" spans="1:21" ht="32.4" hidden="1" thickBot="1" x14ac:dyDescent="0.6">
      <c r="A800" s="10" t="s">
        <v>1018</v>
      </c>
      <c r="B800" s="10" t="s">
        <v>1019</v>
      </c>
      <c r="C800" s="12">
        <v>45295</v>
      </c>
      <c r="D800" s="10" t="s">
        <v>14</v>
      </c>
      <c r="E800" s="10" t="s">
        <v>14</v>
      </c>
      <c r="F800" s="10">
        <v>5513</v>
      </c>
      <c r="G800" s="10" t="s">
        <v>15</v>
      </c>
      <c r="H800" s="10" t="s">
        <v>17</v>
      </c>
      <c r="I800" s="10" t="s">
        <v>18</v>
      </c>
      <c r="J800" s="10" t="s">
        <v>292</v>
      </c>
      <c r="K800" s="10" t="s">
        <v>945</v>
      </c>
      <c r="L800" s="10" t="s">
        <v>145</v>
      </c>
      <c r="M800" s="12"/>
      <c r="N800" s="10" t="s">
        <v>15</v>
      </c>
      <c r="O800" s="10" t="s">
        <v>2054</v>
      </c>
      <c r="P800" s="25" t="str">
        <f>IFERROR(
IF(OR(O800="anulado",O800="stand by"),CONCATENATE(O800,": ",H800),
IF(OR(YEAR(M800)=2022,YEAR(M800)=2023),CONCATENATE("Se activó en ",YEAR(M800)),
IF(AND(OR(O800="En proceso",O800="facturando"),AND(J800="-",M800="")),"Por revisar",
IF(M800="",IF(J800="NUEVAS",CONCATENATE("Estado: ",O800,", ",J800),
IF(L800=Meses!$A$3,"Por revisar",
IF(H800="","Sin registro","En programación Frcst."))),"En programación")))),
"Error")</f>
        <v>Por revisar</v>
      </c>
      <c r="Q800" s="9" t="str">
        <f t="shared" si="36"/>
        <v>programación de act. SI, estado: Facturando, Comercializador: ENEL, Etapa: Instalado y Activado</v>
      </c>
      <c r="R800" s="25" t="str">
        <f>IF(P800="En programación Frcst.",VLOOKUP(L800,Meses!$A$1:$H$14,3+HLOOKUP(Cronograma!J800,Meses!$D$1:$G$2,2,FALSE),FALSE),
IF(P800="En programación",M800,""))</f>
        <v/>
      </c>
      <c r="S800" s="25" t="str">
        <f t="shared" si="38"/>
        <v/>
      </c>
      <c r="T800" s="21" t="str">
        <f>IFERROR(
(VLOOKUP(MONTH(R800),Meses!$B$3:$C$14,2,FALSE)-DAY(R800))/VLOOKUP(MONTH(R800),Meses!$B$3:$C$14,2,FALSE)*U800,
"")</f>
        <v/>
      </c>
      <c r="U800" s="22">
        <f t="shared" si="37"/>
        <v>5513</v>
      </c>
    </row>
    <row r="801" spans="1:21" ht="31.8" hidden="1" thickBot="1" x14ac:dyDescent="0.6">
      <c r="A801" s="10" t="s">
        <v>1020</v>
      </c>
      <c r="B801" s="10" t="s">
        <v>1021</v>
      </c>
      <c r="C801" s="12"/>
      <c r="D801" s="10" t="s">
        <v>23</v>
      </c>
      <c r="E801" s="10" t="s">
        <v>23</v>
      </c>
      <c r="F801" s="10">
        <v>1821</v>
      </c>
      <c r="G801" s="10" t="s">
        <v>15</v>
      </c>
      <c r="H801" s="10" t="s">
        <v>2917</v>
      </c>
      <c r="I801" s="10" t="s">
        <v>43</v>
      </c>
      <c r="J801" s="10" t="s">
        <v>143</v>
      </c>
      <c r="K801" s="10" t="s">
        <v>2895</v>
      </c>
      <c r="L801" s="10" t="s">
        <v>2292</v>
      </c>
      <c r="M801" s="12">
        <v>45400</v>
      </c>
      <c r="N801" s="10" t="s">
        <v>15</v>
      </c>
      <c r="O801" s="10" t="s">
        <v>2057</v>
      </c>
      <c r="P801" s="25" t="str">
        <f>IFERROR(
IF(OR(O801="anulado",O801="stand by"),CONCATENATE(O801,": ",H801),
IF(OR(YEAR(M801)=2022,YEAR(M801)=2023),CONCATENATE("Se activó en ",YEAR(M801)),
IF(AND(OR(O801="En proceso",O801="facturando"),AND(J801="-",M801="")),"Por revisar",
IF(M801="",IF(J801="NUEVAS",CONCATENATE("Estado: ",O801,", ",J801),
IF(L801=Meses!$A$3,"Por revisar",
IF(H801="","Sin registro","En programación Frcst."))),"En programación")))),
"Error")</f>
        <v>En programación</v>
      </c>
      <c r="Q801" s="9" t="str">
        <f t="shared" si="36"/>
        <v/>
      </c>
      <c r="R801" s="25">
        <f>IF(P801="En programación Frcst.",VLOOKUP(L801,Meses!$A$1:$H$14,3+HLOOKUP(Cronograma!J801,Meses!$D$1:$G$2,2,FALSE),FALSE),
IF(P801="En programación",M801,""))</f>
        <v>45400</v>
      </c>
      <c r="S801" s="25" t="str">
        <f t="shared" si="38"/>
        <v>2024/4</v>
      </c>
      <c r="T801" s="21">
        <f>IFERROR(
(VLOOKUP(MONTH(R801),Meses!$B$3:$C$14,2,FALSE)-DAY(R801))/VLOOKUP(MONTH(R801),Meses!$B$3:$C$14,2,FALSE)*U801,
"")</f>
        <v>728.40000000000009</v>
      </c>
      <c r="U801" s="22">
        <f t="shared" si="37"/>
        <v>1821</v>
      </c>
    </row>
    <row r="802" spans="1:21" ht="31.8" hidden="1" thickBot="1" x14ac:dyDescent="0.6">
      <c r="A802" s="10" t="s">
        <v>1020</v>
      </c>
      <c r="B802" s="10" t="s">
        <v>1022</v>
      </c>
      <c r="C802" s="12"/>
      <c r="D802" s="10" t="s">
        <v>23</v>
      </c>
      <c r="E802" s="10" t="s">
        <v>23</v>
      </c>
      <c r="F802" s="10">
        <v>83</v>
      </c>
      <c r="G802" s="10" t="s">
        <v>15</v>
      </c>
      <c r="H802" s="10" t="s">
        <v>2921</v>
      </c>
      <c r="I802" s="10" t="s">
        <v>43</v>
      </c>
      <c r="J802" s="10" t="s">
        <v>143</v>
      </c>
      <c r="K802" s="10" t="s">
        <v>1697</v>
      </c>
      <c r="L802" s="10" t="s">
        <v>1120</v>
      </c>
      <c r="M802" s="12">
        <v>45365</v>
      </c>
      <c r="N802" s="10" t="s">
        <v>15</v>
      </c>
      <c r="O802" s="10" t="s">
        <v>2057</v>
      </c>
      <c r="P802" s="25" t="str">
        <f>IFERROR(
IF(OR(O802="anulado",O802="stand by"),CONCATENATE(O802,": ",H802),
IF(OR(YEAR(M802)=2022,YEAR(M802)=2023),CONCATENATE("Se activó en ",YEAR(M802)),
IF(AND(OR(O802="En proceso",O802="facturando"),AND(J802="-",M802="")),"Por revisar",
IF(M802="",IF(J802="NUEVAS",CONCATENATE("Estado: ",O802,", ",J802),
IF(L802=Meses!$A$3,"Por revisar",
IF(H802="","Sin registro","En programación Frcst."))),"En programación")))),
"Error")</f>
        <v>En programación</v>
      </c>
      <c r="Q802" s="9" t="str">
        <f t="shared" si="36"/>
        <v/>
      </c>
      <c r="R802" s="25">
        <f>IF(P802="En programación Frcst.",VLOOKUP(L802,Meses!$A$1:$H$14,3+HLOOKUP(Cronograma!J802,Meses!$D$1:$G$2,2,FALSE),FALSE),
IF(P802="En programación",M802,""))</f>
        <v>45365</v>
      </c>
      <c r="S802" s="25" t="str">
        <f t="shared" si="38"/>
        <v>2024/3</v>
      </c>
      <c r="T802" s="21">
        <f>IFERROR(
(VLOOKUP(MONTH(R802),Meses!$B$3:$C$14,2,FALSE)-DAY(R802))/VLOOKUP(MONTH(R802),Meses!$B$3:$C$14,2,FALSE)*U802,
"")</f>
        <v>45.516129032258064</v>
      </c>
      <c r="U802" s="22">
        <f t="shared" si="37"/>
        <v>83</v>
      </c>
    </row>
    <row r="803" spans="1:21" ht="31.8" hidden="1" thickBot="1" x14ac:dyDescent="0.6">
      <c r="A803" s="10" t="s">
        <v>1020</v>
      </c>
      <c r="B803" s="10" t="s">
        <v>1023</v>
      </c>
      <c r="C803" s="12"/>
      <c r="D803" s="10" t="s">
        <v>23</v>
      </c>
      <c r="E803" s="10" t="s">
        <v>23</v>
      </c>
      <c r="F803" s="10">
        <v>3366</v>
      </c>
      <c r="G803" s="10" t="s">
        <v>15</v>
      </c>
      <c r="H803" s="10" t="s">
        <v>2921</v>
      </c>
      <c r="I803" s="10" t="s">
        <v>43</v>
      </c>
      <c r="J803" s="10" t="s">
        <v>143</v>
      </c>
      <c r="K803" s="10" t="s">
        <v>1697</v>
      </c>
      <c r="L803" s="10" t="s">
        <v>1120</v>
      </c>
      <c r="M803" s="12">
        <v>45365</v>
      </c>
      <c r="N803" s="10" t="s">
        <v>15</v>
      </c>
      <c r="O803" s="10" t="s">
        <v>2057</v>
      </c>
      <c r="P803" s="25" t="str">
        <f>IFERROR(
IF(OR(O803="anulado",O803="stand by"),CONCATENATE(O803,": ",H803),
IF(OR(YEAR(M803)=2022,YEAR(M803)=2023),CONCATENATE("Se activó en ",YEAR(M803)),
IF(AND(OR(O803="En proceso",O803="facturando"),AND(J803="-",M803="")),"Por revisar",
IF(M803="",IF(J803="NUEVAS",CONCATENATE("Estado: ",O803,", ",J803),
IF(L803=Meses!$A$3,"Por revisar",
IF(H803="","Sin registro","En programación Frcst."))),"En programación")))),
"Error")</f>
        <v>En programación</v>
      </c>
      <c r="Q803" s="9" t="str">
        <f t="shared" si="36"/>
        <v/>
      </c>
      <c r="R803" s="25">
        <f>IF(P803="En programación Frcst.",VLOOKUP(L803,Meses!$A$1:$H$14,3+HLOOKUP(Cronograma!J803,Meses!$D$1:$G$2,2,FALSE),FALSE),
IF(P803="En programación",M803,""))</f>
        <v>45365</v>
      </c>
      <c r="S803" s="25" t="str">
        <f t="shared" si="38"/>
        <v>2024/3</v>
      </c>
      <c r="T803" s="21">
        <f>IFERROR(
(VLOOKUP(MONTH(R803),Meses!$B$3:$C$14,2,FALSE)-DAY(R803))/VLOOKUP(MONTH(R803),Meses!$B$3:$C$14,2,FALSE)*U803,
"")</f>
        <v>1845.8709677419354</v>
      </c>
      <c r="U803" s="22">
        <f t="shared" si="37"/>
        <v>3366</v>
      </c>
    </row>
    <row r="804" spans="1:21" ht="63" hidden="1" thickBot="1" x14ac:dyDescent="0.6">
      <c r="A804" s="10" t="s">
        <v>1024</v>
      </c>
      <c r="B804" s="10" t="s">
        <v>1025</v>
      </c>
      <c r="C804" s="12"/>
      <c r="D804" s="10" t="s">
        <v>171</v>
      </c>
      <c r="E804" s="10" t="s">
        <v>291</v>
      </c>
      <c r="F804" s="10">
        <v>3703</v>
      </c>
      <c r="G804" s="10" t="s">
        <v>15</v>
      </c>
      <c r="H804" s="10" t="s">
        <v>140</v>
      </c>
      <c r="I804" s="10" t="s">
        <v>66</v>
      </c>
      <c r="J804" s="10" t="s">
        <v>19</v>
      </c>
      <c r="K804" s="10" t="s">
        <v>19</v>
      </c>
      <c r="L804" s="10" t="s">
        <v>19</v>
      </c>
      <c r="M804" s="12"/>
      <c r="N804" s="10" t="s">
        <v>20</v>
      </c>
      <c r="O804" s="10" t="s">
        <v>2056</v>
      </c>
      <c r="P804" s="25" t="str">
        <f>IFERROR(
IF(OR(O804="anulado",O804="stand by"),CONCATENATE(O804,": ",H804),
IF(OR(YEAR(M804)=2022,YEAR(M804)=2023),CONCATENATE("Se activó en ",YEAR(M804)),
IF(AND(OR(O804="En proceso",O804="facturando"),AND(J804="-",M804="")),"Por revisar",
IF(M804="",IF(J804="NUEVAS",CONCATENATE("Estado: ",O804,", ",J804),
IF(L804=Meses!$A$3,"Por revisar",
IF(H804="","Sin registro","En programación Frcst."))),"En programación")))),
"Error")</f>
        <v>anulado: Desistido</v>
      </c>
      <c r="Q804" s="9" t="str">
        <f t="shared" si="36"/>
        <v/>
      </c>
      <c r="R804" s="25" t="str">
        <f>IF(P804="En programación Frcst.",VLOOKUP(L804,Meses!$A$1:$H$14,3+HLOOKUP(Cronograma!J804,Meses!$D$1:$G$2,2,FALSE),FALSE),
IF(P804="En programación",M804,""))</f>
        <v/>
      </c>
      <c r="S804" s="25" t="str">
        <f t="shared" si="38"/>
        <v/>
      </c>
      <c r="T804" s="21" t="str">
        <f>IFERROR(
(VLOOKUP(MONTH(R804),Meses!$B$3:$C$14,2,FALSE)-DAY(R804))/VLOOKUP(MONTH(R804),Meses!$B$3:$C$14,2,FALSE)*U804,
"")</f>
        <v/>
      </c>
      <c r="U804" s="22">
        <f t="shared" si="37"/>
        <v>3703</v>
      </c>
    </row>
    <row r="805" spans="1:21" ht="32.4" hidden="1" thickBot="1" x14ac:dyDescent="0.6">
      <c r="A805" s="10" t="s">
        <v>1026</v>
      </c>
      <c r="B805" s="10" t="s">
        <v>1027</v>
      </c>
      <c r="C805" s="12">
        <v>45197</v>
      </c>
      <c r="D805" s="10" t="s">
        <v>862</v>
      </c>
      <c r="E805" s="10" t="s">
        <v>677</v>
      </c>
      <c r="F805" s="10">
        <v>8864</v>
      </c>
      <c r="G805" s="10" t="s">
        <v>15</v>
      </c>
      <c r="H805" s="10" t="s">
        <v>17</v>
      </c>
      <c r="I805" s="10" t="s">
        <v>66</v>
      </c>
      <c r="J805" s="10" t="s">
        <v>19</v>
      </c>
      <c r="K805" s="10" t="s">
        <v>19</v>
      </c>
      <c r="L805" s="10" t="s">
        <v>19</v>
      </c>
      <c r="M805" s="12"/>
      <c r="N805" s="10" t="s">
        <v>20</v>
      </c>
      <c r="O805" s="10" t="s">
        <v>2054</v>
      </c>
      <c r="P805" s="25" t="str">
        <f>IFERROR(
IF(OR(O805="anulado",O805="stand by"),CONCATENATE(O805,": ",H805),
IF(OR(YEAR(M805)=2022,YEAR(M805)=2023),CONCATENATE("Se activó en ",YEAR(M805)),
IF(AND(OR(O805="En proceso",O805="facturando"),AND(J805="-",M805="")),"Por revisar",
IF(M805="",IF(J805="NUEVAS",CONCATENATE("Estado: ",O805,", ",J805),
IF(L805=Meses!$A$3,"Por revisar",
IF(H805="","Sin registro","En programación Frcst."))),"En programación")))),
"Error")</f>
        <v>Por revisar</v>
      </c>
      <c r="Q805" s="9" t="str">
        <f t="shared" si="36"/>
        <v>programación de act. NO, estado: Facturando, Comercializador: DICELER, Etapa: Instalado y Activado</v>
      </c>
      <c r="R805" s="25" t="str">
        <f>IF(P805="En programación Frcst.",VLOOKUP(L805,Meses!$A$1:$H$14,3+HLOOKUP(Cronograma!J805,Meses!$D$1:$G$2,2,FALSE),FALSE),
IF(P805="En programación",M805,""))</f>
        <v/>
      </c>
      <c r="S805" s="25" t="str">
        <f t="shared" si="38"/>
        <v/>
      </c>
      <c r="T805" s="21" t="str">
        <f>IFERROR(
(VLOOKUP(MONTH(R805),Meses!$B$3:$C$14,2,FALSE)-DAY(R805))/VLOOKUP(MONTH(R805),Meses!$B$3:$C$14,2,FALSE)*U805,
"")</f>
        <v/>
      </c>
      <c r="U805" s="22">
        <f t="shared" si="37"/>
        <v>8864</v>
      </c>
    </row>
    <row r="806" spans="1:21" ht="47.4" hidden="1" thickBot="1" x14ac:dyDescent="0.6">
      <c r="A806" s="10" t="s">
        <v>1028</v>
      </c>
      <c r="B806" s="10" t="s">
        <v>1029</v>
      </c>
      <c r="C806" s="12">
        <v>45190</v>
      </c>
      <c r="D806" s="10" t="s">
        <v>289</v>
      </c>
      <c r="E806" s="10" t="s">
        <v>23</v>
      </c>
      <c r="F806" s="10">
        <v>9000</v>
      </c>
      <c r="G806" s="10" t="s">
        <v>15</v>
      </c>
      <c r="H806" s="10" t="s">
        <v>17</v>
      </c>
      <c r="I806" s="10" t="s">
        <v>18</v>
      </c>
      <c r="J806" s="10" t="s">
        <v>19</v>
      </c>
      <c r="K806" s="10" t="s">
        <v>19</v>
      </c>
      <c r="L806" s="10" t="s">
        <v>19</v>
      </c>
      <c r="M806" s="12"/>
      <c r="N806" s="10" t="s">
        <v>20</v>
      </c>
      <c r="O806" s="10" t="s">
        <v>2054</v>
      </c>
      <c r="P806" s="25" t="str">
        <f>IFERROR(
IF(OR(O806="anulado",O806="stand by"),CONCATENATE(O806,": ",H806),
IF(OR(YEAR(M806)=2022,YEAR(M806)=2023),CONCATENATE("Se activó en ",YEAR(M806)),
IF(AND(OR(O806="En proceso",O806="facturando"),AND(J806="-",M806="")),"Por revisar",
IF(M806="",IF(J806="NUEVAS",CONCATENATE("Estado: ",O806,", ",J806),
IF(L806=Meses!$A$3,"Por revisar",
IF(H806="","Sin registro","En programación Frcst."))),"En programación")))),
"Error")</f>
        <v>Por revisar</v>
      </c>
      <c r="Q806" s="9" t="str">
        <f t="shared" si="36"/>
        <v>programación de act. NO, estado: Facturando, Comercializador: CELSIA, Etapa: Instalado y Activado</v>
      </c>
      <c r="R806" s="25" t="str">
        <f>IF(P806="En programación Frcst.",VLOOKUP(L806,Meses!$A$1:$H$14,3+HLOOKUP(Cronograma!J806,Meses!$D$1:$G$2,2,FALSE),FALSE),
IF(P806="En programación",M806,""))</f>
        <v/>
      </c>
      <c r="S806" s="25" t="str">
        <f t="shared" si="38"/>
        <v/>
      </c>
      <c r="T806" s="21" t="str">
        <f>IFERROR(
(VLOOKUP(MONTH(R806),Meses!$B$3:$C$14,2,FALSE)-DAY(R806))/VLOOKUP(MONTH(R806),Meses!$B$3:$C$14,2,FALSE)*U806,
"")</f>
        <v/>
      </c>
      <c r="U806" s="22">
        <f t="shared" si="37"/>
        <v>9000</v>
      </c>
    </row>
    <row r="807" spans="1:21" ht="31.8" hidden="1" thickBot="1" x14ac:dyDescent="0.6">
      <c r="A807" s="10" t="s">
        <v>1030</v>
      </c>
      <c r="B807" s="10" t="s">
        <v>1031</v>
      </c>
      <c r="C807" s="12">
        <v>45351</v>
      </c>
      <c r="D807" s="10" t="s">
        <v>14</v>
      </c>
      <c r="E807" s="10" t="s">
        <v>14</v>
      </c>
      <c r="F807" s="10">
        <v>6034</v>
      </c>
      <c r="G807" s="10" t="s">
        <v>15</v>
      </c>
      <c r="H807" s="10" t="s">
        <v>2406</v>
      </c>
      <c r="I807" s="10" t="s">
        <v>18</v>
      </c>
      <c r="J807" s="10" t="s">
        <v>277</v>
      </c>
      <c r="K807" s="10" t="s">
        <v>278</v>
      </c>
      <c r="L807" s="10" t="s">
        <v>279</v>
      </c>
      <c r="M807" s="12"/>
      <c r="N807" s="10" t="s">
        <v>15</v>
      </c>
      <c r="O807" s="10" t="s">
        <v>2054</v>
      </c>
      <c r="P807" s="25" t="str">
        <f>IFERROR(
IF(OR(O807="anulado",O807="stand by"),CONCATENATE(O807,": ",H807),
IF(OR(YEAR(M807)=2022,YEAR(M807)=2023),CONCATENATE("Se activó en ",YEAR(M807)),
IF(AND(OR(O807="En proceso",O807="facturando"),AND(J807="-",M807="")),"Por revisar",
IF(M807="",IF(J807="NUEVAS",CONCATENATE("Estado: ",O807,", ",J807),
IF(L807=Meses!$A$3,"Por revisar",
IF(H807="","Sin registro","En programación Frcst."))),"En programación")))),
"Error")</f>
        <v>En programación Frcst.</v>
      </c>
      <c r="Q807" s="9" t="str">
        <f t="shared" si="36"/>
        <v/>
      </c>
      <c r="R807" s="25">
        <f>IF(P807="En programación Frcst.",VLOOKUP(L807,Meses!$A$1:$H$14,3+HLOOKUP(Cronograma!J807,Meses!$D$1:$G$2,2,FALSE),FALSE),
IF(P807="En programación",M807,""))</f>
        <v>45309</v>
      </c>
      <c r="S807" s="25" t="str">
        <f t="shared" si="38"/>
        <v>2024/1</v>
      </c>
      <c r="T807" s="21">
        <f>IFERROR(
(VLOOKUP(MONTH(R807),Meses!$B$3:$C$14,2,FALSE)-DAY(R807))/VLOOKUP(MONTH(R807),Meses!$B$3:$C$14,2,FALSE)*U807,
"")</f>
        <v>2530.3870967741937</v>
      </c>
      <c r="U807" s="22">
        <f t="shared" si="37"/>
        <v>6034</v>
      </c>
    </row>
    <row r="808" spans="1:21" ht="47.4" hidden="1" thickBot="1" x14ac:dyDescent="0.6">
      <c r="A808" s="10" t="s">
        <v>2407</v>
      </c>
      <c r="B808" s="10" t="s">
        <v>1032</v>
      </c>
      <c r="C808" s="12"/>
      <c r="D808" s="10" t="s">
        <v>14</v>
      </c>
      <c r="E808" s="10" t="s">
        <v>14</v>
      </c>
      <c r="F808" s="10">
        <v>9000</v>
      </c>
      <c r="G808" s="10" t="s">
        <v>15</v>
      </c>
      <c r="H808" s="10" t="s">
        <v>2917</v>
      </c>
      <c r="I808" s="10" t="s">
        <v>18</v>
      </c>
      <c r="J808" s="10" t="s">
        <v>277</v>
      </c>
      <c r="K808" s="10" t="s">
        <v>3327</v>
      </c>
      <c r="L808" s="10" t="s">
        <v>2292</v>
      </c>
      <c r="M808" s="12">
        <v>45400</v>
      </c>
      <c r="N808" s="10" t="s">
        <v>15</v>
      </c>
      <c r="O808" s="10" t="s">
        <v>2057</v>
      </c>
      <c r="P808" s="25" t="str">
        <f>IFERROR(
IF(OR(O808="anulado",O808="stand by"),CONCATENATE(O808,": ",H808),
IF(OR(YEAR(M808)=2022,YEAR(M808)=2023),CONCATENATE("Se activó en ",YEAR(M808)),
IF(AND(OR(O808="En proceso",O808="facturando"),AND(J808="-",M808="")),"Por revisar",
IF(M808="",IF(J808="NUEVAS",CONCATENATE("Estado: ",O808,", ",J808),
IF(L808=Meses!$A$3,"Por revisar",
IF(H808="","Sin registro","En programación Frcst."))),"En programación")))),
"Error")</f>
        <v>En programación</v>
      </c>
      <c r="Q808" s="9" t="str">
        <f t="shared" si="36"/>
        <v/>
      </c>
      <c r="R808" s="25">
        <f>IF(P808="En programación Frcst.",VLOOKUP(L808,Meses!$A$1:$H$14,3+HLOOKUP(Cronograma!J808,Meses!$D$1:$G$2,2,FALSE),FALSE),
IF(P808="En programación",M808,""))</f>
        <v>45400</v>
      </c>
      <c r="S808" s="25" t="str">
        <f t="shared" si="38"/>
        <v>2024/4</v>
      </c>
      <c r="T808" s="21">
        <f>IFERROR(
(VLOOKUP(MONTH(R808),Meses!$B$3:$C$14,2,FALSE)-DAY(R808))/VLOOKUP(MONTH(R808),Meses!$B$3:$C$14,2,FALSE)*U808,
"")</f>
        <v>3600</v>
      </c>
      <c r="U808" s="22">
        <f t="shared" si="37"/>
        <v>9000</v>
      </c>
    </row>
    <row r="809" spans="1:21" ht="63" hidden="1" thickBot="1" x14ac:dyDescent="0.6">
      <c r="A809" s="10" t="s">
        <v>2408</v>
      </c>
      <c r="B809" s="10" t="s">
        <v>1033</v>
      </c>
      <c r="C809" s="12"/>
      <c r="D809" s="10" t="s">
        <v>291</v>
      </c>
      <c r="E809" s="10" t="s">
        <v>291</v>
      </c>
      <c r="F809" s="10">
        <v>5200</v>
      </c>
      <c r="G809" s="10" t="s">
        <v>15</v>
      </c>
      <c r="H809" s="10" t="s">
        <v>2916</v>
      </c>
      <c r="I809" s="10" t="s">
        <v>43</v>
      </c>
      <c r="J809" s="10" t="s">
        <v>143</v>
      </c>
      <c r="K809" s="10" t="s">
        <v>2895</v>
      </c>
      <c r="L809" s="10" t="s">
        <v>2292</v>
      </c>
      <c r="M809" s="12">
        <v>45400</v>
      </c>
      <c r="N809" s="10" t="s">
        <v>15</v>
      </c>
      <c r="O809" s="10" t="s">
        <v>2057</v>
      </c>
      <c r="P809" s="25" t="str">
        <f>IFERROR(
IF(OR(O809="anulado",O809="stand by"),CONCATENATE(O809,": ",H809),
IF(OR(YEAR(M809)=2022,YEAR(M809)=2023),CONCATENATE("Se activó en ",YEAR(M809)),
IF(AND(OR(O809="En proceso",O809="facturando"),AND(J809="-",M809="")),"Por revisar",
IF(M809="",IF(J809="NUEVAS",CONCATENATE("Estado: ",O809,", ",J809),
IF(L809=Meses!$A$3,"Por revisar",
IF(H809="","Sin registro","En programación Frcst."))),"En programación")))),
"Error")</f>
        <v>En programación</v>
      </c>
      <c r="Q809" s="9" t="str">
        <f t="shared" si="36"/>
        <v/>
      </c>
      <c r="R809" s="25">
        <f>IF(P809="En programación Frcst.",VLOOKUP(L809,Meses!$A$1:$H$14,3+HLOOKUP(Cronograma!J809,Meses!$D$1:$G$2,2,FALSE),FALSE),
IF(P809="En programación",M809,""))</f>
        <v>45400</v>
      </c>
      <c r="S809" s="25" t="str">
        <f t="shared" si="38"/>
        <v>2024/4</v>
      </c>
      <c r="T809" s="21">
        <f>IFERROR(
(VLOOKUP(MONTH(R809),Meses!$B$3:$C$14,2,FALSE)-DAY(R809))/VLOOKUP(MONTH(R809),Meses!$B$3:$C$14,2,FALSE)*U809,
"")</f>
        <v>2080</v>
      </c>
      <c r="U809" s="22">
        <f t="shared" si="37"/>
        <v>5200</v>
      </c>
    </row>
    <row r="810" spans="1:21" ht="31.8" hidden="1" thickBot="1" x14ac:dyDescent="0.6">
      <c r="A810" s="10" t="s">
        <v>1034</v>
      </c>
      <c r="B810" s="10" t="s">
        <v>1035</v>
      </c>
      <c r="C810" s="12">
        <v>45302</v>
      </c>
      <c r="D810" s="10" t="s">
        <v>14</v>
      </c>
      <c r="E810" s="10" t="s">
        <v>14</v>
      </c>
      <c r="F810" s="10">
        <v>8857</v>
      </c>
      <c r="G810" s="10" t="s">
        <v>15</v>
      </c>
      <c r="H810" s="10" t="s">
        <v>2406</v>
      </c>
      <c r="I810" s="10" t="s">
        <v>18</v>
      </c>
      <c r="J810" s="10" t="s">
        <v>143</v>
      </c>
      <c r="K810" s="10" t="s">
        <v>2903</v>
      </c>
      <c r="L810" s="10" t="s">
        <v>2297</v>
      </c>
      <c r="M810" s="12"/>
      <c r="N810" s="10" t="s">
        <v>20</v>
      </c>
      <c r="O810" s="10" t="s">
        <v>2054</v>
      </c>
      <c r="P810" s="25" t="str">
        <f>IFERROR(
IF(OR(O810="anulado",O810="stand by"),CONCATENATE(O810,": ",H810),
IF(OR(YEAR(M810)=2022,YEAR(M810)=2023),CONCATENATE("Se activó en ",YEAR(M810)),
IF(AND(OR(O810="En proceso",O810="facturando"),AND(J810="-",M810="")),"Por revisar",
IF(M810="",IF(J810="NUEVAS",CONCATENATE("Estado: ",O810,", ",J810),
IF(L810=Meses!$A$3,"Por revisar",
IF(H810="","Sin registro","En programación Frcst."))),"En programación")))),
"Error")</f>
        <v>En programación Frcst.</v>
      </c>
      <c r="Q810" s="9" t="str">
        <f t="shared" si="36"/>
        <v/>
      </c>
      <c r="R810" s="25">
        <f>IF(P810="En programación Frcst.",VLOOKUP(L810,Meses!$A$1:$H$14,3+HLOOKUP(Cronograma!J810,Meses!$D$1:$G$2,2,FALSE),FALSE),
IF(P810="En programación",M810,""))</f>
        <v>0</v>
      </c>
      <c r="S810" s="25" t="str">
        <f t="shared" si="38"/>
        <v>1900/1</v>
      </c>
      <c r="T810" s="21">
        <f>IFERROR(
(VLOOKUP(MONTH(R810),Meses!$B$3:$C$14,2,FALSE)-DAY(R810))/VLOOKUP(MONTH(R810),Meses!$B$3:$C$14,2,FALSE)*U810,
"")</f>
        <v>8857</v>
      </c>
      <c r="U810" s="22">
        <f t="shared" si="37"/>
        <v>8857</v>
      </c>
    </row>
    <row r="811" spans="1:21" ht="31.8" hidden="1" thickBot="1" x14ac:dyDescent="0.6">
      <c r="A811" s="10" t="s">
        <v>1034</v>
      </c>
      <c r="B811" s="10" t="s">
        <v>1037</v>
      </c>
      <c r="C811" s="12">
        <v>45302</v>
      </c>
      <c r="D811" s="10" t="s">
        <v>14</v>
      </c>
      <c r="E811" s="10" t="s">
        <v>14</v>
      </c>
      <c r="F811" s="10">
        <v>3880</v>
      </c>
      <c r="G811" s="10" t="s">
        <v>15</v>
      </c>
      <c r="H811" s="10" t="s">
        <v>17</v>
      </c>
      <c r="I811" s="10" t="s">
        <v>18</v>
      </c>
      <c r="J811" s="10" t="s">
        <v>143</v>
      </c>
      <c r="K811" s="10" t="s">
        <v>538</v>
      </c>
      <c r="L811" s="10" t="s">
        <v>279</v>
      </c>
      <c r="M811" s="12"/>
      <c r="N811" s="10" t="s">
        <v>15</v>
      </c>
      <c r="O811" s="10" t="s">
        <v>2054</v>
      </c>
      <c r="P811" s="25" t="str">
        <f>IFERROR(
IF(OR(O811="anulado",O811="stand by"),CONCATENATE(O811,": ",H811),
IF(OR(YEAR(M811)=2022,YEAR(M811)=2023),CONCATENATE("Se activó en ",YEAR(M811)),
IF(AND(OR(O811="En proceso",O811="facturando"),AND(J811="-",M811="")),"Por revisar",
IF(M811="",IF(J811="NUEVAS",CONCATENATE("Estado: ",O811,", ",J811),
IF(L811=Meses!$A$3,"Por revisar",
IF(H811="","Sin registro","En programación Frcst."))),"En programación")))),
"Error")</f>
        <v>En programación Frcst.</v>
      </c>
      <c r="Q811" s="9" t="str">
        <f t="shared" si="36"/>
        <v/>
      </c>
      <c r="R811" s="25">
        <f>IF(P811="En programación Frcst.",VLOOKUP(L811,Meses!$A$1:$H$14,3+HLOOKUP(Cronograma!J811,Meses!$D$1:$G$2,2,FALSE),FALSE),
IF(P811="En programación",M811,""))</f>
        <v>45302</v>
      </c>
      <c r="S811" s="25" t="str">
        <f t="shared" si="38"/>
        <v>2024/1</v>
      </c>
      <c r="T811" s="21">
        <f>IFERROR(
(VLOOKUP(MONTH(R811),Meses!$B$3:$C$14,2,FALSE)-DAY(R811))/VLOOKUP(MONTH(R811),Meses!$B$3:$C$14,2,FALSE)*U811,
"")</f>
        <v>2503.2258064516127</v>
      </c>
      <c r="U811" s="22">
        <f t="shared" si="37"/>
        <v>3880</v>
      </c>
    </row>
    <row r="812" spans="1:21" ht="31.8" hidden="1" thickBot="1" x14ac:dyDescent="0.6">
      <c r="A812" s="10" t="s">
        <v>1034</v>
      </c>
      <c r="B812" s="10" t="s">
        <v>1038</v>
      </c>
      <c r="C812" s="12"/>
      <c r="D812" s="10" t="s">
        <v>14</v>
      </c>
      <c r="E812" s="10" t="s">
        <v>14</v>
      </c>
      <c r="F812" s="10">
        <v>4295</v>
      </c>
      <c r="G812" s="10" t="s">
        <v>15</v>
      </c>
      <c r="H812" s="10" t="s">
        <v>140</v>
      </c>
      <c r="I812" s="10" t="s">
        <v>18</v>
      </c>
      <c r="J812" s="10" t="s">
        <v>19</v>
      </c>
      <c r="K812" s="10" t="s">
        <v>19</v>
      </c>
      <c r="L812" s="10" t="s">
        <v>19</v>
      </c>
      <c r="M812" s="12"/>
      <c r="N812" s="10" t="s">
        <v>20</v>
      </c>
      <c r="O812" s="10" t="s">
        <v>2056</v>
      </c>
      <c r="P812" s="25" t="str">
        <f>IFERROR(
IF(OR(O812="anulado",O812="stand by"),CONCATENATE(O812,": ",H812),
IF(OR(YEAR(M812)=2022,YEAR(M812)=2023),CONCATENATE("Se activó en ",YEAR(M812)),
IF(AND(OR(O812="En proceso",O812="facturando"),AND(J812="-",M812="")),"Por revisar",
IF(M812="",IF(J812="NUEVAS",CONCATENATE("Estado: ",O812,", ",J812),
IF(L812=Meses!$A$3,"Por revisar",
IF(H812="","Sin registro","En programación Frcst."))),"En programación")))),
"Error")</f>
        <v>anulado: Desistido</v>
      </c>
      <c r="Q812" s="9" t="str">
        <f t="shared" si="36"/>
        <v/>
      </c>
      <c r="R812" s="25" t="str">
        <f>IF(P812="En programación Frcst.",VLOOKUP(L812,Meses!$A$1:$H$14,3+HLOOKUP(Cronograma!J812,Meses!$D$1:$G$2,2,FALSE),FALSE),
IF(P812="En programación",M812,""))</f>
        <v/>
      </c>
      <c r="S812" s="25" t="str">
        <f t="shared" si="38"/>
        <v/>
      </c>
      <c r="T812" s="21" t="str">
        <f>IFERROR(
(VLOOKUP(MONTH(R812),Meses!$B$3:$C$14,2,FALSE)-DAY(R812))/VLOOKUP(MONTH(R812),Meses!$B$3:$C$14,2,FALSE)*U812,
"")</f>
        <v/>
      </c>
      <c r="U812" s="22">
        <f t="shared" si="37"/>
        <v>4295</v>
      </c>
    </row>
    <row r="813" spans="1:21" ht="31.8" hidden="1" thickBot="1" x14ac:dyDescent="0.6">
      <c r="A813" s="10" t="s">
        <v>1034</v>
      </c>
      <c r="B813" s="10" t="s">
        <v>1036</v>
      </c>
      <c r="C813" s="12"/>
      <c r="D813" s="10" t="s">
        <v>14</v>
      </c>
      <c r="E813" s="10" t="s">
        <v>14</v>
      </c>
      <c r="F813" s="10">
        <v>20000</v>
      </c>
      <c r="G813" s="10" t="s">
        <v>15</v>
      </c>
      <c r="H813" s="10" t="s">
        <v>2917</v>
      </c>
      <c r="I813" s="10" t="s">
        <v>18</v>
      </c>
      <c r="J813" s="10" t="s">
        <v>277</v>
      </c>
      <c r="K813" s="10" t="s">
        <v>3327</v>
      </c>
      <c r="L813" s="10" t="s">
        <v>2292</v>
      </c>
      <c r="M813" s="12">
        <v>45400</v>
      </c>
      <c r="N813" s="10" t="s">
        <v>15</v>
      </c>
      <c r="O813" s="10" t="s">
        <v>2057</v>
      </c>
      <c r="P813" s="25" t="str">
        <f>IFERROR(
IF(OR(O813="anulado",O813="stand by"),CONCATENATE(O813,": ",H813),
IF(OR(YEAR(M813)=2022,YEAR(M813)=2023),CONCATENATE("Se activó en ",YEAR(M813)),
IF(AND(OR(O813="En proceso",O813="facturando"),AND(J813="-",M813="")),"Por revisar",
IF(M813="",IF(J813="NUEVAS",CONCATENATE("Estado: ",O813,", ",J813),
IF(L813=Meses!$A$3,"Por revisar",
IF(H813="","Sin registro","En programación Frcst."))),"En programación")))),
"Error")</f>
        <v>En programación</v>
      </c>
      <c r="Q813" s="9" t="str">
        <f t="shared" si="36"/>
        <v/>
      </c>
      <c r="R813" s="25">
        <f>IF(P813="En programación Frcst.",VLOOKUP(L813,Meses!$A$1:$H$14,3+HLOOKUP(Cronograma!J813,Meses!$D$1:$G$2,2,FALSE),FALSE),
IF(P813="En programación",M813,""))</f>
        <v>45400</v>
      </c>
      <c r="S813" s="25" t="str">
        <f t="shared" si="38"/>
        <v>2024/4</v>
      </c>
      <c r="T813" s="21">
        <f>IFERROR(
(VLOOKUP(MONTH(R813),Meses!$B$3:$C$14,2,FALSE)-DAY(R813))/VLOOKUP(MONTH(R813),Meses!$B$3:$C$14,2,FALSE)*U813,
"")</f>
        <v>8000</v>
      </c>
      <c r="U813" s="22">
        <f t="shared" si="37"/>
        <v>20000</v>
      </c>
    </row>
    <row r="814" spans="1:21" ht="31.8" hidden="1" thickBot="1" x14ac:dyDescent="0.6">
      <c r="A814" s="10" t="s">
        <v>343</v>
      </c>
      <c r="B814" s="10" t="s">
        <v>344</v>
      </c>
      <c r="C814" s="12">
        <v>45309</v>
      </c>
      <c r="D814" s="10" t="s">
        <v>14</v>
      </c>
      <c r="E814" s="10" t="s">
        <v>14</v>
      </c>
      <c r="F814" s="10">
        <v>7447</v>
      </c>
      <c r="G814" s="10" t="s">
        <v>15</v>
      </c>
      <c r="H814" s="10" t="s">
        <v>2406</v>
      </c>
      <c r="I814" s="10" t="s">
        <v>18</v>
      </c>
      <c r="J814" s="10" t="s">
        <v>143</v>
      </c>
      <c r="K814" s="10" t="s">
        <v>2903</v>
      </c>
      <c r="L814" s="10" t="s">
        <v>2297</v>
      </c>
      <c r="M814" s="12"/>
      <c r="N814" s="10" t="s">
        <v>20</v>
      </c>
      <c r="O814" s="10" t="s">
        <v>2054</v>
      </c>
      <c r="P814" s="25" t="str">
        <f>IFERROR(
IF(OR(O814="anulado",O814="stand by"),CONCATENATE(O814,": ",H814),
IF(OR(YEAR(M814)=2022,YEAR(M814)=2023),CONCATENATE("Se activó en ",YEAR(M814)),
IF(AND(OR(O814="En proceso",O814="facturando"),AND(J814="-",M814="")),"Por revisar",
IF(M814="",IF(J814="NUEVAS",CONCATENATE("Estado: ",O814,", ",J814),
IF(L814=Meses!$A$3,"Por revisar",
IF(H814="","Sin registro","En programación Frcst."))),"En programación")))),
"Error")</f>
        <v>En programación Frcst.</v>
      </c>
      <c r="Q814" s="9" t="str">
        <f t="shared" si="36"/>
        <v/>
      </c>
      <c r="R814" s="25">
        <f>IF(P814="En programación Frcst.",VLOOKUP(L814,Meses!$A$1:$H$14,3+HLOOKUP(Cronograma!J814,Meses!$D$1:$G$2,2,FALSE),FALSE),
IF(P814="En programación",M814,""))</f>
        <v>0</v>
      </c>
      <c r="S814" s="25" t="str">
        <f t="shared" si="38"/>
        <v>1900/1</v>
      </c>
      <c r="T814" s="21">
        <f>IFERROR(
(VLOOKUP(MONTH(R814),Meses!$B$3:$C$14,2,FALSE)-DAY(R814))/VLOOKUP(MONTH(R814),Meses!$B$3:$C$14,2,FALSE)*U814,
"")</f>
        <v>7447</v>
      </c>
      <c r="U814" s="22">
        <f t="shared" si="37"/>
        <v>7447</v>
      </c>
    </row>
    <row r="815" spans="1:21" ht="94.2" hidden="1" thickBot="1" x14ac:dyDescent="0.6">
      <c r="A815" s="10" t="s">
        <v>1039</v>
      </c>
      <c r="B815" s="10" t="s">
        <v>1040</v>
      </c>
      <c r="C815" s="12"/>
      <c r="D815" s="10" t="s">
        <v>298</v>
      </c>
      <c r="E815" s="10" t="s">
        <v>298</v>
      </c>
      <c r="F815" s="10">
        <v>7070</v>
      </c>
      <c r="G815" s="10" t="s">
        <v>15</v>
      </c>
      <c r="H815" s="10" t="s">
        <v>140</v>
      </c>
      <c r="I815" s="10" t="s">
        <v>43</v>
      </c>
      <c r="J815" s="10" t="s">
        <v>143</v>
      </c>
      <c r="K815" s="10" t="s">
        <v>2895</v>
      </c>
      <c r="L815" s="10" t="s">
        <v>2292</v>
      </c>
      <c r="M815" s="12">
        <v>45400</v>
      </c>
      <c r="N815" s="10" t="s">
        <v>15</v>
      </c>
      <c r="O815" s="10" t="s">
        <v>2056</v>
      </c>
      <c r="P815" s="25" t="str">
        <f>IFERROR(
IF(OR(O815="anulado",O815="stand by"),CONCATENATE(O815,": ",H815),
IF(OR(YEAR(M815)=2022,YEAR(M815)=2023),CONCATENATE("Se activó en ",YEAR(M815)),
IF(AND(OR(O815="En proceso",O815="facturando"),AND(J815="-",M815="")),"Por revisar",
IF(M815="",IF(J815="NUEVAS",CONCATENATE("Estado: ",O815,", ",J815),
IF(L815=Meses!$A$3,"Por revisar",
IF(H815="","Sin registro","En programación Frcst."))),"En programación")))),
"Error")</f>
        <v>anulado: Desistido</v>
      </c>
      <c r="Q815" s="9" t="str">
        <f t="shared" si="36"/>
        <v/>
      </c>
      <c r="R815" s="25" t="str">
        <f>IF(P815="En programación Frcst.",VLOOKUP(L815,Meses!$A$1:$H$14,3+HLOOKUP(Cronograma!J815,Meses!$D$1:$G$2,2,FALSE),FALSE),
IF(P815="En programación",M815,""))</f>
        <v/>
      </c>
      <c r="S815" s="25" t="str">
        <f t="shared" si="38"/>
        <v/>
      </c>
      <c r="T815" s="21" t="str">
        <f>IFERROR(
(VLOOKUP(MONTH(R815),Meses!$B$3:$C$14,2,FALSE)-DAY(R815))/VLOOKUP(MONTH(R815),Meses!$B$3:$C$14,2,FALSE)*U815,
"")</f>
        <v/>
      </c>
      <c r="U815" s="22">
        <f t="shared" si="37"/>
        <v>7070</v>
      </c>
    </row>
    <row r="816" spans="1:21" ht="31.8" hidden="1" thickBot="1" x14ac:dyDescent="0.6">
      <c r="A816" s="10" t="s">
        <v>1041</v>
      </c>
      <c r="B816" s="10" t="s">
        <v>1042</v>
      </c>
      <c r="C816" s="12"/>
      <c r="D816" s="10" t="s">
        <v>44</v>
      </c>
      <c r="E816" s="10" t="s">
        <v>44</v>
      </c>
      <c r="F816" s="10">
        <v>1133</v>
      </c>
      <c r="G816" s="10" t="s">
        <v>15</v>
      </c>
      <c r="H816" s="10" t="s">
        <v>2916</v>
      </c>
      <c r="I816" s="10" t="s">
        <v>43</v>
      </c>
      <c r="J816" s="10" t="s">
        <v>143</v>
      </c>
      <c r="K816" s="10" t="s">
        <v>2895</v>
      </c>
      <c r="L816" s="10" t="s">
        <v>2292</v>
      </c>
      <c r="M816" s="12">
        <v>45400</v>
      </c>
      <c r="N816" s="10" t="s">
        <v>15</v>
      </c>
      <c r="O816" s="10" t="s">
        <v>2057</v>
      </c>
      <c r="P816" s="25" t="str">
        <f>IFERROR(
IF(OR(O816="anulado",O816="stand by"),CONCATENATE(O816,": ",H816),
IF(OR(YEAR(M816)=2022,YEAR(M816)=2023),CONCATENATE("Se activó en ",YEAR(M816)),
IF(AND(OR(O816="En proceso",O816="facturando"),AND(J816="-",M816="")),"Por revisar",
IF(M816="",IF(J816="NUEVAS",CONCATENATE("Estado: ",O816,", ",J816),
IF(L816=Meses!$A$3,"Por revisar",
IF(H816="","Sin registro","En programación Frcst."))),"En programación")))),
"Error")</f>
        <v>En programación</v>
      </c>
      <c r="Q816" s="9" t="str">
        <f t="shared" si="36"/>
        <v/>
      </c>
      <c r="R816" s="25">
        <f>IF(P816="En programación Frcst.",VLOOKUP(L816,Meses!$A$1:$H$14,3+HLOOKUP(Cronograma!J816,Meses!$D$1:$G$2,2,FALSE),FALSE),
IF(P816="En programación",M816,""))</f>
        <v>45400</v>
      </c>
      <c r="S816" s="25" t="str">
        <f t="shared" si="38"/>
        <v>2024/4</v>
      </c>
      <c r="T816" s="21">
        <f>IFERROR(
(VLOOKUP(MONTH(R816),Meses!$B$3:$C$14,2,FALSE)-DAY(R816))/VLOOKUP(MONTH(R816),Meses!$B$3:$C$14,2,FALSE)*U816,
"")</f>
        <v>453.20000000000005</v>
      </c>
      <c r="U816" s="22">
        <f t="shared" si="37"/>
        <v>1133</v>
      </c>
    </row>
    <row r="817" spans="1:21" ht="32.4" hidden="1" thickBot="1" x14ac:dyDescent="0.6">
      <c r="A817" s="10" t="s">
        <v>1043</v>
      </c>
      <c r="B817" s="10" t="s">
        <v>1044</v>
      </c>
      <c r="C817" s="12">
        <v>45170</v>
      </c>
      <c r="D817" s="10" t="s">
        <v>862</v>
      </c>
      <c r="E817" s="10" t="s">
        <v>14</v>
      </c>
      <c r="F817" s="10">
        <v>27000</v>
      </c>
      <c r="G817" s="10" t="s">
        <v>15</v>
      </c>
      <c r="H817" s="10" t="s">
        <v>17</v>
      </c>
      <c r="I817" s="10" t="s">
        <v>66</v>
      </c>
      <c r="J817" s="10" t="s">
        <v>19</v>
      </c>
      <c r="K817" s="10" t="s">
        <v>19</v>
      </c>
      <c r="L817" s="10" t="s">
        <v>19</v>
      </c>
      <c r="M817" s="12"/>
      <c r="N817" s="10" t="s">
        <v>20</v>
      </c>
      <c r="O817" s="10" t="s">
        <v>2054</v>
      </c>
      <c r="P817" s="25" t="str">
        <f>IFERROR(
IF(OR(O817="anulado",O817="stand by"),CONCATENATE(O817,": ",H817),
IF(OR(YEAR(M817)=2022,YEAR(M817)=2023),CONCATENATE("Se activó en ",YEAR(M817)),
IF(AND(OR(O817="En proceso",O817="facturando"),AND(J817="-",M817="")),"Por revisar",
IF(M817="",IF(J817="NUEVAS",CONCATENATE("Estado: ",O817,", ",J817),
IF(L817=Meses!$A$3,"Por revisar",
IF(H817="","Sin registro","En programación Frcst."))),"En programación")))),
"Error")</f>
        <v>Por revisar</v>
      </c>
      <c r="Q817" s="9" t="str">
        <f t="shared" si="36"/>
        <v>programación de act. NO, estado: Facturando, Comercializador: DICELER, Etapa: Instalado y Activado</v>
      </c>
      <c r="R817" s="25" t="str">
        <f>IF(P817="En programación Frcst.",VLOOKUP(L817,Meses!$A$1:$H$14,3+HLOOKUP(Cronograma!J817,Meses!$D$1:$G$2,2,FALSE),FALSE),
IF(P817="En programación",M817,""))</f>
        <v/>
      </c>
      <c r="S817" s="25" t="str">
        <f t="shared" si="38"/>
        <v/>
      </c>
      <c r="T817" s="21" t="str">
        <f>IFERROR(
(VLOOKUP(MONTH(R817),Meses!$B$3:$C$14,2,FALSE)-DAY(R817))/VLOOKUP(MONTH(R817),Meses!$B$3:$C$14,2,FALSE)*U817,
"")</f>
        <v/>
      </c>
      <c r="U817" s="22">
        <f t="shared" si="37"/>
        <v>27000</v>
      </c>
    </row>
    <row r="818" spans="1:21" ht="32.4" hidden="1" thickBot="1" x14ac:dyDescent="0.6">
      <c r="A818" s="10" t="s">
        <v>1043</v>
      </c>
      <c r="B818" s="10" t="s">
        <v>1045</v>
      </c>
      <c r="C818" s="12">
        <v>45170</v>
      </c>
      <c r="D818" s="10" t="s">
        <v>862</v>
      </c>
      <c r="E818" s="10" t="s">
        <v>14</v>
      </c>
      <c r="F818" s="10">
        <v>3000</v>
      </c>
      <c r="G818" s="10" t="s">
        <v>15</v>
      </c>
      <c r="H818" s="10" t="s">
        <v>17</v>
      </c>
      <c r="I818" s="10" t="s">
        <v>66</v>
      </c>
      <c r="J818" s="10" t="s">
        <v>19</v>
      </c>
      <c r="K818" s="10" t="s">
        <v>19</v>
      </c>
      <c r="L818" s="10" t="s">
        <v>19</v>
      </c>
      <c r="M818" s="12"/>
      <c r="N818" s="10" t="s">
        <v>20</v>
      </c>
      <c r="O818" s="10" t="s">
        <v>2054</v>
      </c>
      <c r="P818" s="25" t="str">
        <f>IFERROR(
IF(OR(O818="anulado",O818="stand by"),CONCATENATE(O818,": ",H818),
IF(OR(YEAR(M818)=2022,YEAR(M818)=2023),CONCATENATE("Se activó en ",YEAR(M818)),
IF(AND(OR(O818="En proceso",O818="facturando"),AND(J818="-",M818="")),"Por revisar",
IF(M818="",IF(J818="NUEVAS",CONCATENATE("Estado: ",O818,", ",J818),
IF(L818=Meses!$A$3,"Por revisar",
IF(H818="","Sin registro","En programación Frcst."))),"En programación")))),
"Error")</f>
        <v>Por revisar</v>
      </c>
      <c r="Q818" s="9" t="str">
        <f t="shared" si="36"/>
        <v>programación de act. NO, estado: Facturando, Comercializador: DICELER, Etapa: Instalado y Activado</v>
      </c>
      <c r="R818" s="25" t="str">
        <f>IF(P818="En programación Frcst.",VLOOKUP(L818,Meses!$A$1:$H$14,3+HLOOKUP(Cronograma!J818,Meses!$D$1:$G$2,2,FALSE),FALSE),
IF(P818="En programación",M818,""))</f>
        <v/>
      </c>
      <c r="S818" s="25" t="str">
        <f t="shared" si="38"/>
        <v/>
      </c>
      <c r="T818" s="21" t="str">
        <f>IFERROR(
(VLOOKUP(MONTH(R818),Meses!$B$3:$C$14,2,FALSE)-DAY(R818))/VLOOKUP(MONTH(R818),Meses!$B$3:$C$14,2,FALSE)*U818,
"")</f>
        <v/>
      </c>
      <c r="U818" s="22">
        <f t="shared" si="37"/>
        <v>3000</v>
      </c>
    </row>
    <row r="819" spans="1:21" ht="32.4" hidden="1" thickBot="1" x14ac:dyDescent="0.6">
      <c r="A819" s="10" t="s">
        <v>1043</v>
      </c>
      <c r="B819" s="10" t="s">
        <v>1046</v>
      </c>
      <c r="C819" s="12">
        <v>45170</v>
      </c>
      <c r="D819" s="10" t="s">
        <v>862</v>
      </c>
      <c r="E819" s="10" t="s">
        <v>14</v>
      </c>
      <c r="F819" s="10">
        <v>9000</v>
      </c>
      <c r="G819" s="10" t="s">
        <v>15</v>
      </c>
      <c r="H819" s="10" t="s">
        <v>17</v>
      </c>
      <c r="I819" s="10" t="s">
        <v>66</v>
      </c>
      <c r="J819" s="10" t="s">
        <v>19</v>
      </c>
      <c r="K819" s="10" t="s">
        <v>19</v>
      </c>
      <c r="L819" s="10" t="s">
        <v>19</v>
      </c>
      <c r="M819" s="12"/>
      <c r="N819" s="10" t="s">
        <v>20</v>
      </c>
      <c r="O819" s="10" t="s">
        <v>2054</v>
      </c>
      <c r="P819" s="25" t="str">
        <f>IFERROR(
IF(OR(O819="anulado",O819="stand by"),CONCATENATE(O819,": ",H819),
IF(OR(YEAR(M819)=2022,YEAR(M819)=2023),CONCATENATE("Se activó en ",YEAR(M819)),
IF(AND(OR(O819="En proceso",O819="facturando"),AND(J819="-",M819="")),"Por revisar",
IF(M819="",IF(J819="NUEVAS",CONCATENATE("Estado: ",O819,", ",J819),
IF(L819=Meses!$A$3,"Por revisar",
IF(H819="","Sin registro","En programación Frcst."))),"En programación")))),
"Error")</f>
        <v>Por revisar</v>
      </c>
      <c r="Q819" s="9" t="str">
        <f t="shared" si="36"/>
        <v>programación de act. NO, estado: Facturando, Comercializador: DICELER, Etapa: Instalado y Activado</v>
      </c>
      <c r="R819" s="25" t="str">
        <f>IF(P819="En programación Frcst.",VLOOKUP(L819,Meses!$A$1:$H$14,3+HLOOKUP(Cronograma!J819,Meses!$D$1:$G$2,2,FALSE),FALSE),
IF(P819="En programación",M819,""))</f>
        <v/>
      </c>
      <c r="S819" s="25" t="str">
        <f t="shared" si="38"/>
        <v/>
      </c>
      <c r="T819" s="21" t="str">
        <f>IFERROR(
(VLOOKUP(MONTH(R819),Meses!$B$3:$C$14,2,FALSE)-DAY(R819))/VLOOKUP(MONTH(R819),Meses!$B$3:$C$14,2,FALSE)*U819,
"")</f>
        <v/>
      </c>
      <c r="U819" s="22">
        <f t="shared" si="37"/>
        <v>9000</v>
      </c>
    </row>
    <row r="820" spans="1:21" ht="32.4" hidden="1" thickBot="1" x14ac:dyDescent="0.6">
      <c r="A820" s="10" t="s">
        <v>1043</v>
      </c>
      <c r="B820" s="10" t="s">
        <v>1047</v>
      </c>
      <c r="C820" s="12">
        <v>45170</v>
      </c>
      <c r="D820" s="10" t="s">
        <v>862</v>
      </c>
      <c r="E820" s="10" t="s">
        <v>14</v>
      </c>
      <c r="F820" s="10">
        <v>7000</v>
      </c>
      <c r="G820" s="10" t="s">
        <v>15</v>
      </c>
      <c r="H820" s="10" t="s">
        <v>17</v>
      </c>
      <c r="I820" s="10" t="s">
        <v>66</v>
      </c>
      <c r="J820" s="10" t="s">
        <v>19</v>
      </c>
      <c r="K820" s="10" t="s">
        <v>19</v>
      </c>
      <c r="L820" s="10" t="s">
        <v>19</v>
      </c>
      <c r="M820" s="12"/>
      <c r="N820" s="10" t="s">
        <v>20</v>
      </c>
      <c r="O820" s="10" t="s">
        <v>2054</v>
      </c>
      <c r="P820" s="25" t="str">
        <f>IFERROR(
IF(OR(O820="anulado",O820="stand by"),CONCATENATE(O820,": ",H820),
IF(OR(YEAR(M820)=2022,YEAR(M820)=2023),CONCATENATE("Se activó en ",YEAR(M820)),
IF(AND(OR(O820="En proceso",O820="facturando"),AND(J820="-",M820="")),"Por revisar",
IF(M820="",IF(J820="NUEVAS",CONCATENATE("Estado: ",O820,", ",J820),
IF(L820=Meses!$A$3,"Por revisar",
IF(H820="","Sin registro","En programación Frcst."))),"En programación")))),
"Error")</f>
        <v>Por revisar</v>
      </c>
      <c r="Q820" s="9" t="str">
        <f t="shared" si="36"/>
        <v>programación de act. NO, estado: Facturando, Comercializador: DICELER, Etapa: Instalado y Activado</v>
      </c>
      <c r="R820" s="25" t="str">
        <f>IF(P820="En programación Frcst.",VLOOKUP(L820,Meses!$A$1:$H$14,3+HLOOKUP(Cronograma!J820,Meses!$D$1:$G$2,2,FALSE),FALSE),
IF(P820="En programación",M820,""))</f>
        <v/>
      </c>
      <c r="S820" s="25" t="str">
        <f t="shared" si="38"/>
        <v/>
      </c>
      <c r="T820" s="21" t="str">
        <f>IFERROR(
(VLOOKUP(MONTH(R820),Meses!$B$3:$C$14,2,FALSE)-DAY(R820))/VLOOKUP(MONTH(R820),Meses!$B$3:$C$14,2,FALSE)*U820,
"")</f>
        <v/>
      </c>
      <c r="U820" s="22">
        <f t="shared" si="37"/>
        <v>7000</v>
      </c>
    </row>
    <row r="821" spans="1:21" ht="47.4" hidden="1" thickBot="1" x14ac:dyDescent="0.6">
      <c r="A821" s="10" t="s">
        <v>1048</v>
      </c>
      <c r="B821" s="10" t="s">
        <v>1049</v>
      </c>
      <c r="C821" s="12"/>
      <c r="D821" s="10" t="s">
        <v>171</v>
      </c>
      <c r="E821" s="10" t="s">
        <v>74</v>
      </c>
      <c r="F821" s="10">
        <v>16373</v>
      </c>
      <c r="G821" s="10" t="s">
        <v>15</v>
      </c>
      <c r="H821" s="10" t="s">
        <v>1050</v>
      </c>
      <c r="I821" s="10" t="s">
        <v>66</v>
      </c>
      <c r="J821" s="10" t="s">
        <v>292</v>
      </c>
      <c r="K821" s="10" t="s">
        <v>1697</v>
      </c>
      <c r="L821" s="10" t="s">
        <v>1120</v>
      </c>
      <c r="M821" s="12">
        <v>45379</v>
      </c>
      <c r="N821" s="10" t="s">
        <v>15</v>
      </c>
      <c r="O821" s="10" t="s">
        <v>2057</v>
      </c>
      <c r="P821" s="25" t="str">
        <f>IFERROR(
IF(OR(O821="anulado",O821="stand by"),CONCATENATE(O821,": ",H821),
IF(OR(YEAR(M821)=2022,YEAR(M821)=2023),CONCATENATE("Se activó en ",YEAR(M821)),
IF(AND(OR(O821="En proceso",O821="facturando"),AND(J821="-",M821="")),"Por revisar",
IF(M821="",IF(J821="NUEVAS",CONCATENATE("Estado: ",O821,", ",J821),
IF(L821=Meses!$A$3,"Por revisar",
IF(H821="","Sin registro","En programación Frcst."))),"En programación")))),
"Error")</f>
        <v>En programación</v>
      </c>
      <c r="Q821" s="9" t="str">
        <f t="shared" si="36"/>
        <v/>
      </c>
      <c r="R821" s="25">
        <f>IF(P821="En programación Frcst.",VLOOKUP(L821,Meses!$A$1:$H$14,3+HLOOKUP(Cronograma!J821,Meses!$D$1:$G$2,2,FALSE),FALSE),
IF(P821="En programación",M821,""))</f>
        <v>45379</v>
      </c>
      <c r="S821" s="25" t="str">
        <f t="shared" si="38"/>
        <v>2024/3</v>
      </c>
      <c r="T821" s="21">
        <f>IFERROR(
(VLOOKUP(MONTH(R821),Meses!$B$3:$C$14,2,FALSE)-DAY(R821))/VLOOKUP(MONTH(R821),Meses!$B$3:$C$14,2,FALSE)*U821,
"")</f>
        <v>1584.483870967742</v>
      </c>
      <c r="U821" s="22">
        <f t="shared" si="37"/>
        <v>16373</v>
      </c>
    </row>
    <row r="822" spans="1:21" ht="32.4" hidden="1" thickBot="1" x14ac:dyDescent="0.6">
      <c r="A822" s="10" t="s">
        <v>2409</v>
      </c>
      <c r="B822" s="10" t="s">
        <v>1051</v>
      </c>
      <c r="C822" s="12">
        <v>45267</v>
      </c>
      <c r="D822" s="10" t="s">
        <v>654</v>
      </c>
      <c r="E822" s="10" t="s">
        <v>14</v>
      </c>
      <c r="F822" s="10">
        <v>2600</v>
      </c>
      <c r="G822" s="10" t="s">
        <v>15</v>
      </c>
      <c r="H822" s="10" t="s">
        <v>17</v>
      </c>
      <c r="I822" s="10" t="s">
        <v>66</v>
      </c>
      <c r="J822" s="10" t="s">
        <v>292</v>
      </c>
      <c r="K822" s="10" t="s">
        <v>945</v>
      </c>
      <c r="L822" s="10" t="s">
        <v>145</v>
      </c>
      <c r="M822" s="12"/>
      <c r="N822" s="10" t="s">
        <v>15</v>
      </c>
      <c r="O822" s="10" t="s">
        <v>2054</v>
      </c>
      <c r="P822" s="25" t="str">
        <f>IFERROR(
IF(OR(O822="anulado",O822="stand by"),CONCATENATE(O822,": ",H822),
IF(OR(YEAR(M822)=2022,YEAR(M822)=2023),CONCATENATE("Se activó en ",YEAR(M822)),
IF(AND(OR(O822="En proceso",O822="facturando"),AND(J822="-",M822="")),"Por revisar",
IF(M822="",IF(J822="NUEVAS",CONCATENATE("Estado: ",O822,", ",J822),
IF(L822=Meses!$A$3,"Por revisar",
IF(H822="","Sin registro","En programación Frcst."))),"En programación")))),
"Error")</f>
        <v>Por revisar</v>
      </c>
      <c r="Q822" s="9" t="str">
        <f t="shared" si="36"/>
        <v>programación de act. SI, estado: Facturando, Comercializador: QI ENERGY, Etapa: Instalado y Activado</v>
      </c>
      <c r="R822" s="25" t="str">
        <f>IF(P822="En programación Frcst.",VLOOKUP(L822,Meses!$A$1:$H$14,3+HLOOKUP(Cronograma!J822,Meses!$D$1:$G$2,2,FALSE),FALSE),
IF(P822="En programación",M822,""))</f>
        <v/>
      </c>
      <c r="S822" s="25" t="str">
        <f t="shared" si="38"/>
        <v/>
      </c>
      <c r="T822" s="21" t="str">
        <f>IFERROR(
(VLOOKUP(MONTH(R822),Meses!$B$3:$C$14,2,FALSE)-DAY(R822))/VLOOKUP(MONTH(R822),Meses!$B$3:$C$14,2,FALSE)*U822,
"")</f>
        <v/>
      </c>
      <c r="U822" s="22">
        <f t="shared" si="37"/>
        <v>2600</v>
      </c>
    </row>
    <row r="823" spans="1:21" ht="31.8" hidden="1" thickBot="1" x14ac:dyDescent="0.6">
      <c r="A823" s="10" t="s">
        <v>2409</v>
      </c>
      <c r="B823" s="10" t="s">
        <v>1052</v>
      </c>
      <c r="C823" s="12"/>
      <c r="D823" s="10" t="s">
        <v>14</v>
      </c>
      <c r="E823" s="10" t="s">
        <v>14</v>
      </c>
      <c r="F823" s="10">
        <v>2745</v>
      </c>
      <c r="G823" s="10" t="s">
        <v>15</v>
      </c>
      <c r="H823" s="10" t="s">
        <v>2916</v>
      </c>
      <c r="I823" s="10" t="s">
        <v>18</v>
      </c>
      <c r="J823" s="10" t="s">
        <v>277</v>
      </c>
      <c r="K823" s="10" t="s">
        <v>3327</v>
      </c>
      <c r="L823" s="10" t="s">
        <v>2292</v>
      </c>
      <c r="M823" s="12">
        <v>45400</v>
      </c>
      <c r="N823" s="10" t="s">
        <v>15</v>
      </c>
      <c r="O823" s="10" t="s">
        <v>2057</v>
      </c>
      <c r="P823" s="25" t="str">
        <f>IFERROR(
IF(OR(O823="anulado",O823="stand by"),CONCATENATE(O823,": ",H823),
IF(OR(YEAR(M823)=2022,YEAR(M823)=2023),CONCATENATE("Se activó en ",YEAR(M823)),
IF(AND(OR(O823="En proceso",O823="facturando"),AND(J823="-",M823="")),"Por revisar",
IF(M823="",IF(J823="NUEVAS",CONCATENATE("Estado: ",O823,", ",J823),
IF(L823=Meses!$A$3,"Por revisar",
IF(H823="","Sin registro","En programación Frcst."))),"En programación")))),
"Error")</f>
        <v>En programación</v>
      </c>
      <c r="Q823" s="9" t="str">
        <f t="shared" si="36"/>
        <v/>
      </c>
      <c r="R823" s="25">
        <f>IF(P823="En programación Frcst.",VLOOKUP(L823,Meses!$A$1:$H$14,3+HLOOKUP(Cronograma!J823,Meses!$D$1:$G$2,2,FALSE),FALSE),
IF(P823="En programación",M823,""))</f>
        <v>45400</v>
      </c>
      <c r="S823" s="25" t="str">
        <f t="shared" si="38"/>
        <v>2024/4</v>
      </c>
      <c r="T823" s="21">
        <f>IFERROR(
(VLOOKUP(MONTH(R823),Meses!$B$3:$C$14,2,FALSE)-DAY(R823))/VLOOKUP(MONTH(R823),Meses!$B$3:$C$14,2,FALSE)*U823,
"")</f>
        <v>1098</v>
      </c>
      <c r="U823" s="22">
        <f t="shared" si="37"/>
        <v>2745</v>
      </c>
    </row>
    <row r="824" spans="1:21" ht="32.4" hidden="1" thickBot="1" x14ac:dyDescent="0.6">
      <c r="A824" s="10" t="s">
        <v>2409</v>
      </c>
      <c r="B824" s="10" t="s">
        <v>1053</v>
      </c>
      <c r="C824" s="12">
        <v>45267</v>
      </c>
      <c r="D824" s="10" t="s">
        <v>654</v>
      </c>
      <c r="E824" s="10" t="s">
        <v>14</v>
      </c>
      <c r="F824" s="10">
        <v>3200</v>
      </c>
      <c r="G824" s="10" t="s">
        <v>15</v>
      </c>
      <c r="H824" s="10" t="s">
        <v>17</v>
      </c>
      <c r="I824" s="10" t="s">
        <v>66</v>
      </c>
      <c r="J824" s="10" t="s">
        <v>292</v>
      </c>
      <c r="K824" s="10" t="s">
        <v>945</v>
      </c>
      <c r="L824" s="10" t="s">
        <v>145</v>
      </c>
      <c r="M824" s="12"/>
      <c r="N824" s="10" t="s">
        <v>15</v>
      </c>
      <c r="O824" s="10" t="s">
        <v>2054</v>
      </c>
      <c r="P824" s="25" t="str">
        <f>IFERROR(
IF(OR(O824="anulado",O824="stand by"),CONCATENATE(O824,": ",H824),
IF(OR(YEAR(M824)=2022,YEAR(M824)=2023),CONCATENATE("Se activó en ",YEAR(M824)),
IF(AND(OR(O824="En proceso",O824="facturando"),AND(J824="-",M824="")),"Por revisar",
IF(M824="",IF(J824="NUEVAS",CONCATENATE("Estado: ",O824,", ",J824),
IF(L824=Meses!$A$3,"Por revisar",
IF(H824="","Sin registro","En programación Frcst."))),"En programación")))),
"Error")</f>
        <v>Por revisar</v>
      </c>
      <c r="Q824" s="9" t="str">
        <f t="shared" si="36"/>
        <v>programación de act. SI, estado: Facturando, Comercializador: QI ENERGY, Etapa: Instalado y Activado</v>
      </c>
      <c r="R824" s="25" t="str">
        <f>IF(P824="En programación Frcst.",VLOOKUP(L824,Meses!$A$1:$H$14,3+HLOOKUP(Cronograma!J824,Meses!$D$1:$G$2,2,FALSE),FALSE),
IF(P824="En programación",M824,""))</f>
        <v/>
      </c>
      <c r="S824" s="25" t="str">
        <f t="shared" si="38"/>
        <v/>
      </c>
      <c r="T824" s="21" t="str">
        <f>IFERROR(
(VLOOKUP(MONTH(R824),Meses!$B$3:$C$14,2,FALSE)-DAY(R824))/VLOOKUP(MONTH(R824),Meses!$B$3:$C$14,2,FALSE)*U824,
"")</f>
        <v/>
      </c>
      <c r="U824" s="22">
        <f t="shared" si="37"/>
        <v>3200</v>
      </c>
    </row>
    <row r="825" spans="1:21" ht="63" hidden="1" thickBot="1" x14ac:dyDescent="0.6">
      <c r="A825" s="10" t="s">
        <v>1054</v>
      </c>
      <c r="B825" s="10" t="s">
        <v>1055</v>
      </c>
      <c r="C825" s="12"/>
      <c r="D825" s="10" t="s">
        <v>23</v>
      </c>
      <c r="E825" s="10" t="s">
        <v>23</v>
      </c>
      <c r="F825" s="10">
        <v>10500</v>
      </c>
      <c r="G825" s="10" t="s">
        <v>15</v>
      </c>
      <c r="H825" s="10" t="s">
        <v>140</v>
      </c>
      <c r="I825" s="10" t="s">
        <v>43</v>
      </c>
      <c r="J825" s="10" t="s">
        <v>19</v>
      </c>
      <c r="K825" s="10" t="s">
        <v>19</v>
      </c>
      <c r="L825" s="10" t="s">
        <v>19</v>
      </c>
      <c r="M825" s="12"/>
      <c r="N825" s="10" t="s">
        <v>20</v>
      </c>
      <c r="O825" s="10" t="s">
        <v>2056</v>
      </c>
      <c r="P825" s="25" t="str">
        <f>IFERROR(
IF(OR(O825="anulado",O825="stand by"),CONCATENATE(O825,": ",H825),
IF(OR(YEAR(M825)=2022,YEAR(M825)=2023),CONCATENATE("Se activó en ",YEAR(M825)),
IF(AND(OR(O825="En proceso",O825="facturando"),AND(J825="-",M825="")),"Por revisar",
IF(M825="",IF(J825="NUEVAS",CONCATENATE("Estado: ",O825,", ",J825),
IF(L825=Meses!$A$3,"Por revisar",
IF(H825="","Sin registro","En programación Frcst."))),"En programación")))),
"Error")</f>
        <v>anulado: Desistido</v>
      </c>
      <c r="Q825" s="9" t="str">
        <f t="shared" si="36"/>
        <v/>
      </c>
      <c r="R825" s="25" t="str">
        <f>IF(P825="En programación Frcst.",VLOOKUP(L825,Meses!$A$1:$H$14,3+HLOOKUP(Cronograma!J825,Meses!$D$1:$G$2,2,FALSE),FALSE),
IF(P825="En programación",M825,""))</f>
        <v/>
      </c>
      <c r="S825" s="25" t="str">
        <f t="shared" si="38"/>
        <v/>
      </c>
      <c r="T825" s="21" t="str">
        <f>IFERROR(
(VLOOKUP(MONTH(R825),Meses!$B$3:$C$14,2,FALSE)-DAY(R825))/VLOOKUP(MONTH(R825),Meses!$B$3:$C$14,2,FALSE)*U825,
"")</f>
        <v/>
      </c>
      <c r="U825" s="22">
        <f t="shared" si="37"/>
        <v>10500</v>
      </c>
    </row>
    <row r="826" spans="1:21" ht="63" hidden="1" thickBot="1" x14ac:dyDescent="0.6">
      <c r="A826" s="10" t="s">
        <v>1056</v>
      </c>
      <c r="B826" s="10" t="s">
        <v>1057</v>
      </c>
      <c r="C826" s="12"/>
      <c r="D826" s="10" t="s">
        <v>74</v>
      </c>
      <c r="E826" s="10" t="s">
        <v>74</v>
      </c>
      <c r="F826" s="10">
        <v>8880</v>
      </c>
      <c r="G826" s="10" t="s">
        <v>15</v>
      </c>
      <c r="H826" s="10" t="s">
        <v>2916</v>
      </c>
      <c r="I826" s="10" t="s">
        <v>43</v>
      </c>
      <c r="J826" s="10" t="s">
        <v>143</v>
      </c>
      <c r="K826" s="10" t="s">
        <v>2895</v>
      </c>
      <c r="L826" s="10" t="s">
        <v>2292</v>
      </c>
      <c r="M826" s="12">
        <v>45400</v>
      </c>
      <c r="N826" s="10" t="s">
        <v>15</v>
      </c>
      <c r="O826" s="10" t="s">
        <v>2057</v>
      </c>
      <c r="P826" s="25" t="str">
        <f>IFERROR(
IF(OR(O826="anulado",O826="stand by"),CONCATENATE(O826,": ",H826),
IF(OR(YEAR(M826)=2022,YEAR(M826)=2023),CONCATENATE("Se activó en ",YEAR(M826)),
IF(AND(OR(O826="En proceso",O826="facturando"),AND(J826="-",M826="")),"Por revisar",
IF(M826="",IF(J826="NUEVAS",CONCATENATE("Estado: ",O826,", ",J826),
IF(L826=Meses!$A$3,"Por revisar",
IF(H826="","Sin registro","En programación Frcst."))),"En programación")))),
"Error")</f>
        <v>En programación</v>
      </c>
      <c r="Q826" s="9" t="str">
        <f t="shared" si="36"/>
        <v/>
      </c>
      <c r="R826" s="25">
        <f>IF(P826="En programación Frcst.",VLOOKUP(L826,Meses!$A$1:$H$14,3+HLOOKUP(Cronograma!J826,Meses!$D$1:$G$2,2,FALSE),FALSE),
IF(P826="En programación",M826,""))</f>
        <v>45400</v>
      </c>
      <c r="S826" s="25" t="str">
        <f t="shared" si="38"/>
        <v>2024/4</v>
      </c>
      <c r="T826" s="21">
        <f>IFERROR(
(VLOOKUP(MONTH(R826),Meses!$B$3:$C$14,2,FALSE)-DAY(R826))/VLOOKUP(MONTH(R826),Meses!$B$3:$C$14,2,FALSE)*U826,
"")</f>
        <v>3552</v>
      </c>
      <c r="U826" s="22">
        <f t="shared" si="37"/>
        <v>8880</v>
      </c>
    </row>
    <row r="827" spans="1:21" ht="31.8" hidden="1" thickBot="1" x14ac:dyDescent="0.6">
      <c r="A827" s="10" t="s">
        <v>1058</v>
      </c>
      <c r="B827" s="10" t="s">
        <v>1059</v>
      </c>
      <c r="C827" s="12"/>
      <c r="D827" s="10" t="s">
        <v>14</v>
      </c>
      <c r="E827" s="10" t="s">
        <v>14</v>
      </c>
      <c r="F827" s="10">
        <v>2200</v>
      </c>
      <c r="G827" s="10" t="s">
        <v>15</v>
      </c>
      <c r="H827" s="10" t="s">
        <v>2916</v>
      </c>
      <c r="I827" s="10" t="s">
        <v>18</v>
      </c>
      <c r="J827" s="10" t="s">
        <v>277</v>
      </c>
      <c r="K827" s="10" t="s">
        <v>3327</v>
      </c>
      <c r="L827" s="10" t="s">
        <v>2292</v>
      </c>
      <c r="M827" s="12">
        <v>45400</v>
      </c>
      <c r="N827" s="10" t="s">
        <v>15</v>
      </c>
      <c r="O827" s="10" t="s">
        <v>2057</v>
      </c>
      <c r="P827" s="25" t="str">
        <f>IFERROR(
IF(OR(O827="anulado",O827="stand by"),CONCATENATE(O827,": ",H827),
IF(OR(YEAR(M827)=2022,YEAR(M827)=2023),CONCATENATE("Se activó en ",YEAR(M827)),
IF(AND(OR(O827="En proceso",O827="facturando"),AND(J827="-",M827="")),"Por revisar",
IF(M827="",IF(J827="NUEVAS",CONCATENATE("Estado: ",O827,", ",J827),
IF(L827=Meses!$A$3,"Por revisar",
IF(H827="","Sin registro","En programación Frcst."))),"En programación")))),
"Error")</f>
        <v>En programación</v>
      </c>
      <c r="Q827" s="9" t="str">
        <f t="shared" si="36"/>
        <v/>
      </c>
      <c r="R827" s="25">
        <f>IF(P827="En programación Frcst.",VLOOKUP(L827,Meses!$A$1:$H$14,3+HLOOKUP(Cronograma!J827,Meses!$D$1:$G$2,2,FALSE),FALSE),
IF(P827="En programación",M827,""))</f>
        <v>45400</v>
      </c>
      <c r="S827" s="25" t="str">
        <f t="shared" si="38"/>
        <v>2024/4</v>
      </c>
      <c r="T827" s="21">
        <f>IFERROR(
(VLOOKUP(MONTH(R827),Meses!$B$3:$C$14,2,FALSE)-DAY(R827))/VLOOKUP(MONTH(R827),Meses!$B$3:$C$14,2,FALSE)*U827,
"")</f>
        <v>880</v>
      </c>
      <c r="U827" s="22">
        <f t="shared" si="37"/>
        <v>2200</v>
      </c>
    </row>
    <row r="828" spans="1:21" ht="31.8" hidden="1" thickBot="1" x14ac:dyDescent="0.6">
      <c r="A828" s="10" t="s">
        <v>1060</v>
      </c>
      <c r="B828" s="10" t="s">
        <v>1061</v>
      </c>
      <c r="C828" s="12"/>
      <c r="D828" s="10" t="s">
        <v>300</v>
      </c>
      <c r="E828" s="10" t="s">
        <v>300</v>
      </c>
      <c r="F828" s="10">
        <v>5001</v>
      </c>
      <c r="G828" s="10" t="s">
        <v>15</v>
      </c>
      <c r="H828" s="10" t="s">
        <v>2917</v>
      </c>
      <c r="I828" s="10" t="s">
        <v>43</v>
      </c>
      <c r="J828" s="10" t="s">
        <v>292</v>
      </c>
      <c r="K828" s="10" t="s">
        <v>3325</v>
      </c>
      <c r="L828" s="10" t="s">
        <v>2292</v>
      </c>
      <c r="M828" s="12">
        <v>45407</v>
      </c>
      <c r="N828" s="10" t="s">
        <v>20</v>
      </c>
      <c r="O828" s="10" t="s">
        <v>2057</v>
      </c>
      <c r="P828" s="25" t="str">
        <f>IFERROR(
IF(OR(O828="anulado",O828="stand by"),CONCATENATE(O828,": ",H828),
IF(OR(YEAR(M828)=2022,YEAR(M828)=2023),CONCATENATE("Se activó en ",YEAR(M828)),
IF(AND(OR(O828="En proceso",O828="facturando"),AND(J828="-",M828="")),"Por revisar",
IF(M828="",IF(J828="NUEVAS",CONCATENATE("Estado: ",O828,", ",J828),
IF(L828=Meses!$A$3,"Por revisar",
IF(H828="","Sin registro","En programación Frcst."))),"En programación")))),
"Error")</f>
        <v>En programación</v>
      </c>
      <c r="Q828" s="9" t="str">
        <f t="shared" si="36"/>
        <v/>
      </c>
      <c r="R828" s="25">
        <f>IF(P828="En programación Frcst.",VLOOKUP(L828,Meses!$A$1:$H$14,3+HLOOKUP(Cronograma!J828,Meses!$D$1:$G$2,2,FALSE),FALSE),
IF(P828="En programación",M828,""))</f>
        <v>45407</v>
      </c>
      <c r="S828" s="25" t="str">
        <f t="shared" si="38"/>
        <v>2024/4</v>
      </c>
      <c r="T828" s="21">
        <f>IFERROR(
(VLOOKUP(MONTH(R828),Meses!$B$3:$C$14,2,FALSE)-DAY(R828))/VLOOKUP(MONTH(R828),Meses!$B$3:$C$14,2,FALSE)*U828,
"")</f>
        <v>833.5</v>
      </c>
      <c r="U828" s="22">
        <f t="shared" si="37"/>
        <v>5001</v>
      </c>
    </row>
    <row r="829" spans="1:21" ht="31.8" hidden="1" thickBot="1" x14ac:dyDescent="0.6">
      <c r="A829" s="10" t="s">
        <v>1060</v>
      </c>
      <c r="B829" s="10" t="s">
        <v>1062</v>
      </c>
      <c r="C829" s="12"/>
      <c r="D829" s="10" t="s">
        <v>287</v>
      </c>
      <c r="E829" s="10" t="s">
        <v>287</v>
      </c>
      <c r="F829" s="10">
        <v>5336</v>
      </c>
      <c r="G829" s="10" t="s">
        <v>15</v>
      </c>
      <c r="H829" s="10" t="s">
        <v>2917</v>
      </c>
      <c r="I829" s="10" t="s">
        <v>43</v>
      </c>
      <c r="J829" s="10" t="s">
        <v>292</v>
      </c>
      <c r="K829" s="10" t="s">
        <v>3325</v>
      </c>
      <c r="L829" s="10" t="s">
        <v>2292</v>
      </c>
      <c r="M829" s="12">
        <v>45407</v>
      </c>
      <c r="N829" s="10" t="s">
        <v>20</v>
      </c>
      <c r="O829" s="10" t="s">
        <v>2057</v>
      </c>
      <c r="P829" s="25" t="str">
        <f>IFERROR(
IF(OR(O829="anulado",O829="stand by"),CONCATENATE(O829,": ",H829),
IF(OR(YEAR(M829)=2022,YEAR(M829)=2023),CONCATENATE("Se activó en ",YEAR(M829)),
IF(AND(OR(O829="En proceso",O829="facturando"),AND(J829="-",M829="")),"Por revisar",
IF(M829="",IF(J829="NUEVAS",CONCATENATE("Estado: ",O829,", ",J829),
IF(L829=Meses!$A$3,"Por revisar",
IF(H829="","Sin registro","En programación Frcst."))),"En programación")))),
"Error")</f>
        <v>En programación</v>
      </c>
      <c r="Q829" s="9" t="str">
        <f t="shared" si="36"/>
        <v/>
      </c>
      <c r="R829" s="25">
        <f>IF(P829="En programación Frcst.",VLOOKUP(L829,Meses!$A$1:$H$14,3+HLOOKUP(Cronograma!J829,Meses!$D$1:$G$2,2,FALSE),FALSE),
IF(P829="En programación",M829,""))</f>
        <v>45407</v>
      </c>
      <c r="S829" s="25" t="str">
        <f t="shared" si="38"/>
        <v>2024/4</v>
      </c>
      <c r="T829" s="21">
        <f>IFERROR(
(VLOOKUP(MONTH(R829),Meses!$B$3:$C$14,2,FALSE)-DAY(R829))/VLOOKUP(MONTH(R829),Meses!$B$3:$C$14,2,FALSE)*U829,
"")</f>
        <v>889.33333333333326</v>
      </c>
      <c r="U829" s="22">
        <f t="shared" si="37"/>
        <v>5336</v>
      </c>
    </row>
    <row r="830" spans="1:21" ht="31.8" hidden="1" thickBot="1" x14ac:dyDescent="0.6">
      <c r="A830" s="10" t="s">
        <v>1060</v>
      </c>
      <c r="B830" s="10" t="s">
        <v>1063</v>
      </c>
      <c r="C830" s="12"/>
      <c r="D830" s="10" t="s">
        <v>44</v>
      </c>
      <c r="E830" s="10" t="s">
        <v>44</v>
      </c>
      <c r="F830" s="10">
        <v>7400</v>
      </c>
      <c r="G830" s="10" t="s">
        <v>15</v>
      </c>
      <c r="H830" s="10" t="s">
        <v>2917</v>
      </c>
      <c r="I830" s="10" t="s">
        <v>43</v>
      </c>
      <c r="J830" s="10" t="s">
        <v>292</v>
      </c>
      <c r="K830" s="10" t="s">
        <v>3325</v>
      </c>
      <c r="L830" s="10" t="s">
        <v>2292</v>
      </c>
      <c r="M830" s="12">
        <v>45407</v>
      </c>
      <c r="N830" s="10" t="s">
        <v>20</v>
      </c>
      <c r="O830" s="10" t="s">
        <v>2057</v>
      </c>
      <c r="P830" s="25" t="str">
        <f>IFERROR(
IF(OR(O830="anulado",O830="stand by"),CONCATENATE(O830,": ",H830),
IF(OR(YEAR(M830)=2022,YEAR(M830)=2023),CONCATENATE("Se activó en ",YEAR(M830)),
IF(AND(OR(O830="En proceso",O830="facturando"),AND(J830="-",M830="")),"Por revisar",
IF(M830="",IF(J830="NUEVAS",CONCATENATE("Estado: ",O830,", ",J830),
IF(L830=Meses!$A$3,"Por revisar",
IF(H830="","Sin registro","En programación Frcst."))),"En programación")))),
"Error")</f>
        <v>En programación</v>
      </c>
      <c r="Q830" s="9" t="str">
        <f t="shared" si="36"/>
        <v/>
      </c>
      <c r="R830" s="25">
        <f>IF(P830="En programación Frcst.",VLOOKUP(L830,Meses!$A$1:$H$14,3+HLOOKUP(Cronograma!J830,Meses!$D$1:$G$2,2,FALSE),FALSE),
IF(P830="En programación",M830,""))</f>
        <v>45407</v>
      </c>
      <c r="S830" s="25" t="str">
        <f t="shared" si="38"/>
        <v>2024/4</v>
      </c>
      <c r="T830" s="21">
        <f>IFERROR(
(VLOOKUP(MONTH(R830),Meses!$B$3:$C$14,2,FALSE)-DAY(R830))/VLOOKUP(MONTH(R830),Meses!$B$3:$C$14,2,FALSE)*U830,
"")</f>
        <v>1233.3333333333333</v>
      </c>
      <c r="U830" s="22">
        <f t="shared" si="37"/>
        <v>7400</v>
      </c>
    </row>
    <row r="831" spans="1:21" ht="32.4" hidden="1" thickBot="1" x14ac:dyDescent="0.6">
      <c r="A831" s="10" t="s">
        <v>1060</v>
      </c>
      <c r="B831" s="10" t="s">
        <v>1064</v>
      </c>
      <c r="C831" s="12"/>
      <c r="D831" s="10" t="s">
        <v>289</v>
      </c>
      <c r="E831" s="10" t="s">
        <v>289</v>
      </c>
      <c r="F831" s="10">
        <v>3080</v>
      </c>
      <c r="G831" s="10" t="s">
        <v>15</v>
      </c>
      <c r="H831" s="10" t="s">
        <v>2917</v>
      </c>
      <c r="I831" s="10" t="s">
        <v>18</v>
      </c>
      <c r="J831" s="10" t="s">
        <v>19</v>
      </c>
      <c r="K831" s="10" t="s">
        <v>19</v>
      </c>
      <c r="L831" s="10" t="s">
        <v>19</v>
      </c>
      <c r="M831" s="12"/>
      <c r="N831" s="10" t="s">
        <v>20</v>
      </c>
      <c r="O831" s="10" t="s">
        <v>2057</v>
      </c>
      <c r="P831" s="25" t="str">
        <f>IFERROR(
IF(OR(O831="anulado",O831="stand by"),CONCATENATE(O831,": ",H831),
IF(OR(YEAR(M831)=2022,YEAR(M831)=2023),CONCATENATE("Se activó en ",YEAR(M831)),
IF(AND(OR(O831="En proceso",O831="facturando"),AND(J831="-",M831="")),"Por revisar",
IF(M831="",IF(J831="NUEVAS",CONCATENATE("Estado: ",O831,", ",J831),
IF(L831=Meses!$A$3,"Por revisar",
IF(H831="","Sin registro","En programación Frcst."))),"En programación")))),
"Error")</f>
        <v>Por revisar</v>
      </c>
      <c r="Q831" s="9" t="str">
        <f t="shared" si="36"/>
        <v>programación de act. NO, estado: En proceso, Comercializador: CELSIA, Etapa: Etapa 2 (solicitud P&amp;S)</v>
      </c>
      <c r="R831" s="25" t="str">
        <f>IF(P831="En programación Frcst.",VLOOKUP(L831,Meses!$A$1:$H$14,3+HLOOKUP(Cronograma!J831,Meses!$D$1:$G$2,2,FALSE),FALSE),
IF(P831="En programación",M831,""))</f>
        <v/>
      </c>
      <c r="S831" s="25" t="str">
        <f t="shared" si="38"/>
        <v/>
      </c>
      <c r="T831" s="21" t="str">
        <f>IFERROR(
(VLOOKUP(MONTH(R831),Meses!$B$3:$C$14,2,FALSE)-DAY(R831))/VLOOKUP(MONTH(R831),Meses!$B$3:$C$14,2,FALSE)*U831,
"")</f>
        <v/>
      </c>
      <c r="U831" s="22">
        <f t="shared" si="37"/>
        <v>3080</v>
      </c>
    </row>
    <row r="832" spans="1:21" ht="31.8" hidden="1" thickBot="1" x14ac:dyDescent="0.6">
      <c r="A832" s="10" t="s">
        <v>1060</v>
      </c>
      <c r="B832" s="10" t="s">
        <v>1065</v>
      </c>
      <c r="C832" s="12"/>
      <c r="D832" s="10" t="s">
        <v>44</v>
      </c>
      <c r="E832" s="10" t="s">
        <v>44</v>
      </c>
      <c r="F832" s="10">
        <v>1890</v>
      </c>
      <c r="G832" s="10" t="s">
        <v>15</v>
      </c>
      <c r="H832" s="10" t="s">
        <v>2917</v>
      </c>
      <c r="I832" s="10" t="s">
        <v>43</v>
      </c>
      <c r="J832" s="10" t="s">
        <v>292</v>
      </c>
      <c r="K832" s="10" t="s">
        <v>3325</v>
      </c>
      <c r="L832" s="10" t="s">
        <v>2292</v>
      </c>
      <c r="M832" s="12">
        <v>45407</v>
      </c>
      <c r="N832" s="10" t="s">
        <v>20</v>
      </c>
      <c r="O832" s="10" t="s">
        <v>2057</v>
      </c>
      <c r="P832" s="25" t="str">
        <f>IFERROR(
IF(OR(O832="anulado",O832="stand by"),CONCATENATE(O832,": ",H832),
IF(OR(YEAR(M832)=2022,YEAR(M832)=2023),CONCATENATE("Se activó en ",YEAR(M832)),
IF(AND(OR(O832="En proceso",O832="facturando"),AND(J832="-",M832="")),"Por revisar",
IF(M832="",IF(J832="NUEVAS",CONCATENATE("Estado: ",O832,", ",J832),
IF(L832=Meses!$A$3,"Por revisar",
IF(H832="","Sin registro","En programación Frcst."))),"En programación")))),
"Error")</f>
        <v>En programación</v>
      </c>
      <c r="Q832" s="9" t="str">
        <f t="shared" si="36"/>
        <v/>
      </c>
      <c r="R832" s="25">
        <f>IF(P832="En programación Frcst.",VLOOKUP(L832,Meses!$A$1:$H$14,3+HLOOKUP(Cronograma!J832,Meses!$D$1:$G$2,2,FALSE),FALSE),
IF(P832="En programación",M832,""))</f>
        <v>45407</v>
      </c>
      <c r="S832" s="25" t="str">
        <f t="shared" si="38"/>
        <v>2024/4</v>
      </c>
      <c r="T832" s="21">
        <f>IFERROR(
(VLOOKUP(MONTH(R832),Meses!$B$3:$C$14,2,FALSE)-DAY(R832))/VLOOKUP(MONTH(R832),Meses!$B$3:$C$14,2,FALSE)*U832,
"")</f>
        <v>315</v>
      </c>
      <c r="U832" s="22">
        <f t="shared" si="37"/>
        <v>1890</v>
      </c>
    </row>
    <row r="833" spans="1:21" ht="31.8" hidden="1" thickBot="1" x14ac:dyDescent="0.6">
      <c r="A833" s="10" t="s">
        <v>1060</v>
      </c>
      <c r="B833" s="10" t="s">
        <v>1066</v>
      </c>
      <c r="C833" s="12"/>
      <c r="D833" s="10" t="s">
        <v>44</v>
      </c>
      <c r="E833" s="10" t="s">
        <v>44</v>
      </c>
      <c r="F833" s="10">
        <v>3069</v>
      </c>
      <c r="G833" s="10" t="s">
        <v>15</v>
      </c>
      <c r="H833" s="10" t="s">
        <v>2917</v>
      </c>
      <c r="I833" s="10" t="s">
        <v>43</v>
      </c>
      <c r="J833" s="10" t="s">
        <v>292</v>
      </c>
      <c r="K833" s="10" t="s">
        <v>3325</v>
      </c>
      <c r="L833" s="10" t="s">
        <v>2292</v>
      </c>
      <c r="M833" s="12">
        <v>45407</v>
      </c>
      <c r="N833" s="10" t="s">
        <v>20</v>
      </c>
      <c r="O833" s="10" t="s">
        <v>2057</v>
      </c>
      <c r="P833" s="25" t="str">
        <f>IFERROR(
IF(OR(O833="anulado",O833="stand by"),CONCATENATE(O833,": ",H833),
IF(OR(YEAR(M833)=2022,YEAR(M833)=2023),CONCATENATE("Se activó en ",YEAR(M833)),
IF(AND(OR(O833="En proceso",O833="facturando"),AND(J833="-",M833="")),"Por revisar",
IF(M833="",IF(J833="NUEVAS",CONCATENATE("Estado: ",O833,", ",J833),
IF(L833=Meses!$A$3,"Por revisar",
IF(H833="","Sin registro","En programación Frcst."))),"En programación")))),
"Error")</f>
        <v>En programación</v>
      </c>
      <c r="Q833" s="9" t="str">
        <f t="shared" si="36"/>
        <v/>
      </c>
      <c r="R833" s="25">
        <f>IF(P833="En programación Frcst.",VLOOKUP(L833,Meses!$A$1:$H$14,3+HLOOKUP(Cronograma!J833,Meses!$D$1:$G$2,2,FALSE),FALSE),
IF(P833="En programación",M833,""))</f>
        <v>45407</v>
      </c>
      <c r="S833" s="25" t="str">
        <f t="shared" si="38"/>
        <v>2024/4</v>
      </c>
      <c r="T833" s="21">
        <f>IFERROR(
(VLOOKUP(MONTH(R833),Meses!$B$3:$C$14,2,FALSE)-DAY(R833))/VLOOKUP(MONTH(R833),Meses!$B$3:$C$14,2,FALSE)*U833,
"")</f>
        <v>511.5</v>
      </c>
      <c r="U833" s="22">
        <f t="shared" si="37"/>
        <v>3069</v>
      </c>
    </row>
    <row r="834" spans="1:21" ht="31.8" hidden="1" thickBot="1" x14ac:dyDescent="0.6">
      <c r="A834" s="10" t="s">
        <v>1060</v>
      </c>
      <c r="B834" s="10" t="s">
        <v>1067</v>
      </c>
      <c r="C834" s="12"/>
      <c r="D834" s="10" t="s">
        <v>74</v>
      </c>
      <c r="E834" s="10" t="s">
        <v>74</v>
      </c>
      <c r="F834" s="10">
        <v>3155</v>
      </c>
      <c r="G834" s="10" t="s">
        <v>15</v>
      </c>
      <c r="H834" s="10" t="s">
        <v>2917</v>
      </c>
      <c r="I834" s="10" t="s">
        <v>43</v>
      </c>
      <c r="J834" s="10" t="s">
        <v>292</v>
      </c>
      <c r="K834" s="10" t="s">
        <v>3325</v>
      </c>
      <c r="L834" s="10" t="s">
        <v>2292</v>
      </c>
      <c r="M834" s="12">
        <v>45407</v>
      </c>
      <c r="N834" s="10" t="s">
        <v>20</v>
      </c>
      <c r="O834" s="10" t="s">
        <v>2057</v>
      </c>
      <c r="P834" s="25" t="str">
        <f>IFERROR(
IF(OR(O834="anulado",O834="stand by"),CONCATENATE(O834,": ",H834),
IF(OR(YEAR(M834)=2022,YEAR(M834)=2023),CONCATENATE("Se activó en ",YEAR(M834)),
IF(AND(OR(O834="En proceso",O834="facturando"),AND(J834="-",M834="")),"Por revisar",
IF(M834="",IF(J834="NUEVAS",CONCATENATE("Estado: ",O834,", ",J834),
IF(L834=Meses!$A$3,"Por revisar",
IF(H834="","Sin registro","En programación Frcst."))),"En programación")))),
"Error")</f>
        <v>En programación</v>
      </c>
      <c r="Q834" s="9" t="str">
        <f t="shared" ref="Q834:Q897" si="39">IF(P834="Por revisar",CONCATENATE("programación de act. ",N834,", estado: ",O834,", Comercializador: ",D834,", Etapa: ",H834),"")</f>
        <v/>
      </c>
      <c r="R834" s="25">
        <f>IF(P834="En programación Frcst.",VLOOKUP(L834,Meses!$A$1:$H$14,3+HLOOKUP(Cronograma!J834,Meses!$D$1:$G$2,2,FALSE),FALSE),
IF(P834="En programación",M834,""))</f>
        <v>45407</v>
      </c>
      <c r="S834" s="25" t="str">
        <f t="shared" si="38"/>
        <v>2024/4</v>
      </c>
      <c r="T834" s="21">
        <f>IFERROR(
(VLOOKUP(MONTH(R834),Meses!$B$3:$C$14,2,FALSE)-DAY(R834))/VLOOKUP(MONTH(R834),Meses!$B$3:$C$14,2,FALSE)*U834,
"")</f>
        <v>525.83333333333326</v>
      </c>
      <c r="U834" s="22">
        <f t="shared" ref="U834:U897" si="40">F834</f>
        <v>3155</v>
      </c>
    </row>
    <row r="835" spans="1:21" ht="31.8" hidden="1" thickBot="1" x14ac:dyDescent="0.6">
      <c r="A835" s="10" t="s">
        <v>1060</v>
      </c>
      <c r="B835" s="10" t="s">
        <v>1068</v>
      </c>
      <c r="C835" s="12"/>
      <c r="D835" s="10" t="s">
        <v>74</v>
      </c>
      <c r="E835" s="10" t="s">
        <v>74</v>
      </c>
      <c r="F835" s="10">
        <v>3407</v>
      </c>
      <c r="G835" s="10" t="s">
        <v>15</v>
      </c>
      <c r="H835" s="10" t="s">
        <v>2917</v>
      </c>
      <c r="I835" s="10" t="s">
        <v>43</v>
      </c>
      <c r="J835" s="10" t="s">
        <v>292</v>
      </c>
      <c r="K835" s="10" t="s">
        <v>3325</v>
      </c>
      <c r="L835" s="10" t="s">
        <v>2292</v>
      </c>
      <c r="M835" s="12">
        <v>45407</v>
      </c>
      <c r="N835" s="10" t="s">
        <v>20</v>
      </c>
      <c r="O835" s="10" t="s">
        <v>2057</v>
      </c>
      <c r="P835" s="25" t="str">
        <f>IFERROR(
IF(OR(O835="anulado",O835="stand by"),CONCATENATE(O835,": ",H835),
IF(OR(YEAR(M835)=2022,YEAR(M835)=2023),CONCATENATE("Se activó en ",YEAR(M835)),
IF(AND(OR(O835="En proceso",O835="facturando"),AND(J835="-",M835="")),"Por revisar",
IF(M835="",IF(J835="NUEVAS",CONCATENATE("Estado: ",O835,", ",J835),
IF(L835=Meses!$A$3,"Por revisar",
IF(H835="","Sin registro","En programación Frcst."))),"En programación")))),
"Error")</f>
        <v>En programación</v>
      </c>
      <c r="Q835" s="9" t="str">
        <f t="shared" si="39"/>
        <v/>
      </c>
      <c r="R835" s="25">
        <f>IF(P835="En programación Frcst.",VLOOKUP(L835,Meses!$A$1:$H$14,3+HLOOKUP(Cronograma!J835,Meses!$D$1:$G$2,2,FALSE),FALSE),
IF(P835="En programación",M835,""))</f>
        <v>45407</v>
      </c>
      <c r="S835" s="25" t="str">
        <f t="shared" ref="S835:S898" si="41">IFERROR(CONCATENATE(YEAR(R835),"/",MONTH(R835)),"")</f>
        <v>2024/4</v>
      </c>
      <c r="T835" s="21">
        <f>IFERROR(
(VLOOKUP(MONTH(R835),Meses!$B$3:$C$14,2,FALSE)-DAY(R835))/VLOOKUP(MONTH(R835),Meses!$B$3:$C$14,2,FALSE)*U835,
"")</f>
        <v>567.83333333333326</v>
      </c>
      <c r="U835" s="22">
        <f t="shared" si="40"/>
        <v>3407</v>
      </c>
    </row>
    <row r="836" spans="1:21" ht="31.8" hidden="1" thickBot="1" x14ac:dyDescent="0.6">
      <c r="A836" s="10" t="s">
        <v>1060</v>
      </c>
      <c r="B836" s="10" t="s">
        <v>1069</v>
      </c>
      <c r="C836" s="12"/>
      <c r="D836" s="10" t="s">
        <v>74</v>
      </c>
      <c r="E836" s="10" t="s">
        <v>74</v>
      </c>
      <c r="F836" s="10">
        <v>3954</v>
      </c>
      <c r="G836" s="10" t="s">
        <v>15</v>
      </c>
      <c r="H836" s="10" t="s">
        <v>2917</v>
      </c>
      <c r="I836" s="10" t="s">
        <v>43</v>
      </c>
      <c r="J836" s="10" t="s">
        <v>292</v>
      </c>
      <c r="K836" s="10" t="s">
        <v>3325</v>
      </c>
      <c r="L836" s="10" t="s">
        <v>2292</v>
      </c>
      <c r="M836" s="12">
        <v>45407</v>
      </c>
      <c r="N836" s="10" t="s">
        <v>20</v>
      </c>
      <c r="O836" s="10" t="s">
        <v>2057</v>
      </c>
      <c r="P836" s="25" t="str">
        <f>IFERROR(
IF(OR(O836="anulado",O836="stand by"),CONCATENATE(O836,": ",H836),
IF(OR(YEAR(M836)=2022,YEAR(M836)=2023),CONCATENATE("Se activó en ",YEAR(M836)),
IF(AND(OR(O836="En proceso",O836="facturando"),AND(J836="-",M836="")),"Por revisar",
IF(M836="",IF(J836="NUEVAS",CONCATENATE("Estado: ",O836,", ",J836),
IF(L836=Meses!$A$3,"Por revisar",
IF(H836="","Sin registro","En programación Frcst."))),"En programación")))),
"Error")</f>
        <v>En programación</v>
      </c>
      <c r="Q836" s="9" t="str">
        <f t="shared" si="39"/>
        <v/>
      </c>
      <c r="R836" s="25">
        <f>IF(P836="En programación Frcst.",VLOOKUP(L836,Meses!$A$1:$H$14,3+HLOOKUP(Cronograma!J836,Meses!$D$1:$G$2,2,FALSE),FALSE),
IF(P836="En programación",M836,""))</f>
        <v>45407</v>
      </c>
      <c r="S836" s="25" t="str">
        <f t="shared" si="41"/>
        <v>2024/4</v>
      </c>
      <c r="T836" s="21">
        <f>IFERROR(
(VLOOKUP(MONTH(R836),Meses!$B$3:$C$14,2,FALSE)-DAY(R836))/VLOOKUP(MONTH(R836),Meses!$B$3:$C$14,2,FALSE)*U836,
"")</f>
        <v>659</v>
      </c>
      <c r="U836" s="22">
        <f t="shared" si="40"/>
        <v>3954</v>
      </c>
    </row>
    <row r="837" spans="1:21" ht="32.4" hidden="1" thickBot="1" x14ac:dyDescent="0.6">
      <c r="A837" s="10" t="s">
        <v>1060</v>
      </c>
      <c r="B837" s="10" t="s">
        <v>1070</v>
      </c>
      <c r="C837" s="12"/>
      <c r="D837" s="10" t="s">
        <v>289</v>
      </c>
      <c r="E837" s="10" t="s">
        <v>289</v>
      </c>
      <c r="F837" s="10">
        <v>3055</v>
      </c>
      <c r="G837" s="10" t="s">
        <v>15</v>
      </c>
      <c r="H837" s="10" t="s">
        <v>2917</v>
      </c>
      <c r="I837" s="10" t="s">
        <v>18</v>
      </c>
      <c r="J837" s="10" t="s">
        <v>19</v>
      </c>
      <c r="K837" s="10" t="s">
        <v>19</v>
      </c>
      <c r="L837" s="10" t="s">
        <v>19</v>
      </c>
      <c r="M837" s="12"/>
      <c r="N837" s="10" t="s">
        <v>20</v>
      </c>
      <c r="O837" s="10" t="s">
        <v>2057</v>
      </c>
      <c r="P837" s="25" t="str">
        <f>IFERROR(
IF(OR(O837="anulado",O837="stand by"),CONCATENATE(O837,": ",H837),
IF(OR(YEAR(M837)=2022,YEAR(M837)=2023),CONCATENATE("Se activó en ",YEAR(M837)),
IF(AND(OR(O837="En proceso",O837="facturando"),AND(J837="-",M837="")),"Por revisar",
IF(M837="",IF(J837="NUEVAS",CONCATENATE("Estado: ",O837,", ",J837),
IF(L837=Meses!$A$3,"Por revisar",
IF(H837="","Sin registro","En programación Frcst."))),"En programación")))),
"Error")</f>
        <v>Por revisar</v>
      </c>
      <c r="Q837" s="9" t="str">
        <f t="shared" si="39"/>
        <v>programación de act. NO, estado: En proceso, Comercializador: CELSIA, Etapa: Etapa 2 (solicitud P&amp;S)</v>
      </c>
      <c r="R837" s="25" t="str">
        <f>IF(P837="En programación Frcst.",VLOOKUP(L837,Meses!$A$1:$H$14,3+HLOOKUP(Cronograma!J837,Meses!$D$1:$G$2,2,FALSE),FALSE),
IF(P837="En programación",M837,""))</f>
        <v/>
      </c>
      <c r="S837" s="25" t="str">
        <f t="shared" si="41"/>
        <v/>
      </c>
      <c r="T837" s="21" t="str">
        <f>IFERROR(
(VLOOKUP(MONTH(R837),Meses!$B$3:$C$14,2,FALSE)-DAY(R837))/VLOOKUP(MONTH(R837),Meses!$B$3:$C$14,2,FALSE)*U837,
"")</f>
        <v/>
      </c>
      <c r="U837" s="22">
        <f t="shared" si="40"/>
        <v>3055</v>
      </c>
    </row>
    <row r="838" spans="1:21" ht="32.4" hidden="1" thickBot="1" x14ac:dyDescent="0.6">
      <c r="A838" s="10" t="s">
        <v>1060</v>
      </c>
      <c r="B838" s="10" t="s">
        <v>1071</v>
      </c>
      <c r="C838" s="12"/>
      <c r="D838" s="10" t="s">
        <v>289</v>
      </c>
      <c r="E838" s="10" t="s">
        <v>289</v>
      </c>
      <c r="F838" s="10">
        <v>3570</v>
      </c>
      <c r="G838" s="10" t="s">
        <v>15</v>
      </c>
      <c r="H838" s="10" t="s">
        <v>2917</v>
      </c>
      <c r="I838" s="10" t="s">
        <v>18</v>
      </c>
      <c r="J838" s="10" t="s">
        <v>19</v>
      </c>
      <c r="K838" s="10" t="s">
        <v>19</v>
      </c>
      <c r="L838" s="10" t="s">
        <v>19</v>
      </c>
      <c r="M838" s="12"/>
      <c r="N838" s="10" t="s">
        <v>20</v>
      </c>
      <c r="O838" s="10" t="s">
        <v>2057</v>
      </c>
      <c r="P838" s="25" t="str">
        <f>IFERROR(
IF(OR(O838="anulado",O838="stand by"),CONCATENATE(O838,": ",H838),
IF(OR(YEAR(M838)=2022,YEAR(M838)=2023),CONCATENATE("Se activó en ",YEAR(M838)),
IF(AND(OR(O838="En proceso",O838="facturando"),AND(J838="-",M838="")),"Por revisar",
IF(M838="",IF(J838="NUEVAS",CONCATENATE("Estado: ",O838,", ",J838),
IF(L838=Meses!$A$3,"Por revisar",
IF(H838="","Sin registro","En programación Frcst."))),"En programación")))),
"Error")</f>
        <v>Por revisar</v>
      </c>
      <c r="Q838" s="9" t="str">
        <f t="shared" si="39"/>
        <v>programación de act. NO, estado: En proceso, Comercializador: CELSIA, Etapa: Etapa 2 (solicitud P&amp;S)</v>
      </c>
      <c r="R838" s="25" t="str">
        <f>IF(P838="En programación Frcst.",VLOOKUP(L838,Meses!$A$1:$H$14,3+HLOOKUP(Cronograma!J838,Meses!$D$1:$G$2,2,FALSE),FALSE),
IF(P838="En programación",M838,""))</f>
        <v/>
      </c>
      <c r="S838" s="25" t="str">
        <f t="shared" si="41"/>
        <v/>
      </c>
      <c r="T838" s="21" t="str">
        <f>IFERROR(
(VLOOKUP(MONTH(R838),Meses!$B$3:$C$14,2,FALSE)-DAY(R838))/VLOOKUP(MONTH(R838),Meses!$B$3:$C$14,2,FALSE)*U838,
"")</f>
        <v/>
      </c>
      <c r="U838" s="22">
        <f t="shared" si="40"/>
        <v>3570</v>
      </c>
    </row>
    <row r="839" spans="1:21" ht="31.8" hidden="1" thickBot="1" x14ac:dyDescent="0.6">
      <c r="A839" s="10" t="s">
        <v>1060</v>
      </c>
      <c r="B839" s="10" t="s">
        <v>1072</v>
      </c>
      <c r="C839" s="12"/>
      <c r="D839" s="10" t="s">
        <v>291</v>
      </c>
      <c r="E839" s="10" t="s">
        <v>291</v>
      </c>
      <c r="F839" s="10">
        <v>4265</v>
      </c>
      <c r="G839" s="10" t="s">
        <v>15</v>
      </c>
      <c r="H839" s="10" t="s">
        <v>2917</v>
      </c>
      <c r="I839" s="10" t="s">
        <v>43</v>
      </c>
      <c r="J839" s="10" t="s">
        <v>292</v>
      </c>
      <c r="K839" s="10" t="s">
        <v>3325</v>
      </c>
      <c r="L839" s="10" t="s">
        <v>2292</v>
      </c>
      <c r="M839" s="12">
        <v>45407</v>
      </c>
      <c r="N839" s="10" t="s">
        <v>20</v>
      </c>
      <c r="O839" s="10" t="s">
        <v>2057</v>
      </c>
      <c r="P839" s="25" t="str">
        <f>IFERROR(
IF(OR(O839="anulado",O839="stand by"),CONCATENATE(O839,": ",H839),
IF(OR(YEAR(M839)=2022,YEAR(M839)=2023),CONCATENATE("Se activó en ",YEAR(M839)),
IF(AND(OR(O839="En proceso",O839="facturando"),AND(J839="-",M839="")),"Por revisar",
IF(M839="",IF(J839="NUEVAS",CONCATENATE("Estado: ",O839,", ",J839),
IF(L839=Meses!$A$3,"Por revisar",
IF(H839="","Sin registro","En programación Frcst."))),"En programación")))),
"Error")</f>
        <v>En programación</v>
      </c>
      <c r="Q839" s="9" t="str">
        <f t="shared" si="39"/>
        <v/>
      </c>
      <c r="R839" s="25">
        <f>IF(P839="En programación Frcst.",VLOOKUP(L839,Meses!$A$1:$H$14,3+HLOOKUP(Cronograma!J839,Meses!$D$1:$G$2,2,FALSE),FALSE),
IF(P839="En programación",M839,""))</f>
        <v>45407</v>
      </c>
      <c r="S839" s="25" t="str">
        <f t="shared" si="41"/>
        <v>2024/4</v>
      </c>
      <c r="T839" s="21">
        <f>IFERROR(
(VLOOKUP(MONTH(R839),Meses!$B$3:$C$14,2,FALSE)-DAY(R839))/VLOOKUP(MONTH(R839),Meses!$B$3:$C$14,2,FALSE)*U839,
"")</f>
        <v>710.83333333333326</v>
      </c>
      <c r="U839" s="22">
        <f t="shared" si="40"/>
        <v>4265</v>
      </c>
    </row>
    <row r="840" spans="1:21" ht="31.8" hidden="1" thickBot="1" x14ac:dyDescent="0.6">
      <c r="A840" s="10" t="s">
        <v>1060</v>
      </c>
      <c r="B840" s="10" t="s">
        <v>1073</v>
      </c>
      <c r="C840" s="12"/>
      <c r="D840" s="10" t="s">
        <v>44</v>
      </c>
      <c r="E840" s="10" t="s">
        <v>44</v>
      </c>
      <c r="F840" s="10">
        <v>1523</v>
      </c>
      <c r="G840" s="10" t="s">
        <v>15</v>
      </c>
      <c r="H840" s="10" t="s">
        <v>2917</v>
      </c>
      <c r="I840" s="10" t="s">
        <v>43</v>
      </c>
      <c r="J840" s="10" t="s">
        <v>292</v>
      </c>
      <c r="K840" s="10" t="s">
        <v>3325</v>
      </c>
      <c r="L840" s="10" t="s">
        <v>2292</v>
      </c>
      <c r="M840" s="12">
        <v>45407</v>
      </c>
      <c r="N840" s="10" t="s">
        <v>20</v>
      </c>
      <c r="O840" s="10" t="s">
        <v>2057</v>
      </c>
      <c r="P840" s="25" t="str">
        <f>IFERROR(
IF(OR(O840="anulado",O840="stand by"),CONCATENATE(O840,": ",H840),
IF(OR(YEAR(M840)=2022,YEAR(M840)=2023),CONCATENATE("Se activó en ",YEAR(M840)),
IF(AND(OR(O840="En proceso",O840="facturando"),AND(J840="-",M840="")),"Por revisar",
IF(M840="",IF(J840="NUEVAS",CONCATENATE("Estado: ",O840,", ",J840),
IF(L840=Meses!$A$3,"Por revisar",
IF(H840="","Sin registro","En programación Frcst."))),"En programación")))),
"Error")</f>
        <v>En programación</v>
      </c>
      <c r="Q840" s="9" t="str">
        <f t="shared" si="39"/>
        <v/>
      </c>
      <c r="R840" s="25">
        <f>IF(P840="En programación Frcst.",VLOOKUP(L840,Meses!$A$1:$H$14,3+HLOOKUP(Cronograma!J840,Meses!$D$1:$G$2,2,FALSE),FALSE),
IF(P840="En programación",M840,""))</f>
        <v>45407</v>
      </c>
      <c r="S840" s="25" t="str">
        <f t="shared" si="41"/>
        <v>2024/4</v>
      </c>
      <c r="T840" s="21">
        <f>IFERROR(
(VLOOKUP(MONTH(R840),Meses!$B$3:$C$14,2,FALSE)-DAY(R840))/VLOOKUP(MONTH(R840),Meses!$B$3:$C$14,2,FALSE)*U840,
"")</f>
        <v>253.83333333333331</v>
      </c>
      <c r="U840" s="22">
        <f t="shared" si="40"/>
        <v>1523</v>
      </c>
    </row>
    <row r="841" spans="1:21" ht="31.8" hidden="1" thickBot="1" x14ac:dyDescent="0.6">
      <c r="A841" s="10" t="s">
        <v>1060</v>
      </c>
      <c r="B841" s="10" t="s">
        <v>1074</v>
      </c>
      <c r="C841" s="12"/>
      <c r="D841" s="10" t="s">
        <v>44</v>
      </c>
      <c r="E841" s="10" t="s">
        <v>44</v>
      </c>
      <c r="F841" s="10">
        <v>1860</v>
      </c>
      <c r="G841" s="10" t="s">
        <v>15</v>
      </c>
      <c r="H841" s="10" t="s">
        <v>2917</v>
      </c>
      <c r="I841" s="10" t="s">
        <v>43</v>
      </c>
      <c r="J841" s="10" t="s">
        <v>292</v>
      </c>
      <c r="K841" s="10" t="s">
        <v>3325</v>
      </c>
      <c r="L841" s="10" t="s">
        <v>2292</v>
      </c>
      <c r="M841" s="12">
        <v>45407</v>
      </c>
      <c r="N841" s="10" t="s">
        <v>20</v>
      </c>
      <c r="O841" s="10" t="s">
        <v>2057</v>
      </c>
      <c r="P841" s="25" t="str">
        <f>IFERROR(
IF(OR(O841="anulado",O841="stand by"),CONCATENATE(O841,": ",H841),
IF(OR(YEAR(M841)=2022,YEAR(M841)=2023),CONCATENATE("Se activó en ",YEAR(M841)),
IF(AND(OR(O841="En proceso",O841="facturando"),AND(J841="-",M841="")),"Por revisar",
IF(M841="",IF(J841="NUEVAS",CONCATENATE("Estado: ",O841,", ",J841),
IF(L841=Meses!$A$3,"Por revisar",
IF(H841="","Sin registro","En programación Frcst."))),"En programación")))),
"Error")</f>
        <v>En programación</v>
      </c>
      <c r="Q841" s="9" t="str">
        <f t="shared" si="39"/>
        <v/>
      </c>
      <c r="R841" s="25">
        <f>IF(P841="En programación Frcst.",VLOOKUP(L841,Meses!$A$1:$H$14,3+HLOOKUP(Cronograma!J841,Meses!$D$1:$G$2,2,FALSE),FALSE),
IF(P841="En programación",M841,""))</f>
        <v>45407</v>
      </c>
      <c r="S841" s="25" t="str">
        <f t="shared" si="41"/>
        <v>2024/4</v>
      </c>
      <c r="T841" s="21">
        <f>IFERROR(
(VLOOKUP(MONTH(R841),Meses!$B$3:$C$14,2,FALSE)-DAY(R841))/VLOOKUP(MONTH(R841),Meses!$B$3:$C$14,2,FALSE)*U841,
"")</f>
        <v>310</v>
      </c>
      <c r="U841" s="22">
        <f t="shared" si="40"/>
        <v>1860</v>
      </c>
    </row>
    <row r="842" spans="1:21" ht="31.8" hidden="1" thickBot="1" x14ac:dyDescent="0.6">
      <c r="A842" s="10" t="s">
        <v>1060</v>
      </c>
      <c r="B842" s="10" t="s">
        <v>1075</v>
      </c>
      <c r="C842" s="12"/>
      <c r="D842" s="10" t="s">
        <v>44</v>
      </c>
      <c r="E842" s="10" t="s">
        <v>44</v>
      </c>
      <c r="F842" s="10">
        <v>3322</v>
      </c>
      <c r="G842" s="10" t="s">
        <v>15</v>
      </c>
      <c r="H842" s="10" t="s">
        <v>2917</v>
      </c>
      <c r="I842" s="10" t="s">
        <v>43</v>
      </c>
      <c r="J842" s="10" t="s">
        <v>292</v>
      </c>
      <c r="K842" s="10" t="s">
        <v>3325</v>
      </c>
      <c r="L842" s="10" t="s">
        <v>2292</v>
      </c>
      <c r="M842" s="12">
        <v>45407</v>
      </c>
      <c r="N842" s="10" t="s">
        <v>20</v>
      </c>
      <c r="O842" s="10" t="s">
        <v>2057</v>
      </c>
      <c r="P842" s="25" t="str">
        <f>IFERROR(
IF(OR(O842="anulado",O842="stand by"),CONCATENATE(O842,": ",H842),
IF(OR(YEAR(M842)=2022,YEAR(M842)=2023),CONCATENATE("Se activó en ",YEAR(M842)),
IF(AND(OR(O842="En proceso",O842="facturando"),AND(J842="-",M842="")),"Por revisar",
IF(M842="",IF(J842="NUEVAS",CONCATENATE("Estado: ",O842,", ",J842),
IF(L842=Meses!$A$3,"Por revisar",
IF(H842="","Sin registro","En programación Frcst."))),"En programación")))),
"Error")</f>
        <v>En programación</v>
      </c>
      <c r="Q842" s="9" t="str">
        <f t="shared" si="39"/>
        <v/>
      </c>
      <c r="R842" s="25">
        <f>IF(P842="En programación Frcst.",VLOOKUP(L842,Meses!$A$1:$H$14,3+HLOOKUP(Cronograma!J842,Meses!$D$1:$G$2,2,FALSE),FALSE),
IF(P842="En programación",M842,""))</f>
        <v>45407</v>
      </c>
      <c r="S842" s="25" t="str">
        <f t="shared" si="41"/>
        <v>2024/4</v>
      </c>
      <c r="T842" s="21">
        <f>IFERROR(
(VLOOKUP(MONTH(R842),Meses!$B$3:$C$14,2,FALSE)-DAY(R842))/VLOOKUP(MONTH(R842),Meses!$B$3:$C$14,2,FALSE)*U842,
"")</f>
        <v>553.66666666666663</v>
      </c>
      <c r="U842" s="22">
        <f t="shared" si="40"/>
        <v>3322</v>
      </c>
    </row>
    <row r="843" spans="1:21" ht="31.8" hidden="1" thickBot="1" x14ac:dyDescent="0.6">
      <c r="A843" s="10" t="s">
        <v>1060</v>
      </c>
      <c r="B843" s="10" t="s">
        <v>1076</v>
      </c>
      <c r="C843" s="12"/>
      <c r="D843" s="10" t="s">
        <v>188</v>
      </c>
      <c r="E843" s="10" t="s">
        <v>188</v>
      </c>
      <c r="F843" s="10">
        <v>5379</v>
      </c>
      <c r="G843" s="10" t="s">
        <v>15</v>
      </c>
      <c r="H843" s="10" t="s">
        <v>2917</v>
      </c>
      <c r="I843" s="10" t="s">
        <v>43</v>
      </c>
      <c r="J843" s="10" t="s">
        <v>292</v>
      </c>
      <c r="K843" s="10" t="s">
        <v>3325</v>
      </c>
      <c r="L843" s="10" t="s">
        <v>2292</v>
      </c>
      <c r="M843" s="12">
        <v>45407</v>
      </c>
      <c r="N843" s="10" t="s">
        <v>20</v>
      </c>
      <c r="O843" s="10" t="s">
        <v>2057</v>
      </c>
      <c r="P843" s="25" t="str">
        <f>IFERROR(
IF(OR(O843="anulado",O843="stand by"),CONCATENATE(O843,": ",H843),
IF(OR(YEAR(M843)=2022,YEAR(M843)=2023),CONCATENATE("Se activó en ",YEAR(M843)),
IF(AND(OR(O843="En proceso",O843="facturando"),AND(J843="-",M843="")),"Por revisar",
IF(M843="",IF(J843="NUEVAS",CONCATENATE("Estado: ",O843,", ",J843),
IF(L843=Meses!$A$3,"Por revisar",
IF(H843="","Sin registro","En programación Frcst."))),"En programación")))),
"Error")</f>
        <v>En programación</v>
      </c>
      <c r="Q843" s="9" t="str">
        <f t="shared" si="39"/>
        <v/>
      </c>
      <c r="R843" s="25">
        <f>IF(P843="En programación Frcst.",VLOOKUP(L843,Meses!$A$1:$H$14,3+HLOOKUP(Cronograma!J843,Meses!$D$1:$G$2,2,FALSE),FALSE),
IF(P843="En programación",M843,""))</f>
        <v>45407</v>
      </c>
      <c r="S843" s="25" t="str">
        <f t="shared" si="41"/>
        <v>2024/4</v>
      </c>
      <c r="T843" s="21">
        <f>IFERROR(
(VLOOKUP(MONTH(R843),Meses!$B$3:$C$14,2,FALSE)-DAY(R843))/VLOOKUP(MONTH(R843),Meses!$B$3:$C$14,2,FALSE)*U843,
"")</f>
        <v>896.5</v>
      </c>
      <c r="U843" s="22">
        <f t="shared" si="40"/>
        <v>5379</v>
      </c>
    </row>
    <row r="844" spans="1:21" ht="31.8" hidden="1" thickBot="1" x14ac:dyDescent="0.6">
      <c r="A844" s="10" t="s">
        <v>1060</v>
      </c>
      <c r="B844" s="10" t="s">
        <v>1077</v>
      </c>
      <c r="C844" s="12"/>
      <c r="D844" s="10" t="s">
        <v>188</v>
      </c>
      <c r="E844" s="10" t="s">
        <v>188</v>
      </c>
      <c r="F844" s="10">
        <v>3947</v>
      </c>
      <c r="G844" s="10" t="s">
        <v>15</v>
      </c>
      <c r="H844" s="10" t="s">
        <v>2917</v>
      </c>
      <c r="I844" s="10" t="s">
        <v>43</v>
      </c>
      <c r="J844" s="10" t="s">
        <v>292</v>
      </c>
      <c r="K844" s="10" t="s">
        <v>3325</v>
      </c>
      <c r="L844" s="10" t="s">
        <v>2292</v>
      </c>
      <c r="M844" s="12">
        <v>45407</v>
      </c>
      <c r="N844" s="10" t="s">
        <v>20</v>
      </c>
      <c r="O844" s="10" t="s">
        <v>2057</v>
      </c>
      <c r="P844" s="25" t="str">
        <f>IFERROR(
IF(OR(O844="anulado",O844="stand by"),CONCATENATE(O844,": ",H844),
IF(OR(YEAR(M844)=2022,YEAR(M844)=2023),CONCATENATE("Se activó en ",YEAR(M844)),
IF(AND(OR(O844="En proceso",O844="facturando"),AND(J844="-",M844="")),"Por revisar",
IF(M844="",IF(J844="NUEVAS",CONCATENATE("Estado: ",O844,", ",J844),
IF(L844=Meses!$A$3,"Por revisar",
IF(H844="","Sin registro","En programación Frcst."))),"En programación")))),
"Error")</f>
        <v>En programación</v>
      </c>
      <c r="Q844" s="9" t="str">
        <f t="shared" si="39"/>
        <v/>
      </c>
      <c r="R844" s="25">
        <f>IF(P844="En programación Frcst.",VLOOKUP(L844,Meses!$A$1:$H$14,3+HLOOKUP(Cronograma!J844,Meses!$D$1:$G$2,2,FALSE),FALSE),
IF(P844="En programación",M844,""))</f>
        <v>45407</v>
      </c>
      <c r="S844" s="25" t="str">
        <f t="shared" si="41"/>
        <v>2024/4</v>
      </c>
      <c r="T844" s="21">
        <f>IFERROR(
(VLOOKUP(MONTH(R844),Meses!$B$3:$C$14,2,FALSE)-DAY(R844))/VLOOKUP(MONTH(R844),Meses!$B$3:$C$14,2,FALSE)*U844,
"")</f>
        <v>657.83333333333326</v>
      </c>
      <c r="U844" s="22">
        <f t="shared" si="40"/>
        <v>3947</v>
      </c>
    </row>
    <row r="845" spans="1:21" ht="32.4" hidden="1" thickBot="1" x14ac:dyDescent="0.6">
      <c r="A845" s="10" t="s">
        <v>1060</v>
      </c>
      <c r="B845" s="10" t="s">
        <v>1078</v>
      </c>
      <c r="C845" s="12"/>
      <c r="D845" s="10" t="s">
        <v>289</v>
      </c>
      <c r="E845" s="10" t="s">
        <v>289</v>
      </c>
      <c r="F845" s="10">
        <v>3632</v>
      </c>
      <c r="G845" s="10" t="s">
        <v>15</v>
      </c>
      <c r="H845" s="10" t="s">
        <v>2917</v>
      </c>
      <c r="I845" s="10" t="s">
        <v>18</v>
      </c>
      <c r="J845" s="10" t="s">
        <v>19</v>
      </c>
      <c r="K845" s="10" t="s">
        <v>19</v>
      </c>
      <c r="L845" s="10" t="s">
        <v>19</v>
      </c>
      <c r="M845" s="12"/>
      <c r="N845" s="10" t="s">
        <v>20</v>
      </c>
      <c r="O845" s="10" t="s">
        <v>2057</v>
      </c>
      <c r="P845" s="25" t="str">
        <f>IFERROR(
IF(OR(O845="anulado",O845="stand by"),CONCATENATE(O845,": ",H845),
IF(OR(YEAR(M845)=2022,YEAR(M845)=2023),CONCATENATE("Se activó en ",YEAR(M845)),
IF(AND(OR(O845="En proceso",O845="facturando"),AND(J845="-",M845="")),"Por revisar",
IF(M845="",IF(J845="NUEVAS",CONCATENATE("Estado: ",O845,", ",J845),
IF(L845=Meses!$A$3,"Por revisar",
IF(H845="","Sin registro","En programación Frcst."))),"En programación")))),
"Error")</f>
        <v>Por revisar</v>
      </c>
      <c r="Q845" s="9" t="str">
        <f t="shared" si="39"/>
        <v>programación de act. NO, estado: En proceso, Comercializador: CELSIA, Etapa: Etapa 2 (solicitud P&amp;S)</v>
      </c>
      <c r="R845" s="25" t="str">
        <f>IF(P845="En programación Frcst.",VLOOKUP(L845,Meses!$A$1:$H$14,3+HLOOKUP(Cronograma!J845,Meses!$D$1:$G$2,2,FALSE),FALSE),
IF(P845="En programación",M845,""))</f>
        <v/>
      </c>
      <c r="S845" s="25" t="str">
        <f t="shared" si="41"/>
        <v/>
      </c>
      <c r="T845" s="21" t="str">
        <f>IFERROR(
(VLOOKUP(MONTH(R845),Meses!$B$3:$C$14,2,FALSE)-DAY(R845))/VLOOKUP(MONTH(R845),Meses!$B$3:$C$14,2,FALSE)*U845,
"")</f>
        <v/>
      </c>
      <c r="U845" s="22">
        <f t="shared" si="40"/>
        <v>3632</v>
      </c>
    </row>
    <row r="846" spans="1:21" ht="32.4" hidden="1" thickBot="1" x14ac:dyDescent="0.6">
      <c r="A846" s="10" t="s">
        <v>1060</v>
      </c>
      <c r="B846" s="10" t="s">
        <v>1079</v>
      </c>
      <c r="C846" s="12"/>
      <c r="D846" s="10" t="s">
        <v>289</v>
      </c>
      <c r="E846" s="10" t="s">
        <v>289</v>
      </c>
      <c r="F846" s="10">
        <v>2319</v>
      </c>
      <c r="G846" s="10" t="s">
        <v>15</v>
      </c>
      <c r="H846" s="10" t="s">
        <v>2917</v>
      </c>
      <c r="I846" s="10" t="s">
        <v>18</v>
      </c>
      <c r="J846" s="10" t="s">
        <v>19</v>
      </c>
      <c r="K846" s="10" t="s">
        <v>19</v>
      </c>
      <c r="L846" s="10" t="s">
        <v>19</v>
      </c>
      <c r="M846" s="12"/>
      <c r="N846" s="10" t="s">
        <v>20</v>
      </c>
      <c r="O846" s="10" t="s">
        <v>2057</v>
      </c>
      <c r="P846" s="25" t="str">
        <f>IFERROR(
IF(OR(O846="anulado",O846="stand by"),CONCATENATE(O846,": ",H846),
IF(OR(YEAR(M846)=2022,YEAR(M846)=2023),CONCATENATE("Se activó en ",YEAR(M846)),
IF(AND(OR(O846="En proceso",O846="facturando"),AND(J846="-",M846="")),"Por revisar",
IF(M846="",IF(J846="NUEVAS",CONCATENATE("Estado: ",O846,", ",J846),
IF(L846=Meses!$A$3,"Por revisar",
IF(H846="","Sin registro","En programación Frcst."))),"En programación")))),
"Error")</f>
        <v>Por revisar</v>
      </c>
      <c r="Q846" s="9" t="str">
        <f t="shared" si="39"/>
        <v>programación de act. NO, estado: En proceso, Comercializador: CELSIA, Etapa: Etapa 2 (solicitud P&amp;S)</v>
      </c>
      <c r="R846" s="25" t="str">
        <f>IF(P846="En programación Frcst.",VLOOKUP(L846,Meses!$A$1:$H$14,3+HLOOKUP(Cronograma!J846,Meses!$D$1:$G$2,2,FALSE),FALSE),
IF(P846="En programación",M846,""))</f>
        <v/>
      </c>
      <c r="S846" s="25" t="str">
        <f t="shared" si="41"/>
        <v/>
      </c>
      <c r="T846" s="21" t="str">
        <f>IFERROR(
(VLOOKUP(MONTH(R846),Meses!$B$3:$C$14,2,FALSE)-DAY(R846))/VLOOKUP(MONTH(R846),Meses!$B$3:$C$14,2,FALSE)*U846,
"")</f>
        <v/>
      </c>
      <c r="U846" s="22">
        <f t="shared" si="40"/>
        <v>2319</v>
      </c>
    </row>
    <row r="847" spans="1:21" ht="32.4" hidden="1" thickBot="1" x14ac:dyDescent="0.6">
      <c r="A847" s="10" t="s">
        <v>1060</v>
      </c>
      <c r="B847" s="10" t="s">
        <v>1080</v>
      </c>
      <c r="C847" s="12"/>
      <c r="D847" s="10" t="s">
        <v>289</v>
      </c>
      <c r="E847" s="10" t="s">
        <v>289</v>
      </c>
      <c r="F847" s="10">
        <v>6463</v>
      </c>
      <c r="G847" s="10" t="s">
        <v>15</v>
      </c>
      <c r="H847" s="10" t="s">
        <v>2917</v>
      </c>
      <c r="I847" s="10" t="s">
        <v>18</v>
      </c>
      <c r="J847" s="10" t="s">
        <v>19</v>
      </c>
      <c r="K847" s="10" t="s">
        <v>19</v>
      </c>
      <c r="L847" s="10" t="s">
        <v>19</v>
      </c>
      <c r="M847" s="12"/>
      <c r="N847" s="10" t="s">
        <v>20</v>
      </c>
      <c r="O847" s="10" t="s">
        <v>2057</v>
      </c>
      <c r="P847" s="25" t="str">
        <f>IFERROR(
IF(OR(O847="anulado",O847="stand by"),CONCATENATE(O847,": ",H847),
IF(OR(YEAR(M847)=2022,YEAR(M847)=2023),CONCATENATE("Se activó en ",YEAR(M847)),
IF(AND(OR(O847="En proceso",O847="facturando"),AND(J847="-",M847="")),"Por revisar",
IF(M847="",IF(J847="NUEVAS",CONCATENATE("Estado: ",O847,", ",J847),
IF(L847=Meses!$A$3,"Por revisar",
IF(H847="","Sin registro","En programación Frcst."))),"En programación")))),
"Error")</f>
        <v>Por revisar</v>
      </c>
      <c r="Q847" s="9" t="str">
        <f t="shared" si="39"/>
        <v>programación de act. NO, estado: En proceso, Comercializador: CELSIA, Etapa: Etapa 2 (solicitud P&amp;S)</v>
      </c>
      <c r="R847" s="25" t="str">
        <f>IF(P847="En programación Frcst.",VLOOKUP(L847,Meses!$A$1:$H$14,3+HLOOKUP(Cronograma!J847,Meses!$D$1:$G$2,2,FALSE),FALSE),
IF(P847="En programación",M847,""))</f>
        <v/>
      </c>
      <c r="S847" s="25" t="str">
        <f t="shared" si="41"/>
        <v/>
      </c>
      <c r="T847" s="21" t="str">
        <f>IFERROR(
(VLOOKUP(MONTH(R847),Meses!$B$3:$C$14,2,FALSE)-DAY(R847))/VLOOKUP(MONTH(R847),Meses!$B$3:$C$14,2,FALSE)*U847,
"")</f>
        <v/>
      </c>
      <c r="U847" s="22">
        <f t="shared" si="40"/>
        <v>6463</v>
      </c>
    </row>
    <row r="848" spans="1:21" ht="47.4" hidden="1" thickBot="1" x14ac:dyDescent="0.6">
      <c r="A848" s="10" t="s">
        <v>1081</v>
      </c>
      <c r="B848" s="10" t="s">
        <v>1082</v>
      </c>
      <c r="C848" s="12">
        <v>45197</v>
      </c>
      <c r="D848" s="10" t="s">
        <v>862</v>
      </c>
      <c r="E848" s="10" t="s">
        <v>291</v>
      </c>
      <c r="F848" s="10">
        <v>13833</v>
      </c>
      <c r="G848" s="10" t="s">
        <v>15</v>
      </c>
      <c r="H848" s="10" t="s">
        <v>17</v>
      </c>
      <c r="I848" s="10" t="s">
        <v>66</v>
      </c>
      <c r="J848" s="10" t="s">
        <v>19</v>
      </c>
      <c r="K848" s="10" t="s">
        <v>19</v>
      </c>
      <c r="L848" s="10" t="s">
        <v>19</v>
      </c>
      <c r="M848" s="12"/>
      <c r="N848" s="10" t="s">
        <v>20</v>
      </c>
      <c r="O848" s="10" t="s">
        <v>2054</v>
      </c>
      <c r="P848" s="25" t="str">
        <f>IFERROR(
IF(OR(O848="anulado",O848="stand by"),CONCATENATE(O848,": ",H848),
IF(OR(YEAR(M848)=2022,YEAR(M848)=2023),CONCATENATE("Se activó en ",YEAR(M848)),
IF(AND(OR(O848="En proceso",O848="facturando"),AND(J848="-",M848="")),"Por revisar",
IF(M848="",IF(J848="NUEVAS",CONCATENATE("Estado: ",O848,", ",J848),
IF(L848=Meses!$A$3,"Por revisar",
IF(H848="","Sin registro","En programación Frcst."))),"En programación")))),
"Error")</f>
        <v>Por revisar</v>
      </c>
      <c r="Q848" s="9" t="str">
        <f t="shared" si="39"/>
        <v>programación de act. NO, estado: Facturando, Comercializador: DICELER, Etapa: Instalado y Activado</v>
      </c>
      <c r="R848" s="25" t="str">
        <f>IF(P848="En programación Frcst.",VLOOKUP(L848,Meses!$A$1:$H$14,3+HLOOKUP(Cronograma!J848,Meses!$D$1:$G$2,2,FALSE),FALSE),
IF(P848="En programación",M848,""))</f>
        <v/>
      </c>
      <c r="S848" s="25" t="str">
        <f t="shared" si="41"/>
        <v/>
      </c>
      <c r="T848" s="21" t="str">
        <f>IFERROR(
(VLOOKUP(MONTH(R848),Meses!$B$3:$C$14,2,FALSE)-DAY(R848))/VLOOKUP(MONTH(R848),Meses!$B$3:$C$14,2,FALSE)*U848,
"")</f>
        <v/>
      </c>
      <c r="U848" s="22">
        <f t="shared" si="40"/>
        <v>13833</v>
      </c>
    </row>
    <row r="849" spans="1:21" ht="47.4" hidden="1" thickBot="1" x14ac:dyDescent="0.6">
      <c r="A849" s="10" t="s">
        <v>1083</v>
      </c>
      <c r="B849" s="10" t="s">
        <v>1084</v>
      </c>
      <c r="C849" s="12">
        <v>45183</v>
      </c>
      <c r="D849" s="10" t="s">
        <v>862</v>
      </c>
      <c r="E849" s="10" t="s">
        <v>44</v>
      </c>
      <c r="F849" s="10">
        <v>1367</v>
      </c>
      <c r="G849" s="10" t="s">
        <v>15</v>
      </c>
      <c r="H849" s="10" t="s">
        <v>2406</v>
      </c>
      <c r="I849" s="10" t="s">
        <v>66</v>
      </c>
      <c r="J849" s="10" t="s">
        <v>143</v>
      </c>
      <c r="K849" s="10" t="s">
        <v>2903</v>
      </c>
      <c r="L849" s="10" t="s">
        <v>2297</v>
      </c>
      <c r="M849" s="12"/>
      <c r="N849" s="10" t="s">
        <v>20</v>
      </c>
      <c r="O849" s="10" t="s">
        <v>2054</v>
      </c>
      <c r="P849" s="25" t="str">
        <f>IFERROR(
IF(OR(O849="anulado",O849="stand by"),CONCATENATE(O849,": ",H849),
IF(OR(YEAR(M849)=2022,YEAR(M849)=2023),CONCATENATE("Se activó en ",YEAR(M849)),
IF(AND(OR(O849="En proceso",O849="facturando"),AND(J849="-",M849="")),"Por revisar",
IF(M849="",IF(J849="NUEVAS",CONCATENATE("Estado: ",O849,", ",J849),
IF(L849=Meses!$A$3,"Por revisar",
IF(H849="","Sin registro","En programación Frcst."))),"En programación")))),
"Error")</f>
        <v>En programación Frcst.</v>
      </c>
      <c r="Q849" s="9" t="str">
        <f t="shared" si="39"/>
        <v/>
      </c>
      <c r="R849" s="25">
        <f>IF(P849="En programación Frcst.",VLOOKUP(L849,Meses!$A$1:$H$14,3+HLOOKUP(Cronograma!J849,Meses!$D$1:$G$2,2,FALSE),FALSE),
IF(P849="En programación",M849,""))</f>
        <v>0</v>
      </c>
      <c r="S849" s="25" t="str">
        <f t="shared" si="41"/>
        <v>1900/1</v>
      </c>
      <c r="T849" s="21">
        <f>IFERROR(
(VLOOKUP(MONTH(R849),Meses!$B$3:$C$14,2,FALSE)-DAY(R849))/VLOOKUP(MONTH(R849),Meses!$B$3:$C$14,2,FALSE)*U849,
"")</f>
        <v>1367</v>
      </c>
      <c r="U849" s="22">
        <f t="shared" si="40"/>
        <v>1367</v>
      </c>
    </row>
    <row r="850" spans="1:21" ht="47.4" hidden="1" thickBot="1" x14ac:dyDescent="0.6">
      <c r="A850" s="10" t="s">
        <v>1083</v>
      </c>
      <c r="B850" s="10" t="s">
        <v>1085</v>
      </c>
      <c r="C850" s="12">
        <v>45183</v>
      </c>
      <c r="D850" s="10" t="s">
        <v>862</v>
      </c>
      <c r="E850" s="10" t="s">
        <v>44</v>
      </c>
      <c r="F850" s="10">
        <v>1738</v>
      </c>
      <c r="G850" s="10" t="s">
        <v>15</v>
      </c>
      <c r="H850" s="10" t="s">
        <v>2406</v>
      </c>
      <c r="I850" s="10" t="s">
        <v>66</v>
      </c>
      <c r="J850" s="10" t="s">
        <v>143</v>
      </c>
      <c r="K850" s="10" t="s">
        <v>2903</v>
      </c>
      <c r="L850" s="10" t="s">
        <v>2297</v>
      </c>
      <c r="M850" s="12"/>
      <c r="N850" s="10" t="s">
        <v>20</v>
      </c>
      <c r="O850" s="10" t="s">
        <v>2054</v>
      </c>
      <c r="P850" s="25" t="str">
        <f>IFERROR(
IF(OR(O850="anulado",O850="stand by"),CONCATENATE(O850,": ",H850),
IF(OR(YEAR(M850)=2022,YEAR(M850)=2023),CONCATENATE("Se activó en ",YEAR(M850)),
IF(AND(OR(O850="En proceso",O850="facturando"),AND(J850="-",M850="")),"Por revisar",
IF(M850="",IF(J850="NUEVAS",CONCATENATE("Estado: ",O850,", ",J850),
IF(L850=Meses!$A$3,"Por revisar",
IF(H850="","Sin registro","En programación Frcst."))),"En programación")))),
"Error")</f>
        <v>En programación Frcst.</v>
      </c>
      <c r="Q850" s="9" t="str">
        <f t="shared" si="39"/>
        <v/>
      </c>
      <c r="R850" s="25">
        <f>IF(P850="En programación Frcst.",VLOOKUP(L850,Meses!$A$1:$H$14,3+HLOOKUP(Cronograma!J850,Meses!$D$1:$G$2,2,FALSE),FALSE),
IF(P850="En programación",M850,""))</f>
        <v>0</v>
      </c>
      <c r="S850" s="25" t="str">
        <f t="shared" si="41"/>
        <v>1900/1</v>
      </c>
      <c r="T850" s="21">
        <f>IFERROR(
(VLOOKUP(MONTH(R850),Meses!$B$3:$C$14,2,FALSE)-DAY(R850))/VLOOKUP(MONTH(R850),Meses!$B$3:$C$14,2,FALSE)*U850,
"")</f>
        <v>1738</v>
      </c>
      <c r="U850" s="22">
        <f t="shared" si="40"/>
        <v>1738</v>
      </c>
    </row>
    <row r="851" spans="1:21" ht="47.4" hidden="1" thickBot="1" x14ac:dyDescent="0.6">
      <c r="A851" s="10" t="s">
        <v>1083</v>
      </c>
      <c r="B851" s="10" t="s">
        <v>1086</v>
      </c>
      <c r="C851" s="12">
        <v>45183</v>
      </c>
      <c r="D851" s="10" t="s">
        <v>862</v>
      </c>
      <c r="E851" s="10" t="s">
        <v>74</v>
      </c>
      <c r="F851" s="10">
        <v>0</v>
      </c>
      <c r="G851" s="10" t="s">
        <v>15</v>
      </c>
      <c r="H851" s="10" t="s">
        <v>2406</v>
      </c>
      <c r="I851" s="10" t="s">
        <v>66</v>
      </c>
      <c r="J851" s="10" t="s">
        <v>143</v>
      </c>
      <c r="K851" s="10" t="s">
        <v>2903</v>
      </c>
      <c r="L851" s="10" t="s">
        <v>2297</v>
      </c>
      <c r="M851" s="12"/>
      <c r="N851" s="10" t="s">
        <v>20</v>
      </c>
      <c r="O851" s="10" t="s">
        <v>2054</v>
      </c>
      <c r="P851" s="25" t="str">
        <f>IFERROR(
IF(OR(O851="anulado",O851="stand by"),CONCATENATE(O851,": ",H851),
IF(OR(YEAR(M851)=2022,YEAR(M851)=2023),CONCATENATE("Se activó en ",YEAR(M851)),
IF(AND(OR(O851="En proceso",O851="facturando"),AND(J851="-",M851="")),"Por revisar",
IF(M851="",IF(J851="NUEVAS",CONCATENATE("Estado: ",O851,", ",J851),
IF(L851=Meses!$A$3,"Por revisar",
IF(H851="","Sin registro","En programación Frcst."))),"En programación")))),
"Error")</f>
        <v>En programación Frcst.</v>
      </c>
      <c r="Q851" s="9" t="str">
        <f t="shared" si="39"/>
        <v/>
      </c>
      <c r="R851" s="25">
        <f>IF(P851="En programación Frcst.",VLOOKUP(L851,Meses!$A$1:$H$14,3+HLOOKUP(Cronograma!J851,Meses!$D$1:$G$2,2,FALSE),FALSE),
IF(P851="En programación",M851,""))</f>
        <v>0</v>
      </c>
      <c r="S851" s="25" t="str">
        <f t="shared" si="41"/>
        <v>1900/1</v>
      </c>
      <c r="T851" s="21">
        <f>IFERROR(
(VLOOKUP(MONTH(R851),Meses!$B$3:$C$14,2,FALSE)-DAY(R851))/VLOOKUP(MONTH(R851),Meses!$B$3:$C$14,2,FALSE)*U851,
"")</f>
        <v>0</v>
      </c>
      <c r="U851" s="22">
        <f t="shared" si="40"/>
        <v>0</v>
      </c>
    </row>
    <row r="852" spans="1:21" ht="47.4" hidden="1" thickBot="1" x14ac:dyDescent="0.6">
      <c r="A852" s="10" t="s">
        <v>1083</v>
      </c>
      <c r="B852" s="10" t="s">
        <v>1087</v>
      </c>
      <c r="C852" s="12">
        <v>45183</v>
      </c>
      <c r="D852" s="10" t="s">
        <v>862</v>
      </c>
      <c r="E852" s="10" t="s">
        <v>74</v>
      </c>
      <c r="F852" s="10">
        <v>1218</v>
      </c>
      <c r="G852" s="10" t="s">
        <v>15</v>
      </c>
      <c r="H852" s="10" t="s">
        <v>2406</v>
      </c>
      <c r="I852" s="10" t="s">
        <v>66</v>
      </c>
      <c r="J852" s="10" t="s">
        <v>282</v>
      </c>
      <c r="K852" s="10" t="s">
        <v>2904</v>
      </c>
      <c r="L852" s="10" t="s">
        <v>2297</v>
      </c>
      <c r="M852" s="12"/>
      <c r="N852" s="10" t="s">
        <v>20</v>
      </c>
      <c r="O852" s="10" t="s">
        <v>2054</v>
      </c>
      <c r="P852" s="25" t="str">
        <f>IFERROR(
IF(OR(O852="anulado",O852="stand by"),CONCATENATE(O852,": ",H852),
IF(OR(YEAR(M852)=2022,YEAR(M852)=2023),CONCATENATE("Se activó en ",YEAR(M852)),
IF(AND(OR(O852="En proceso",O852="facturando"),AND(J852="-",M852="")),"Por revisar",
IF(M852="",IF(J852="NUEVAS",CONCATENATE("Estado: ",O852,", ",J852),
IF(L852=Meses!$A$3,"Por revisar",
IF(H852="","Sin registro","En programación Frcst."))),"En programación")))),
"Error")</f>
        <v>En programación Frcst.</v>
      </c>
      <c r="Q852" s="9" t="str">
        <f t="shared" si="39"/>
        <v/>
      </c>
      <c r="R852" s="25">
        <f>IF(P852="En programación Frcst.",VLOOKUP(L852,Meses!$A$1:$H$14,3+HLOOKUP(Cronograma!J852,Meses!$D$1:$G$2,2,FALSE),FALSE),
IF(P852="En programación",M852,""))</f>
        <v>0</v>
      </c>
      <c r="S852" s="25" t="str">
        <f t="shared" si="41"/>
        <v>1900/1</v>
      </c>
      <c r="T852" s="21">
        <f>IFERROR(
(VLOOKUP(MONTH(R852),Meses!$B$3:$C$14,2,FALSE)-DAY(R852))/VLOOKUP(MONTH(R852),Meses!$B$3:$C$14,2,FALSE)*U852,
"")</f>
        <v>1218</v>
      </c>
      <c r="U852" s="22">
        <f t="shared" si="40"/>
        <v>1218</v>
      </c>
    </row>
    <row r="853" spans="1:21" ht="47.4" hidden="1" thickBot="1" x14ac:dyDescent="0.6">
      <c r="A853" s="10" t="s">
        <v>1083</v>
      </c>
      <c r="B853" s="10" t="s">
        <v>1088</v>
      </c>
      <c r="C853" s="12">
        <v>45170</v>
      </c>
      <c r="D853" s="10" t="s">
        <v>862</v>
      </c>
      <c r="E853" s="10" t="s">
        <v>74</v>
      </c>
      <c r="F853" s="10">
        <v>4160</v>
      </c>
      <c r="G853" s="10" t="s">
        <v>15</v>
      </c>
      <c r="H853" s="10" t="s">
        <v>2406</v>
      </c>
      <c r="I853" s="10" t="s">
        <v>66</v>
      </c>
      <c r="J853" s="10" t="s">
        <v>282</v>
      </c>
      <c r="K853" s="10" t="s">
        <v>2904</v>
      </c>
      <c r="L853" s="10" t="s">
        <v>2297</v>
      </c>
      <c r="M853" s="12"/>
      <c r="N853" s="10" t="s">
        <v>20</v>
      </c>
      <c r="O853" s="10" t="s">
        <v>2054</v>
      </c>
      <c r="P853" s="25" t="str">
        <f>IFERROR(
IF(OR(O853="anulado",O853="stand by"),CONCATENATE(O853,": ",H853),
IF(OR(YEAR(M853)=2022,YEAR(M853)=2023),CONCATENATE("Se activó en ",YEAR(M853)),
IF(AND(OR(O853="En proceso",O853="facturando"),AND(J853="-",M853="")),"Por revisar",
IF(M853="",IF(J853="NUEVAS",CONCATENATE("Estado: ",O853,", ",J853),
IF(L853=Meses!$A$3,"Por revisar",
IF(H853="","Sin registro","En programación Frcst."))),"En programación")))),
"Error")</f>
        <v>En programación Frcst.</v>
      </c>
      <c r="Q853" s="9" t="str">
        <f t="shared" si="39"/>
        <v/>
      </c>
      <c r="R853" s="25">
        <f>IF(P853="En programación Frcst.",VLOOKUP(L853,Meses!$A$1:$H$14,3+HLOOKUP(Cronograma!J853,Meses!$D$1:$G$2,2,FALSE),FALSE),
IF(P853="En programación",M853,""))</f>
        <v>0</v>
      </c>
      <c r="S853" s="25" t="str">
        <f t="shared" si="41"/>
        <v>1900/1</v>
      </c>
      <c r="T853" s="21">
        <f>IFERROR(
(VLOOKUP(MONTH(R853),Meses!$B$3:$C$14,2,FALSE)-DAY(R853))/VLOOKUP(MONTH(R853),Meses!$B$3:$C$14,2,FALSE)*U853,
"")</f>
        <v>4160</v>
      </c>
      <c r="U853" s="22">
        <f t="shared" si="40"/>
        <v>4160</v>
      </c>
    </row>
    <row r="854" spans="1:21" ht="47.4" hidden="1" thickBot="1" x14ac:dyDescent="0.6">
      <c r="A854" s="10" t="s">
        <v>1083</v>
      </c>
      <c r="B854" s="10" t="s">
        <v>1089</v>
      </c>
      <c r="C854" s="12">
        <v>45170</v>
      </c>
      <c r="D854" s="10" t="s">
        <v>862</v>
      </c>
      <c r="E854" s="10" t="s">
        <v>74</v>
      </c>
      <c r="F854" s="10">
        <v>14271</v>
      </c>
      <c r="G854" s="10" t="s">
        <v>15</v>
      </c>
      <c r="H854" s="10" t="s">
        <v>2406</v>
      </c>
      <c r="I854" s="10" t="s">
        <v>66</v>
      </c>
      <c r="J854" s="10" t="s">
        <v>282</v>
      </c>
      <c r="K854" s="10" t="s">
        <v>2904</v>
      </c>
      <c r="L854" s="10" t="s">
        <v>2297</v>
      </c>
      <c r="M854" s="12"/>
      <c r="N854" s="10" t="s">
        <v>20</v>
      </c>
      <c r="O854" s="10" t="s">
        <v>2054</v>
      </c>
      <c r="P854" s="25" t="str">
        <f>IFERROR(
IF(OR(O854="anulado",O854="stand by"),CONCATENATE(O854,": ",H854),
IF(OR(YEAR(M854)=2022,YEAR(M854)=2023),CONCATENATE("Se activó en ",YEAR(M854)),
IF(AND(OR(O854="En proceso",O854="facturando"),AND(J854="-",M854="")),"Por revisar",
IF(M854="",IF(J854="NUEVAS",CONCATENATE("Estado: ",O854,", ",J854),
IF(L854=Meses!$A$3,"Por revisar",
IF(H854="","Sin registro","En programación Frcst."))),"En programación")))),
"Error")</f>
        <v>En programación Frcst.</v>
      </c>
      <c r="Q854" s="9" t="str">
        <f t="shared" si="39"/>
        <v/>
      </c>
      <c r="R854" s="25">
        <f>IF(P854="En programación Frcst.",VLOOKUP(L854,Meses!$A$1:$H$14,3+HLOOKUP(Cronograma!J854,Meses!$D$1:$G$2,2,FALSE),FALSE),
IF(P854="En programación",M854,""))</f>
        <v>0</v>
      </c>
      <c r="S854" s="25" t="str">
        <f t="shared" si="41"/>
        <v>1900/1</v>
      </c>
      <c r="T854" s="21">
        <f>IFERROR(
(VLOOKUP(MONTH(R854),Meses!$B$3:$C$14,2,FALSE)-DAY(R854))/VLOOKUP(MONTH(R854),Meses!$B$3:$C$14,2,FALSE)*U854,
"")</f>
        <v>14271</v>
      </c>
      <c r="U854" s="22">
        <f t="shared" si="40"/>
        <v>14271</v>
      </c>
    </row>
    <row r="855" spans="1:21" ht="47.4" hidden="1" thickBot="1" x14ac:dyDescent="0.6">
      <c r="A855" s="10" t="s">
        <v>1083</v>
      </c>
      <c r="B855" s="10" t="s">
        <v>1090</v>
      </c>
      <c r="C855" s="12">
        <v>45170</v>
      </c>
      <c r="D855" s="10" t="s">
        <v>862</v>
      </c>
      <c r="E855" s="10" t="s">
        <v>74</v>
      </c>
      <c r="F855" s="10">
        <v>4722</v>
      </c>
      <c r="G855" s="10" t="s">
        <v>15</v>
      </c>
      <c r="H855" s="10" t="s">
        <v>2406</v>
      </c>
      <c r="I855" s="10" t="s">
        <v>66</v>
      </c>
      <c r="J855" s="10" t="s">
        <v>282</v>
      </c>
      <c r="K855" s="10" t="s">
        <v>2904</v>
      </c>
      <c r="L855" s="10" t="s">
        <v>2297</v>
      </c>
      <c r="M855" s="12"/>
      <c r="N855" s="10" t="s">
        <v>20</v>
      </c>
      <c r="O855" s="10" t="s">
        <v>2054</v>
      </c>
      <c r="P855" s="25" t="str">
        <f>IFERROR(
IF(OR(O855="anulado",O855="stand by"),CONCATENATE(O855,": ",H855),
IF(OR(YEAR(M855)=2022,YEAR(M855)=2023),CONCATENATE("Se activó en ",YEAR(M855)),
IF(AND(OR(O855="En proceso",O855="facturando"),AND(J855="-",M855="")),"Por revisar",
IF(M855="",IF(J855="NUEVAS",CONCATENATE("Estado: ",O855,", ",J855),
IF(L855=Meses!$A$3,"Por revisar",
IF(H855="","Sin registro","En programación Frcst."))),"En programación")))),
"Error")</f>
        <v>En programación Frcst.</v>
      </c>
      <c r="Q855" s="9" t="str">
        <f t="shared" si="39"/>
        <v/>
      </c>
      <c r="R855" s="25">
        <f>IF(P855="En programación Frcst.",VLOOKUP(L855,Meses!$A$1:$H$14,3+HLOOKUP(Cronograma!J855,Meses!$D$1:$G$2,2,FALSE),FALSE),
IF(P855="En programación",M855,""))</f>
        <v>0</v>
      </c>
      <c r="S855" s="25" t="str">
        <f t="shared" si="41"/>
        <v>1900/1</v>
      </c>
      <c r="T855" s="21">
        <f>IFERROR(
(VLOOKUP(MONTH(R855),Meses!$B$3:$C$14,2,FALSE)-DAY(R855))/VLOOKUP(MONTH(R855),Meses!$B$3:$C$14,2,FALSE)*U855,
"")</f>
        <v>4722</v>
      </c>
      <c r="U855" s="22">
        <f t="shared" si="40"/>
        <v>4722</v>
      </c>
    </row>
    <row r="856" spans="1:21" ht="47.4" hidden="1" thickBot="1" x14ac:dyDescent="0.6">
      <c r="A856" s="10" t="s">
        <v>1083</v>
      </c>
      <c r="B856" s="10" t="s">
        <v>1091</v>
      </c>
      <c r="C856" s="12">
        <v>45170</v>
      </c>
      <c r="D856" s="10" t="s">
        <v>862</v>
      </c>
      <c r="E856" s="10" t="s">
        <v>74</v>
      </c>
      <c r="F856" s="10">
        <v>5277</v>
      </c>
      <c r="G856" s="10" t="s">
        <v>15</v>
      </c>
      <c r="H856" s="10" t="s">
        <v>2406</v>
      </c>
      <c r="I856" s="10" t="s">
        <v>66</v>
      </c>
      <c r="J856" s="10" t="s">
        <v>282</v>
      </c>
      <c r="K856" s="10" t="s">
        <v>2904</v>
      </c>
      <c r="L856" s="10" t="s">
        <v>2297</v>
      </c>
      <c r="M856" s="12"/>
      <c r="N856" s="10" t="s">
        <v>20</v>
      </c>
      <c r="O856" s="10" t="s">
        <v>2054</v>
      </c>
      <c r="P856" s="25" t="str">
        <f>IFERROR(
IF(OR(O856="anulado",O856="stand by"),CONCATENATE(O856,": ",H856),
IF(OR(YEAR(M856)=2022,YEAR(M856)=2023),CONCATENATE("Se activó en ",YEAR(M856)),
IF(AND(OR(O856="En proceso",O856="facturando"),AND(J856="-",M856="")),"Por revisar",
IF(M856="",IF(J856="NUEVAS",CONCATENATE("Estado: ",O856,", ",J856),
IF(L856=Meses!$A$3,"Por revisar",
IF(H856="","Sin registro","En programación Frcst."))),"En programación")))),
"Error")</f>
        <v>En programación Frcst.</v>
      </c>
      <c r="Q856" s="9" t="str">
        <f t="shared" si="39"/>
        <v/>
      </c>
      <c r="R856" s="25">
        <f>IF(P856="En programación Frcst.",VLOOKUP(L856,Meses!$A$1:$H$14,3+HLOOKUP(Cronograma!J856,Meses!$D$1:$G$2,2,FALSE),FALSE),
IF(P856="En programación",M856,""))</f>
        <v>0</v>
      </c>
      <c r="S856" s="25" t="str">
        <f t="shared" si="41"/>
        <v>1900/1</v>
      </c>
      <c r="T856" s="21">
        <f>IFERROR(
(VLOOKUP(MONTH(R856),Meses!$B$3:$C$14,2,FALSE)-DAY(R856))/VLOOKUP(MONTH(R856),Meses!$B$3:$C$14,2,FALSE)*U856,
"")</f>
        <v>5277</v>
      </c>
      <c r="U856" s="22">
        <f t="shared" si="40"/>
        <v>5277</v>
      </c>
    </row>
    <row r="857" spans="1:21" ht="47.4" hidden="1" thickBot="1" x14ac:dyDescent="0.6">
      <c r="A857" s="10" t="s">
        <v>1083</v>
      </c>
      <c r="B857" s="10" t="s">
        <v>1092</v>
      </c>
      <c r="C857" s="12">
        <v>45170</v>
      </c>
      <c r="D857" s="10" t="s">
        <v>862</v>
      </c>
      <c r="E857" s="10" t="s">
        <v>74</v>
      </c>
      <c r="F857" s="10">
        <v>5094</v>
      </c>
      <c r="G857" s="10" t="s">
        <v>15</v>
      </c>
      <c r="H857" s="10" t="s">
        <v>2406</v>
      </c>
      <c r="I857" s="10" t="s">
        <v>66</v>
      </c>
      <c r="J857" s="10" t="s">
        <v>282</v>
      </c>
      <c r="K857" s="10" t="s">
        <v>2904</v>
      </c>
      <c r="L857" s="10" t="s">
        <v>2297</v>
      </c>
      <c r="M857" s="12"/>
      <c r="N857" s="10" t="s">
        <v>20</v>
      </c>
      <c r="O857" s="10" t="s">
        <v>2054</v>
      </c>
      <c r="P857" s="25" t="str">
        <f>IFERROR(
IF(OR(O857="anulado",O857="stand by"),CONCATENATE(O857,": ",H857),
IF(OR(YEAR(M857)=2022,YEAR(M857)=2023),CONCATENATE("Se activó en ",YEAR(M857)),
IF(AND(OR(O857="En proceso",O857="facturando"),AND(J857="-",M857="")),"Por revisar",
IF(M857="",IF(J857="NUEVAS",CONCATENATE("Estado: ",O857,", ",J857),
IF(L857=Meses!$A$3,"Por revisar",
IF(H857="","Sin registro","En programación Frcst."))),"En programación")))),
"Error")</f>
        <v>En programación Frcst.</v>
      </c>
      <c r="Q857" s="9" t="str">
        <f t="shared" si="39"/>
        <v/>
      </c>
      <c r="R857" s="25">
        <f>IF(P857="En programación Frcst.",VLOOKUP(L857,Meses!$A$1:$H$14,3+HLOOKUP(Cronograma!J857,Meses!$D$1:$G$2,2,FALSE),FALSE),
IF(P857="En programación",M857,""))</f>
        <v>0</v>
      </c>
      <c r="S857" s="25" t="str">
        <f t="shared" si="41"/>
        <v>1900/1</v>
      </c>
      <c r="T857" s="21">
        <f>IFERROR(
(VLOOKUP(MONTH(R857),Meses!$B$3:$C$14,2,FALSE)-DAY(R857))/VLOOKUP(MONTH(R857),Meses!$B$3:$C$14,2,FALSE)*U857,
"")</f>
        <v>5094</v>
      </c>
      <c r="U857" s="22">
        <f t="shared" si="40"/>
        <v>5094</v>
      </c>
    </row>
    <row r="858" spans="1:21" ht="47.4" hidden="1" thickBot="1" x14ac:dyDescent="0.6">
      <c r="A858" s="10" t="s">
        <v>1083</v>
      </c>
      <c r="B858" s="10" t="s">
        <v>1093</v>
      </c>
      <c r="C858" s="12">
        <v>45170</v>
      </c>
      <c r="D858" s="10" t="s">
        <v>862</v>
      </c>
      <c r="E858" s="10" t="s">
        <v>74</v>
      </c>
      <c r="F858" s="10">
        <v>4137</v>
      </c>
      <c r="G858" s="10" t="s">
        <v>15</v>
      </c>
      <c r="H858" s="10" t="s">
        <v>2406</v>
      </c>
      <c r="I858" s="10" t="s">
        <v>66</v>
      </c>
      <c r="J858" s="10" t="s">
        <v>282</v>
      </c>
      <c r="K858" s="10" t="s">
        <v>2904</v>
      </c>
      <c r="L858" s="10" t="s">
        <v>2297</v>
      </c>
      <c r="M858" s="12"/>
      <c r="N858" s="10" t="s">
        <v>20</v>
      </c>
      <c r="O858" s="10" t="s">
        <v>2054</v>
      </c>
      <c r="P858" s="25" t="str">
        <f>IFERROR(
IF(OR(O858="anulado",O858="stand by"),CONCATENATE(O858,": ",H858),
IF(OR(YEAR(M858)=2022,YEAR(M858)=2023),CONCATENATE("Se activó en ",YEAR(M858)),
IF(AND(OR(O858="En proceso",O858="facturando"),AND(J858="-",M858="")),"Por revisar",
IF(M858="",IF(J858="NUEVAS",CONCATENATE("Estado: ",O858,", ",J858),
IF(L858=Meses!$A$3,"Por revisar",
IF(H858="","Sin registro","En programación Frcst."))),"En programación")))),
"Error")</f>
        <v>En programación Frcst.</v>
      </c>
      <c r="Q858" s="9" t="str">
        <f t="shared" si="39"/>
        <v/>
      </c>
      <c r="R858" s="25">
        <f>IF(P858="En programación Frcst.",VLOOKUP(L858,Meses!$A$1:$H$14,3+HLOOKUP(Cronograma!J858,Meses!$D$1:$G$2,2,FALSE),FALSE),
IF(P858="En programación",M858,""))</f>
        <v>0</v>
      </c>
      <c r="S858" s="25" t="str">
        <f t="shared" si="41"/>
        <v>1900/1</v>
      </c>
      <c r="T858" s="21">
        <f>IFERROR(
(VLOOKUP(MONTH(R858),Meses!$B$3:$C$14,2,FALSE)-DAY(R858))/VLOOKUP(MONTH(R858),Meses!$B$3:$C$14,2,FALSE)*U858,
"")</f>
        <v>4137</v>
      </c>
      <c r="U858" s="22">
        <f t="shared" si="40"/>
        <v>4137</v>
      </c>
    </row>
    <row r="859" spans="1:21" ht="47.4" hidden="1" thickBot="1" x14ac:dyDescent="0.6">
      <c r="A859" s="10" t="s">
        <v>1083</v>
      </c>
      <c r="B859" s="10" t="s">
        <v>1094</v>
      </c>
      <c r="C859" s="12">
        <v>45170</v>
      </c>
      <c r="D859" s="10" t="s">
        <v>862</v>
      </c>
      <c r="E859" s="10" t="s">
        <v>74</v>
      </c>
      <c r="F859" s="10">
        <v>7350</v>
      </c>
      <c r="G859" s="10" t="s">
        <v>15</v>
      </c>
      <c r="H859" s="10" t="s">
        <v>2406</v>
      </c>
      <c r="I859" s="10" t="s">
        <v>66</v>
      </c>
      <c r="J859" s="10" t="s">
        <v>282</v>
      </c>
      <c r="K859" s="10" t="s">
        <v>2904</v>
      </c>
      <c r="L859" s="10" t="s">
        <v>2297</v>
      </c>
      <c r="M859" s="12"/>
      <c r="N859" s="10" t="s">
        <v>20</v>
      </c>
      <c r="O859" s="10" t="s">
        <v>2054</v>
      </c>
      <c r="P859" s="25" t="str">
        <f>IFERROR(
IF(OR(O859="anulado",O859="stand by"),CONCATENATE(O859,": ",H859),
IF(OR(YEAR(M859)=2022,YEAR(M859)=2023),CONCATENATE("Se activó en ",YEAR(M859)),
IF(AND(OR(O859="En proceso",O859="facturando"),AND(J859="-",M859="")),"Por revisar",
IF(M859="",IF(J859="NUEVAS",CONCATENATE("Estado: ",O859,", ",J859),
IF(L859=Meses!$A$3,"Por revisar",
IF(H859="","Sin registro","En programación Frcst."))),"En programación")))),
"Error")</f>
        <v>En programación Frcst.</v>
      </c>
      <c r="Q859" s="9" t="str">
        <f t="shared" si="39"/>
        <v/>
      </c>
      <c r="R859" s="25">
        <f>IF(P859="En programación Frcst.",VLOOKUP(L859,Meses!$A$1:$H$14,3+HLOOKUP(Cronograma!J859,Meses!$D$1:$G$2,2,FALSE),FALSE),
IF(P859="En programación",M859,""))</f>
        <v>0</v>
      </c>
      <c r="S859" s="25" t="str">
        <f t="shared" si="41"/>
        <v>1900/1</v>
      </c>
      <c r="T859" s="21">
        <f>IFERROR(
(VLOOKUP(MONTH(R859),Meses!$B$3:$C$14,2,FALSE)-DAY(R859))/VLOOKUP(MONTH(R859),Meses!$B$3:$C$14,2,FALSE)*U859,
"")</f>
        <v>7350</v>
      </c>
      <c r="U859" s="22">
        <f t="shared" si="40"/>
        <v>7350</v>
      </c>
    </row>
    <row r="860" spans="1:21" ht="47.4" hidden="1" thickBot="1" x14ac:dyDescent="0.6">
      <c r="A860" s="10" t="s">
        <v>1083</v>
      </c>
      <c r="B860" s="10" t="s">
        <v>1095</v>
      </c>
      <c r="C860" s="12">
        <v>45170</v>
      </c>
      <c r="D860" s="10" t="s">
        <v>862</v>
      </c>
      <c r="E860" s="10" t="s">
        <v>44</v>
      </c>
      <c r="F860" s="10">
        <v>5204</v>
      </c>
      <c r="G860" s="10" t="s">
        <v>15</v>
      </c>
      <c r="H860" s="10" t="s">
        <v>17</v>
      </c>
      <c r="I860" s="10" t="s">
        <v>66</v>
      </c>
      <c r="J860" s="10" t="s">
        <v>19</v>
      </c>
      <c r="K860" s="10" t="s">
        <v>19</v>
      </c>
      <c r="L860" s="10" t="s">
        <v>19</v>
      </c>
      <c r="M860" s="12"/>
      <c r="N860" s="10" t="s">
        <v>20</v>
      </c>
      <c r="O860" s="10" t="s">
        <v>2054</v>
      </c>
      <c r="P860" s="25" t="str">
        <f>IFERROR(
IF(OR(O860="anulado",O860="stand by"),CONCATENATE(O860,": ",H860),
IF(OR(YEAR(M860)=2022,YEAR(M860)=2023),CONCATENATE("Se activó en ",YEAR(M860)),
IF(AND(OR(O860="En proceso",O860="facturando"),AND(J860="-",M860="")),"Por revisar",
IF(M860="",IF(J860="NUEVAS",CONCATENATE("Estado: ",O860,", ",J860),
IF(L860=Meses!$A$3,"Por revisar",
IF(H860="","Sin registro","En programación Frcst."))),"En programación")))),
"Error")</f>
        <v>Por revisar</v>
      </c>
      <c r="Q860" s="9" t="str">
        <f t="shared" si="39"/>
        <v>programación de act. NO, estado: Facturando, Comercializador: DICELER, Etapa: Instalado y Activado</v>
      </c>
      <c r="R860" s="25" t="str">
        <f>IF(P860="En programación Frcst.",VLOOKUP(L860,Meses!$A$1:$H$14,3+HLOOKUP(Cronograma!J860,Meses!$D$1:$G$2,2,FALSE),FALSE),
IF(P860="En programación",M860,""))</f>
        <v/>
      </c>
      <c r="S860" s="25" t="str">
        <f t="shared" si="41"/>
        <v/>
      </c>
      <c r="T860" s="21" t="str">
        <f>IFERROR(
(VLOOKUP(MONTH(R860),Meses!$B$3:$C$14,2,FALSE)-DAY(R860))/VLOOKUP(MONTH(R860),Meses!$B$3:$C$14,2,FALSE)*U860,
"")</f>
        <v/>
      </c>
      <c r="U860" s="22">
        <f t="shared" si="40"/>
        <v>5204</v>
      </c>
    </row>
    <row r="861" spans="1:21" ht="47.4" hidden="1" thickBot="1" x14ac:dyDescent="0.6">
      <c r="A861" s="10" t="s">
        <v>1083</v>
      </c>
      <c r="B861" s="10" t="s">
        <v>1096</v>
      </c>
      <c r="C861" s="12">
        <v>45170</v>
      </c>
      <c r="D861" s="10" t="s">
        <v>862</v>
      </c>
      <c r="E861" s="10" t="s">
        <v>44</v>
      </c>
      <c r="F861" s="10">
        <v>4766</v>
      </c>
      <c r="G861" s="10" t="s">
        <v>15</v>
      </c>
      <c r="H861" s="10" t="s">
        <v>17</v>
      </c>
      <c r="I861" s="10" t="s">
        <v>66</v>
      </c>
      <c r="J861" s="10" t="s">
        <v>19</v>
      </c>
      <c r="K861" s="10" t="s">
        <v>19</v>
      </c>
      <c r="L861" s="10" t="s">
        <v>19</v>
      </c>
      <c r="M861" s="12"/>
      <c r="N861" s="10" t="s">
        <v>20</v>
      </c>
      <c r="O861" s="10" t="s">
        <v>2054</v>
      </c>
      <c r="P861" s="25" t="str">
        <f>IFERROR(
IF(OR(O861="anulado",O861="stand by"),CONCATENATE(O861,": ",H861),
IF(OR(YEAR(M861)=2022,YEAR(M861)=2023),CONCATENATE("Se activó en ",YEAR(M861)),
IF(AND(OR(O861="En proceso",O861="facturando"),AND(J861="-",M861="")),"Por revisar",
IF(M861="",IF(J861="NUEVAS",CONCATENATE("Estado: ",O861,", ",J861),
IF(L861=Meses!$A$3,"Por revisar",
IF(H861="","Sin registro","En programación Frcst."))),"En programación")))),
"Error")</f>
        <v>Por revisar</v>
      </c>
      <c r="Q861" s="9" t="str">
        <f t="shared" si="39"/>
        <v>programación de act. NO, estado: Facturando, Comercializador: DICELER, Etapa: Instalado y Activado</v>
      </c>
      <c r="R861" s="25" t="str">
        <f>IF(P861="En programación Frcst.",VLOOKUP(L861,Meses!$A$1:$H$14,3+HLOOKUP(Cronograma!J861,Meses!$D$1:$G$2,2,FALSE),FALSE),
IF(P861="En programación",M861,""))</f>
        <v/>
      </c>
      <c r="S861" s="25" t="str">
        <f t="shared" si="41"/>
        <v/>
      </c>
      <c r="T861" s="21" t="str">
        <f>IFERROR(
(VLOOKUP(MONTH(R861),Meses!$B$3:$C$14,2,FALSE)-DAY(R861))/VLOOKUP(MONTH(R861),Meses!$B$3:$C$14,2,FALSE)*U861,
"")</f>
        <v/>
      </c>
      <c r="U861" s="22">
        <f t="shared" si="40"/>
        <v>4766</v>
      </c>
    </row>
    <row r="862" spans="1:21" ht="47.4" hidden="1" thickBot="1" x14ac:dyDescent="0.6">
      <c r="A862" s="10" t="s">
        <v>1083</v>
      </c>
      <c r="B862" s="10" t="s">
        <v>1097</v>
      </c>
      <c r="C862" s="12">
        <v>45170</v>
      </c>
      <c r="D862" s="10" t="s">
        <v>862</v>
      </c>
      <c r="E862" s="10" t="s">
        <v>44</v>
      </c>
      <c r="F862" s="10">
        <v>3259</v>
      </c>
      <c r="G862" s="10" t="s">
        <v>15</v>
      </c>
      <c r="H862" s="10" t="s">
        <v>2406</v>
      </c>
      <c r="I862" s="10" t="s">
        <v>66</v>
      </c>
      <c r="J862" s="10" t="s">
        <v>282</v>
      </c>
      <c r="K862" s="10" t="s">
        <v>2904</v>
      </c>
      <c r="L862" s="10" t="s">
        <v>2297</v>
      </c>
      <c r="M862" s="12"/>
      <c r="N862" s="10" t="s">
        <v>20</v>
      </c>
      <c r="O862" s="10" t="s">
        <v>2054</v>
      </c>
      <c r="P862" s="25" t="str">
        <f>IFERROR(
IF(OR(O862="anulado",O862="stand by"),CONCATENATE(O862,": ",H862),
IF(OR(YEAR(M862)=2022,YEAR(M862)=2023),CONCATENATE("Se activó en ",YEAR(M862)),
IF(AND(OR(O862="En proceso",O862="facturando"),AND(J862="-",M862="")),"Por revisar",
IF(M862="",IF(J862="NUEVAS",CONCATENATE("Estado: ",O862,", ",J862),
IF(L862=Meses!$A$3,"Por revisar",
IF(H862="","Sin registro","En programación Frcst."))),"En programación")))),
"Error")</f>
        <v>En programación Frcst.</v>
      </c>
      <c r="Q862" s="9" t="str">
        <f t="shared" si="39"/>
        <v/>
      </c>
      <c r="R862" s="25">
        <f>IF(P862="En programación Frcst.",VLOOKUP(L862,Meses!$A$1:$H$14,3+HLOOKUP(Cronograma!J862,Meses!$D$1:$G$2,2,FALSE),FALSE),
IF(P862="En programación",M862,""))</f>
        <v>0</v>
      </c>
      <c r="S862" s="25" t="str">
        <f t="shared" si="41"/>
        <v>1900/1</v>
      </c>
      <c r="T862" s="21">
        <f>IFERROR(
(VLOOKUP(MONTH(R862),Meses!$B$3:$C$14,2,FALSE)-DAY(R862))/VLOOKUP(MONTH(R862),Meses!$B$3:$C$14,2,FALSE)*U862,
"")</f>
        <v>3259</v>
      </c>
      <c r="U862" s="22">
        <f t="shared" si="40"/>
        <v>3259</v>
      </c>
    </row>
    <row r="863" spans="1:21" ht="47.4" hidden="1" thickBot="1" x14ac:dyDescent="0.6">
      <c r="A863" s="10" t="s">
        <v>1083</v>
      </c>
      <c r="B863" s="10" t="s">
        <v>1098</v>
      </c>
      <c r="C863" s="12">
        <v>45170</v>
      </c>
      <c r="D863" s="10" t="s">
        <v>862</v>
      </c>
      <c r="E863" s="10" t="s">
        <v>44</v>
      </c>
      <c r="F863" s="10">
        <v>15274</v>
      </c>
      <c r="G863" s="10" t="s">
        <v>15</v>
      </c>
      <c r="H863" s="10" t="s">
        <v>2406</v>
      </c>
      <c r="I863" s="10" t="s">
        <v>66</v>
      </c>
      <c r="J863" s="10" t="s">
        <v>292</v>
      </c>
      <c r="K863" s="10" t="s">
        <v>1697</v>
      </c>
      <c r="L863" s="10" t="s">
        <v>1120</v>
      </c>
      <c r="M863" s="12">
        <v>45379</v>
      </c>
      <c r="N863" s="10" t="s">
        <v>20</v>
      </c>
      <c r="O863" s="10" t="s">
        <v>2054</v>
      </c>
      <c r="P863" s="25" t="str">
        <f>IFERROR(
IF(OR(O863="anulado",O863="stand by"),CONCATENATE(O863,": ",H863),
IF(OR(YEAR(M863)=2022,YEAR(M863)=2023),CONCATENATE("Se activó en ",YEAR(M863)),
IF(AND(OR(O863="En proceso",O863="facturando"),AND(J863="-",M863="")),"Por revisar",
IF(M863="",IF(J863="NUEVAS",CONCATENATE("Estado: ",O863,", ",J863),
IF(L863=Meses!$A$3,"Por revisar",
IF(H863="","Sin registro","En programación Frcst."))),"En programación")))),
"Error")</f>
        <v>En programación</v>
      </c>
      <c r="Q863" s="9" t="str">
        <f t="shared" si="39"/>
        <v/>
      </c>
      <c r="R863" s="25">
        <f>IF(P863="En programación Frcst.",VLOOKUP(L863,Meses!$A$1:$H$14,3+HLOOKUP(Cronograma!J863,Meses!$D$1:$G$2,2,FALSE),FALSE),
IF(P863="En programación",M863,""))</f>
        <v>45379</v>
      </c>
      <c r="S863" s="25" t="str">
        <f t="shared" si="41"/>
        <v>2024/3</v>
      </c>
      <c r="T863" s="21">
        <f>IFERROR(
(VLOOKUP(MONTH(R863),Meses!$B$3:$C$14,2,FALSE)-DAY(R863))/VLOOKUP(MONTH(R863),Meses!$B$3:$C$14,2,FALSE)*U863,
"")</f>
        <v>1478.1290322580644</v>
      </c>
      <c r="U863" s="22">
        <f t="shared" si="40"/>
        <v>15274</v>
      </c>
    </row>
    <row r="864" spans="1:21" ht="47.4" hidden="1" thickBot="1" x14ac:dyDescent="0.6">
      <c r="A864" s="10" t="s">
        <v>1083</v>
      </c>
      <c r="B864" s="10" t="s">
        <v>1099</v>
      </c>
      <c r="C864" s="12">
        <v>45170</v>
      </c>
      <c r="D864" s="10" t="s">
        <v>862</v>
      </c>
      <c r="E864" s="10" t="s">
        <v>44</v>
      </c>
      <c r="F864" s="10">
        <v>5780</v>
      </c>
      <c r="G864" s="10" t="s">
        <v>15</v>
      </c>
      <c r="H864" s="10" t="s">
        <v>2406</v>
      </c>
      <c r="I864" s="10" t="s">
        <v>66</v>
      </c>
      <c r="J864" s="10" t="s">
        <v>292</v>
      </c>
      <c r="K864" s="10" t="s">
        <v>1697</v>
      </c>
      <c r="L864" s="10" t="s">
        <v>1120</v>
      </c>
      <c r="M864" s="12">
        <v>45379</v>
      </c>
      <c r="N864" s="10" t="s">
        <v>20</v>
      </c>
      <c r="O864" s="10" t="s">
        <v>2054</v>
      </c>
      <c r="P864" s="25" t="str">
        <f>IFERROR(
IF(OR(O864="anulado",O864="stand by"),CONCATENATE(O864,": ",H864),
IF(OR(YEAR(M864)=2022,YEAR(M864)=2023),CONCATENATE("Se activó en ",YEAR(M864)),
IF(AND(OR(O864="En proceso",O864="facturando"),AND(J864="-",M864="")),"Por revisar",
IF(M864="",IF(J864="NUEVAS",CONCATENATE("Estado: ",O864,", ",J864),
IF(L864=Meses!$A$3,"Por revisar",
IF(H864="","Sin registro","En programación Frcst."))),"En programación")))),
"Error")</f>
        <v>En programación</v>
      </c>
      <c r="Q864" s="9" t="str">
        <f t="shared" si="39"/>
        <v/>
      </c>
      <c r="R864" s="25">
        <f>IF(P864="En programación Frcst.",VLOOKUP(L864,Meses!$A$1:$H$14,3+HLOOKUP(Cronograma!J864,Meses!$D$1:$G$2,2,FALSE),FALSE),
IF(P864="En programación",M864,""))</f>
        <v>45379</v>
      </c>
      <c r="S864" s="25" t="str">
        <f t="shared" si="41"/>
        <v>2024/3</v>
      </c>
      <c r="T864" s="21">
        <f>IFERROR(
(VLOOKUP(MONTH(R864),Meses!$B$3:$C$14,2,FALSE)-DAY(R864))/VLOOKUP(MONTH(R864),Meses!$B$3:$C$14,2,FALSE)*U864,
"")</f>
        <v>559.35483870967744</v>
      </c>
      <c r="U864" s="22">
        <f t="shared" si="40"/>
        <v>5780</v>
      </c>
    </row>
    <row r="865" spans="1:21" ht="47.4" hidden="1" thickBot="1" x14ac:dyDescent="0.6">
      <c r="A865" s="10" t="s">
        <v>1083</v>
      </c>
      <c r="B865" s="10" t="s">
        <v>1100</v>
      </c>
      <c r="C865" s="12">
        <v>45170</v>
      </c>
      <c r="D865" s="10" t="s">
        <v>862</v>
      </c>
      <c r="E865" s="10" t="s">
        <v>44</v>
      </c>
      <c r="F865" s="10">
        <v>5996</v>
      </c>
      <c r="G865" s="10" t="s">
        <v>15</v>
      </c>
      <c r="H865" s="10" t="s">
        <v>2406</v>
      </c>
      <c r="I865" s="10" t="s">
        <v>66</v>
      </c>
      <c r="J865" s="10" t="s">
        <v>292</v>
      </c>
      <c r="K865" s="10" t="s">
        <v>1697</v>
      </c>
      <c r="L865" s="10" t="s">
        <v>1120</v>
      </c>
      <c r="M865" s="12">
        <v>45379</v>
      </c>
      <c r="N865" s="10" t="s">
        <v>20</v>
      </c>
      <c r="O865" s="10" t="s">
        <v>2054</v>
      </c>
      <c r="P865" s="25" t="str">
        <f>IFERROR(
IF(OR(O865="anulado",O865="stand by"),CONCATENATE(O865,": ",H865),
IF(OR(YEAR(M865)=2022,YEAR(M865)=2023),CONCATENATE("Se activó en ",YEAR(M865)),
IF(AND(OR(O865="En proceso",O865="facturando"),AND(J865="-",M865="")),"Por revisar",
IF(M865="",IF(J865="NUEVAS",CONCATENATE("Estado: ",O865,", ",J865),
IF(L865=Meses!$A$3,"Por revisar",
IF(H865="","Sin registro","En programación Frcst."))),"En programación")))),
"Error")</f>
        <v>En programación</v>
      </c>
      <c r="Q865" s="9" t="str">
        <f t="shared" si="39"/>
        <v/>
      </c>
      <c r="R865" s="25">
        <f>IF(P865="En programación Frcst.",VLOOKUP(L865,Meses!$A$1:$H$14,3+HLOOKUP(Cronograma!J865,Meses!$D$1:$G$2,2,FALSE),FALSE),
IF(P865="En programación",M865,""))</f>
        <v>45379</v>
      </c>
      <c r="S865" s="25" t="str">
        <f t="shared" si="41"/>
        <v>2024/3</v>
      </c>
      <c r="T865" s="21">
        <f>IFERROR(
(VLOOKUP(MONTH(R865),Meses!$B$3:$C$14,2,FALSE)-DAY(R865))/VLOOKUP(MONTH(R865),Meses!$B$3:$C$14,2,FALSE)*U865,
"")</f>
        <v>580.25806451612902</v>
      </c>
      <c r="U865" s="22">
        <f t="shared" si="40"/>
        <v>5996</v>
      </c>
    </row>
    <row r="866" spans="1:21" ht="47.4" hidden="1" thickBot="1" x14ac:dyDescent="0.6">
      <c r="A866" s="10" t="s">
        <v>1083</v>
      </c>
      <c r="B866" s="10" t="s">
        <v>1101</v>
      </c>
      <c r="C866" s="12">
        <v>45170</v>
      </c>
      <c r="D866" s="10" t="s">
        <v>862</v>
      </c>
      <c r="E866" s="10" t="s">
        <v>44</v>
      </c>
      <c r="F866" s="10">
        <v>5696</v>
      </c>
      <c r="G866" s="10" t="s">
        <v>15</v>
      </c>
      <c r="H866" s="10" t="s">
        <v>17</v>
      </c>
      <c r="I866" s="10" t="s">
        <v>66</v>
      </c>
      <c r="J866" s="10" t="s">
        <v>19</v>
      </c>
      <c r="K866" s="10" t="s">
        <v>19</v>
      </c>
      <c r="L866" s="10" t="s">
        <v>19</v>
      </c>
      <c r="M866" s="12"/>
      <c r="N866" s="10" t="s">
        <v>20</v>
      </c>
      <c r="O866" s="10" t="s">
        <v>2054</v>
      </c>
      <c r="P866" s="25" t="str">
        <f>IFERROR(
IF(OR(O866="anulado",O866="stand by"),CONCATENATE(O866,": ",H866),
IF(OR(YEAR(M866)=2022,YEAR(M866)=2023),CONCATENATE("Se activó en ",YEAR(M866)),
IF(AND(OR(O866="En proceso",O866="facturando"),AND(J866="-",M866="")),"Por revisar",
IF(M866="",IF(J866="NUEVAS",CONCATENATE("Estado: ",O866,", ",J866),
IF(L866=Meses!$A$3,"Por revisar",
IF(H866="","Sin registro","En programación Frcst."))),"En programación")))),
"Error")</f>
        <v>Por revisar</v>
      </c>
      <c r="Q866" s="9" t="str">
        <f t="shared" si="39"/>
        <v>programación de act. NO, estado: Facturando, Comercializador: DICELER, Etapa: Instalado y Activado</v>
      </c>
      <c r="R866" s="25" t="str">
        <f>IF(P866="En programación Frcst.",VLOOKUP(L866,Meses!$A$1:$H$14,3+HLOOKUP(Cronograma!J866,Meses!$D$1:$G$2,2,FALSE),FALSE),
IF(P866="En programación",M866,""))</f>
        <v/>
      </c>
      <c r="S866" s="25" t="str">
        <f t="shared" si="41"/>
        <v/>
      </c>
      <c r="T866" s="21" t="str">
        <f>IFERROR(
(VLOOKUP(MONTH(R866),Meses!$B$3:$C$14,2,FALSE)-DAY(R866))/VLOOKUP(MONTH(R866),Meses!$B$3:$C$14,2,FALSE)*U866,
"")</f>
        <v/>
      </c>
      <c r="U866" s="22">
        <f t="shared" si="40"/>
        <v>5696</v>
      </c>
    </row>
    <row r="867" spans="1:21" ht="47.4" hidden="1" thickBot="1" x14ac:dyDescent="0.6">
      <c r="A867" s="10" t="s">
        <v>1083</v>
      </c>
      <c r="B867" s="10" t="s">
        <v>1102</v>
      </c>
      <c r="C867" s="12">
        <v>45170</v>
      </c>
      <c r="D867" s="10" t="s">
        <v>862</v>
      </c>
      <c r="E867" s="10" t="s">
        <v>44</v>
      </c>
      <c r="F867" s="10">
        <v>7943</v>
      </c>
      <c r="G867" s="10" t="s">
        <v>15</v>
      </c>
      <c r="H867" s="10" t="s">
        <v>17</v>
      </c>
      <c r="I867" s="10" t="s">
        <v>66</v>
      </c>
      <c r="J867" s="10" t="s">
        <v>19</v>
      </c>
      <c r="K867" s="10" t="s">
        <v>19</v>
      </c>
      <c r="L867" s="10" t="s">
        <v>19</v>
      </c>
      <c r="M867" s="12"/>
      <c r="N867" s="10" t="s">
        <v>20</v>
      </c>
      <c r="O867" s="10" t="s">
        <v>2054</v>
      </c>
      <c r="P867" s="25" t="str">
        <f>IFERROR(
IF(OR(O867="anulado",O867="stand by"),CONCATENATE(O867,": ",H867),
IF(OR(YEAR(M867)=2022,YEAR(M867)=2023),CONCATENATE("Se activó en ",YEAR(M867)),
IF(AND(OR(O867="En proceso",O867="facturando"),AND(J867="-",M867="")),"Por revisar",
IF(M867="",IF(J867="NUEVAS",CONCATENATE("Estado: ",O867,", ",J867),
IF(L867=Meses!$A$3,"Por revisar",
IF(H867="","Sin registro","En programación Frcst."))),"En programación")))),
"Error")</f>
        <v>Por revisar</v>
      </c>
      <c r="Q867" s="9" t="str">
        <f t="shared" si="39"/>
        <v>programación de act. NO, estado: Facturando, Comercializador: DICELER, Etapa: Instalado y Activado</v>
      </c>
      <c r="R867" s="25" t="str">
        <f>IF(P867="En programación Frcst.",VLOOKUP(L867,Meses!$A$1:$H$14,3+HLOOKUP(Cronograma!J867,Meses!$D$1:$G$2,2,FALSE),FALSE),
IF(P867="En programación",M867,""))</f>
        <v/>
      </c>
      <c r="S867" s="25" t="str">
        <f t="shared" si="41"/>
        <v/>
      </c>
      <c r="T867" s="21" t="str">
        <f>IFERROR(
(VLOOKUP(MONTH(R867),Meses!$B$3:$C$14,2,FALSE)-DAY(R867))/VLOOKUP(MONTH(R867),Meses!$B$3:$C$14,2,FALSE)*U867,
"")</f>
        <v/>
      </c>
      <c r="U867" s="22">
        <f t="shared" si="40"/>
        <v>7943</v>
      </c>
    </row>
    <row r="868" spans="1:21" ht="47.4" hidden="1" thickBot="1" x14ac:dyDescent="0.6">
      <c r="A868" s="10" t="s">
        <v>1083</v>
      </c>
      <c r="B868" s="10" t="s">
        <v>1103</v>
      </c>
      <c r="C868" s="12">
        <v>45170</v>
      </c>
      <c r="D868" s="10" t="s">
        <v>862</v>
      </c>
      <c r="E868" s="10" t="s">
        <v>44</v>
      </c>
      <c r="F868" s="10">
        <v>4393</v>
      </c>
      <c r="G868" s="10" t="s">
        <v>15</v>
      </c>
      <c r="H868" s="10" t="s">
        <v>17</v>
      </c>
      <c r="I868" s="10" t="s">
        <v>66</v>
      </c>
      <c r="J868" s="10" t="s">
        <v>19</v>
      </c>
      <c r="K868" s="10" t="s">
        <v>19</v>
      </c>
      <c r="L868" s="10" t="s">
        <v>19</v>
      </c>
      <c r="M868" s="12"/>
      <c r="N868" s="10" t="s">
        <v>20</v>
      </c>
      <c r="O868" s="10" t="s">
        <v>2054</v>
      </c>
      <c r="P868" s="25" t="str">
        <f>IFERROR(
IF(OR(O868="anulado",O868="stand by"),CONCATENATE(O868,": ",H868),
IF(OR(YEAR(M868)=2022,YEAR(M868)=2023),CONCATENATE("Se activó en ",YEAR(M868)),
IF(AND(OR(O868="En proceso",O868="facturando"),AND(J868="-",M868="")),"Por revisar",
IF(M868="",IF(J868="NUEVAS",CONCATENATE("Estado: ",O868,", ",J868),
IF(L868=Meses!$A$3,"Por revisar",
IF(H868="","Sin registro","En programación Frcst."))),"En programación")))),
"Error")</f>
        <v>Por revisar</v>
      </c>
      <c r="Q868" s="9" t="str">
        <f t="shared" si="39"/>
        <v>programación de act. NO, estado: Facturando, Comercializador: DICELER, Etapa: Instalado y Activado</v>
      </c>
      <c r="R868" s="25" t="str">
        <f>IF(P868="En programación Frcst.",VLOOKUP(L868,Meses!$A$1:$H$14,3+HLOOKUP(Cronograma!J868,Meses!$D$1:$G$2,2,FALSE),FALSE),
IF(P868="En programación",M868,""))</f>
        <v/>
      </c>
      <c r="S868" s="25" t="str">
        <f t="shared" si="41"/>
        <v/>
      </c>
      <c r="T868" s="21" t="str">
        <f>IFERROR(
(VLOOKUP(MONTH(R868),Meses!$B$3:$C$14,2,FALSE)-DAY(R868))/VLOOKUP(MONTH(R868),Meses!$B$3:$C$14,2,FALSE)*U868,
"")</f>
        <v/>
      </c>
      <c r="U868" s="22">
        <f t="shared" si="40"/>
        <v>4393</v>
      </c>
    </row>
    <row r="869" spans="1:21" ht="47.4" hidden="1" thickBot="1" x14ac:dyDescent="0.6">
      <c r="A869" s="10" t="s">
        <v>1083</v>
      </c>
      <c r="B869" s="10" t="s">
        <v>1104</v>
      </c>
      <c r="C869" s="12">
        <v>45170</v>
      </c>
      <c r="D869" s="10" t="s">
        <v>862</v>
      </c>
      <c r="E869" s="10" t="s">
        <v>44</v>
      </c>
      <c r="F869" s="10">
        <v>8540</v>
      </c>
      <c r="G869" s="10" t="s">
        <v>15</v>
      </c>
      <c r="H869" s="10" t="s">
        <v>2406</v>
      </c>
      <c r="I869" s="10" t="s">
        <v>66</v>
      </c>
      <c r="J869" s="10" t="s">
        <v>282</v>
      </c>
      <c r="K869" s="10" t="s">
        <v>2904</v>
      </c>
      <c r="L869" s="10" t="s">
        <v>2297</v>
      </c>
      <c r="M869" s="12"/>
      <c r="N869" s="10" t="s">
        <v>20</v>
      </c>
      <c r="O869" s="10" t="s">
        <v>2054</v>
      </c>
      <c r="P869" s="25" t="str">
        <f>IFERROR(
IF(OR(O869="anulado",O869="stand by"),CONCATENATE(O869,": ",H869),
IF(OR(YEAR(M869)=2022,YEAR(M869)=2023),CONCATENATE("Se activó en ",YEAR(M869)),
IF(AND(OR(O869="En proceso",O869="facturando"),AND(J869="-",M869="")),"Por revisar",
IF(M869="",IF(J869="NUEVAS",CONCATENATE("Estado: ",O869,", ",J869),
IF(L869=Meses!$A$3,"Por revisar",
IF(H869="","Sin registro","En programación Frcst."))),"En programación")))),
"Error")</f>
        <v>En programación Frcst.</v>
      </c>
      <c r="Q869" s="9" t="str">
        <f t="shared" si="39"/>
        <v/>
      </c>
      <c r="R869" s="25">
        <f>IF(P869="En programación Frcst.",VLOOKUP(L869,Meses!$A$1:$H$14,3+HLOOKUP(Cronograma!J869,Meses!$D$1:$G$2,2,FALSE),FALSE),
IF(P869="En programación",M869,""))</f>
        <v>0</v>
      </c>
      <c r="S869" s="25" t="str">
        <f t="shared" si="41"/>
        <v>1900/1</v>
      </c>
      <c r="T869" s="21">
        <f>IFERROR(
(VLOOKUP(MONTH(R869),Meses!$B$3:$C$14,2,FALSE)-DAY(R869))/VLOOKUP(MONTH(R869),Meses!$B$3:$C$14,2,FALSE)*U869,
"")</f>
        <v>8540</v>
      </c>
      <c r="U869" s="22">
        <f t="shared" si="40"/>
        <v>8540</v>
      </c>
    </row>
    <row r="870" spans="1:21" ht="47.4" hidden="1" thickBot="1" x14ac:dyDescent="0.6">
      <c r="A870" s="10" t="s">
        <v>1083</v>
      </c>
      <c r="B870" s="10" t="s">
        <v>1105</v>
      </c>
      <c r="C870" s="12">
        <v>45170</v>
      </c>
      <c r="D870" s="10" t="s">
        <v>862</v>
      </c>
      <c r="E870" s="10" t="s">
        <v>44</v>
      </c>
      <c r="F870" s="10">
        <v>7070</v>
      </c>
      <c r="G870" s="10" t="s">
        <v>15</v>
      </c>
      <c r="H870" s="10" t="s">
        <v>17</v>
      </c>
      <c r="I870" s="10" t="s">
        <v>66</v>
      </c>
      <c r="J870" s="10" t="s">
        <v>277</v>
      </c>
      <c r="K870" s="10" t="s">
        <v>278</v>
      </c>
      <c r="L870" s="10" t="s">
        <v>279</v>
      </c>
      <c r="M870" s="12"/>
      <c r="N870" s="10" t="s">
        <v>15</v>
      </c>
      <c r="O870" s="10" t="s">
        <v>2054</v>
      </c>
      <c r="P870" s="25" t="str">
        <f>IFERROR(
IF(OR(O870="anulado",O870="stand by"),CONCATENATE(O870,": ",H870),
IF(OR(YEAR(M870)=2022,YEAR(M870)=2023),CONCATENATE("Se activó en ",YEAR(M870)),
IF(AND(OR(O870="En proceso",O870="facturando"),AND(J870="-",M870="")),"Por revisar",
IF(M870="",IF(J870="NUEVAS",CONCATENATE("Estado: ",O870,", ",J870),
IF(L870=Meses!$A$3,"Por revisar",
IF(H870="","Sin registro","En programación Frcst."))),"En programación")))),
"Error")</f>
        <v>En programación Frcst.</v>
      </c>
      <c r="Q870" s="9" t="str">
        <f t="shared" si="39"/>
        <v/>
      </c>
      <c r="R870" s="25">
        <f>IF(P870="En programación Frcst.",VLOOKUP(L870,Meses!$A$1:$H$14,3+HLOOKUP(Cronograma!J870,Meses!$D$1:$G$2,2,FALSE),FALSE),
IF(P870="En programación",M870,""))</f>
        <v>45309</v>
      </c>
      <c r="S870" s="25" t="str">
        <f t="shared" si="41"/>
        <v>2024/1</v>
      </c>
      <c r="T870" s="21">
        <f>IFERROR(
(VLOOKUP(MONTH(R870),Meses!$B$3:$C$14,2,FALSE)-DAY(R870))/VLOOKUP(MONTH(R870),Meses!$B$3:$C$14,2,FALSE)*U870,
"")</f>
        <v>2964.8387096774195</v>
      </c>
      <c r="U870" s="22">
        <f t="shared" si="40"/>
        <v>7070</v>
      </c>
    </row>
    <row r="871" spans="1:21" ht="47.4" hidden="1" thickBot="1" x14ac:dyDescent="0.6">
      <c r="A871" s="10" t="s">
        <v>1083</v>
      </c>
      <c r="B871" s="10" t="s">
        <v>1106</v>
      </c>
      <c r="C871" s="12">
        <v>45170</v>
      </c>
      <c r="D871" s="10" t="s">
        <v>862</v>
      </c>
      <c r="E871" s="10" t="s">
        <v>44</v>
      </c>
      <c r="F871" s="10">
        <v>6830</v>
      </c>
      <c r="G871" s="10" t="s">
        <v>15</v>
      </c>
      <c r="H871" s="10" t="s">
        <v>17</v>
      </c>
      <c r="I871" s="10" t="s">
        <v>66</v>
      </c>
      <c r="J871" s="10" t="s">
        <v>277</v>
      </c>
      <c r="K871" s="10" t="s">
        <v>278</v>
      </c>
      <c r="L871" s="10" t="s">
        <v>279</v>
      </c>
      <c r="M871" s="12"/>
      <c r="N871" s="10" t="s">
        <v>15</v>
      </c>
      <c r="O871" s="10" t="s">
        <v>2054</v>
      </c>
      <c r="P871" s="25" t="str">
        <f>IFERROR(
IF(OR(O871="anulado",O871="stand by"),CONCATENATE(O871,": ",H871),
IF(OR(YEAR(M871)=2022,YEAR(M871)=2023),CONCATENATE("Se activó en ",YEAR(M871)),
IF(AND(OR(O871="En proceso",O871="facturando"),AND(J871="-",M871="")),"Por revisar",
IF(M871="",IF(J871="NUEVAS",CONCATENATE("Estado: ",O871,", ",J871),
IF(L871=Meses!$A$3,"Por revisar",
IF(H871="","Sin registro","En programación Frcst."))),"En programación")))),
"Error")</f>
        <v>En programación Frcst.</v>
      </c>
      <c r="Q871" s="9" t="str">
        <f t="shared" si="39"/>
        <v/>
      </c>
      <c r="R871" s="25">
        <f>IF(P871="En programación Frcst.",VLOOKUP(L871,Meses!$A$1:$H$14,3+HLOOKUP(Cronograma!J871,Meses!$D$1:$G$2,2,FALSE),FALSE),
IF(P871="En programación",M871,""))</f>
        <v>45309</v>
      </c>
      <c r="S871" s="25" t="str">
        <f t="shared" si="41"/>
        <v>2024/1</v>
      </c>
      <c r="T871" s="21">
        <f>IFERROR(
(VLOOKUP(MONTH(R871),Meses!$B$3:$C$14,2,FALSE)-DAY(R871))/VLOOKUP(MONTH(R871),Meses!$B$3:$C$14,2,FALSE)*U871,
"")</f>
        <v>2864.1935483870971</v>
      </c>
      <c r="U871" s="22">
        <f t="shared" si="40"/>
        <v>6830</v>
      </c>
    </row>
    <row r="872" spans="1:21" ht="47.4" hidden="1" thickBot="1" x14ac:dyDescent="0.6">
      <c r="A872" s="10" t="s">
        <v>1083</v>
      </c>
      <c r="B872" s="10" t="s">
        <v>1107</v>
      </c>
      <c r="C872" s="12">
        <v>45170</v>
      </c>
      <c r="D872" s="10" t="s">
        <v>862</v>
      </c>
      <c r="E872" s="10" t="s">
        <v>44</v>
      </c>
      <c r="F872" s="10">
        <v>5875</v>
      </c>
      <c r="G872" s="10" t="s">
        <v>15</v>
      </c>
      <c r="H872" s="10" t="s">
        <v>2406</v>
      </c>
      <c r="I872" s="10" t="s">
        <v>66</v>
      </c>
      <c r="J872" s="10" t="s">
        <v>282</v>
      </c>
      <c r="K872" s="10" t="s">
        <v>2904</v>
      </c>
      <c r="L872" s="10" t="s">
        <v>2297</v>
      </c>
      <c r="M872" s="12"/>
      <c r="N872" s="10" t="s">
        <v>20</v>
      </c>
      <c r="O872" s="10" t="s">
        <v>2054</v>
      </c>
      <c r="P872" s="25" t="str">
        <f>IFERROR(
IF(OR(O872="anulado",O872="stand by"),CONCATENATE(O872,": ",H872),
IF(OR(YEAR(M872)=2022,YEAR(M872)=2023),CONCATENATE("Se activó en ",YEAR(M872)),
IF(AND(OR(O872="En proceso",O872="facturando"),AND(J872="-",M872="")),"Por revisar",
IF(M872="",IF(J872="NUEVAS",CONCATENATE("Estado: ",O872,", ",J872),
IF(L872=Meses!$A$3,"Por revisar",
IF(H872="","Sin registro","En programación Frcst."))),"En programación")))),
"Error")</f>
        <v>En programación Frcst.</v>
      </c>
      <c r="Q872" s="9" t="str">
        <f t="shared" si="39"/>
        <v/>
      </c>
      <c r="R872" s="25">
        <f>IF(P872="En programación Frcst.",VLOOKUP(L872,Meses!$A$1:$H$14,3+HLOOKUP(Cronograma!J872,Meses!$D$1:$G$2,2,FALSE),FALSE),
IF(P872="En programación",M872,""))</f>
        <v>0</v>
      </c>
      <c r="S872" s="25" t="str">
        <f t="shared" si="41"/>
        <v>1900/1</v>
      </c>
      <c r="T872" s="21">
        <f>IFERROR(
(VLOOKUP(MONTH(R872),Meses!$B$3:$C$14,2,FALSE)-DAY(R872))/VLOOKUP(MONTH(R872),Meses!$B$3:$C$14,2,FALSE)*U872,
"")</f>
        <v>5875</v>
      </c>
      <c r="U872" s="22">
        <f t="shared" si="40"/>
        <v>5875</v>
      </c>
    </row>
    <row r="873" spans="1:21" ht="47.4" hidden="1" thickBot="1" x14ac:dyDescent="0.6">
      <c r="A873" s="10" t="s">
        <v>1083</v>
      </c>
      <c r="B873" s="10" t="s">
        <v>1108</v>
      </c>
      <c r="C873" s="12">
        <v>45170</v>
      </c>
      <c r="D873" s="10" t="s">
        <v>862</v>
      </c>
      <c r="E873" s="10" t="s">
        <v>44</v>
      </c>
      <c r="F873" s="10">
        <v>5895</v>
      </c>
      <c r="G873" s="10" t="s">
        <v>15</v>
      </c>
      <c r="H873" s="10" t="s">
        <v>2406</v>
      </c>
      <c r="I873" s="10" t="s">
        <v>66</v>
      </c>
      <c r="J873" s="10" t="s">
        <v>282</v>
      </c>
      <c r="K873" s="10" t="s">
        <v>2904</v>
      </c>
      <c r="L873" s="10" t="s">
        <v>2297</v>
      </c>
      <c r="M873" s="12"/>
      <c r="N873" s="10" t="s">
        <v>20</v>
      </c>
      <c r="O873" s="10" t="s">
        <v>2054</v>
      </c>
      <c r="P873" s="25" t="str">
        <f>IFERROR(
IF(OR(O873="anulado",O873="stand by"),CONCATENATE(O873,": ",H873),
IF(OR(YEAR(M873)=2022,YEAR(M873)=2023),CONCATENATE("Se activó en ",YEAR(M873)),
IF(AND(OR(O873="En proceso",O873="facturando"),AND(J873="-",M873="")),"Por revisar",
IF(M873="",IF(J873="NUEVAS",CONCATENATE("Estado: ",O873,", ",J873),
IF(L873=Meses!$A$3,"Por revisar",
IF(H873="","Sin registro","En programación Frcst."))),"En programación")))),
"Error")</f>
        <v>En programación Frcst.</v>
      </c>
      <c r="Q873" s="9" t="str">
        <f t="shared" si="39"/>
        <v/>
      </c>
      <c r="R873" s="25">
        <f>IF(P873="En programación Frcst.",VLOOKUP(L873,Meses!$A$1:$H$14,3+HLOOKUP(Cronograma!J873,Meses!$D$1:$G$2,2,FALSE),FALSE),
IF(P873="En programación",M873,""))</f>
        <v>0</v>
      </c>
      <c r="S873" s="25" t="str">
        <f t="shared" si="41"/>
        <v>1900/1</v>
      </c>
      <c r="T873" s="21">
        <f>IFERROR(
(VLOOKUP(MONTH(R873),Meses!$B$3:$C$14,2,FALSE)-DAY(R873))/VLOOKUP(MONTH(R873),Meses!$B$3:$C$14,2,FALSE)*U873,
"")</f>
        <v>5895</v>
      </c>
      <c r="U873" s="22">
        <f t="shared" si="40"/>
        <v>5895</v>
      </c>
    </row>
    <row r="874" spans="1:21" ht="47.4" hidden="1" thickBot="1" x14ac:dyDescent="0.6">
      <c r="A874" s="10" t="s">
        <v>1083</v>
      </c>
      <c r="B874" s="10" t="s">
        <v>1109</v>
      </c>
      <c r="C874" s="12">
        <v>45170</v>
      </c>
      <c r="D874" s="10" t="s">
        <v>862</v>
      </c>
      <c r="E874" s="10" t="s">
        <v>74</v>
      </c>
      <c r="F874" s="10">
        <v>4584</v>
      </c>
      <c r="G874" s="10" t="s">
        <v>15</v>
      </c>
      <c r="H874" s="10" t="s">
        <v>2406</v>
      </c>
      <c r="I874" s="10" t="s">
        <v>66</v>
      </c>
      <c r="J874" s="10" t="s">
        <v>282</v>
      </c>
      <c r="K874" s="10" t="s">
        <v>2904</v>
      </c>
      <c r="L874" s="10" t="s">
        <v>2297</v>
      </c>
      <c r="M874" s="12"/>
      <c r="N874" s="10" t="s">
        <v>20</v>
      </c>
      <c r="O874" s="10" t="s">
        <v>2054</v>
      </c>
      <c r="P874" s="25" t="str">
        <f>IFERROR(
IF(OR(O874="anulado",O874="stand by"),CONCATENATE(O874,": ",H874),
IF(OR(YEAR(M874)=2022,YEAR(M874)=2023),CONCATENATE("Se activó en ",YEAR(M874)),
IF(AND(OR(O874="En proceso",O874="facturando"),AND(J874="-",M874="")),"Por revisar",
IF(M874="",IF(J874="NUEVAS",CONCATENATE("Estado: ",O874,", ",J874),
IF(L874=Meses!$A$3,"Por revisar",
IF(H874="","Sin registro","En programación Frcst."))),"En programación")))),
"Error")</f>
        <v>En programación Frcst.</v>
      </c>
      <c r="Q874" s="9" t="str">
        <f t="shared" si="39"/>
        <v/>
      </c>
      <c r="R874" s="25">
        <f>IF(P874="En programación Frcst.",VLOOKUP(L874,Meses!$A$1:$H$14,3+HLOOKUP(Cronograma!J874,Meses!$D$1:$G$2,2,FALSE),FALSE),
IF(P874="En programación",M874,""))</f>
        <v>0</v>
      </c>
      <c r="S874" s="25" t="str">
        <f t="shared" si="41"/>
        <v>1900/1</v>
      </c>
      <c r="T874" s="21">
        <f>IFERROR(
(VLOOKUP(MONTH(R874),Meses!$B$3:$C$14,2,FALSE)-DAY(R874))/VLOOKUP(MONTH(R874),Meses!$B$3:$C$14,2,FALSE)*U874,
"")</f>
        <v>4584</v>
      </c>
      <c r="U874" s="22">
        <f t="shared" si="40"/>
        <v>4584</v>
      </c>
    </row>
    <row r="875" spans="1:21" ht="47.4" hidden="1" thickBot="1" x14ac:dyDescent="0.6">
      <c r="A875" s="10" t="s">
        <v>1083</v>
      </c>
      <c r="B875" s="10" t="s">
        <v>1110</v>
      </c>
      <c r="C875" s="12">
        <v>45170</v>
      </c>
      <c r="D875" s="10" t="s">
        <v>862</v>
      </c>
      <c r="E875" s="10" t="s">
        <v>74</v>
      </c>
      <c r="F875" s="10">
        <v>5633</v>
      </c>
      <c r="G875" s="10" t="s">
        <v>15</v>
      </c>
      <c r="H875" s="10" t="s">
        <v>2406</v>
      </c>
      <c r="I875" s="10" t="s">
        <v>66</v>
      </c>
      <c r="J875" s="10" t="s">
        <v>282</v>
      </c>
      <c r="K875" s="10" t="s">
        <v>2904</v>
      </c>
      <c r="L875" s="10" t="s">
        <v>2297</v>
      </c>
      <c r="M875" s="12"/>
      <c r="N875" s="10" t="s">
        <v>20</v>
      </c>
      <c r="O875" s="10" t="s">
        <v>2054</v>
      </c>
      <c r="P875" s="25" t="str">
        <f>IFERROR(
IF(OR(O875="anulado",O875="stand by"),CONCATENATE(O875,": ",H875),
IF(OR(YEAR(M875)=2022,YEAR(M875)=2023),CONCATENATE("Se activó en ",YEAR(M875)),
IF(AND(OR(O875="En proceso",O875="facturando"),AND(J875="-",M875="")),"Por revisar",
IF(M875="",IF(J875="NUEVAS",CONCATENATE("Estado: ",O875,", ",J875),
IF(L875=Meses!$A$3,"Por revisar",
IF(H875="","Sin registro","En programación Frcst."))),"En programación")))),
"Error")</f>
        <v>En programación Frcst.</v>
      </c>
      <c r="Q875" s="9" t="str">
        <f t="shared" si="39"/>
        <v/>
      </c>
      <c r="R875" s="25">
        <f>IF(P875="En programación Frcst.",VLOOKUP(L875,Meses!$A$1:$H$14,3+HLOOKUP(Cronograma!J875,Meses!$D$1:$G$2,2,FALSE),FALSE),
IF(P875="En programación",M875,""))</f>
        <v>0</v>
      </c>
      <c r="S875" s="25" t="str">
        <f t="shared" si="41"/>
        <v>1900/1</v>
      </c>
      <c r="T875" s="21">
        <f>IFERROR(
(VLOOKUP(MONTH(R875),Meses!$B$3:$C$14,2,FALSE)-DAY(R875))/VLOOKUP(MONTH(R875),Meses!$B$3:$C$14,2,FALSE)*U875,
"")</f>
        <v>5633</v>
      </c>
      <c r="U875" s="22">
        <f t="shared" si="40"/>
        <v>5633</v>
      </c>
    </row>
    <row r="876" spans="1:21" ht="47.4" hidden="1" thickBot="1" x14ac:dyDescent="0.6">
      <c r="A876" s="10" t="s">
        <v>1083</v>
      </c>
      <c r="B876" s="10" t="s">
        <v>1111</v>
      </c>
      <c r="C876" s="12">
        <v>45170</v>
      </c>
      <c r="D876" s="10" t="s">
        <v>862</v>
      </c>
      <c r="E876" s="10" t="s">
        <v>74</v>
      </c>
      <c r="F876" s="10">
        <v>4334</v>
      </c>
      <c r="G876" s="10" t="s">
        <v>15</v>
      </c>
      <c r="H876" s="10" t="s">
        <v>2406</v>
      </c>
      <c r="I876" s="10" t="s">
        <v>66</v>
      </c>
      <c r="J876" s="10" t="s">
        <v>282</v>
      </c>
      <c r="K876" s="10" t="s">
        <v>2904</v>
      </c>
      <c r="L876" s="10" t="s">
        <v>2297</v>
      </c>
      <c r="M876" s="12"/>
      <c r="N876" s="10" t="s">
        <v>20</v>
      </c>
      <c r="O876" s="10" t="s">
        <v>2054</v>
      </c>
      <c r="P876" s="25" t="str">
        <f>IFERROR(
IF(OR(O876="anulado",O876="stand by"),CONCATENATE(O876,": ",H876),
IF(OR(YEAR(M876)=2022,YEAR(M876)=2023),CONCATENATE("Se activó en ",YEAR(M876)),
IF(AND(OR(O876="En proceso",O876="facturando"),AND(J876="-",M876="")),"Por revisar",
IF(M876="",IF(J876="NUEVAS",CONCATENATE("Estado: ",O876,", ",J876),
IF(L876=Meses!$A$3,"Por revisar",
IF(H876="","Sin registro","En programación Frcst."))),"En programación")))),
"Error")</f>
        <v>En programación Frcst.</v>
      </c>
      <c r="Q876" s="9" t="str">
        <f t="shared" si="39"/>
        <v/>
      </c>
      <c r="R876" s="25">
        <f>IF(P876="En programación Frcst.",VLOOKUP(L876,Meses!$A$1:$H$14,3+HLOOKUP(Cronograma!J876,Meses!$D$1:$G$2,2,FALSE),FALSE),
IF(P876="En programación",M876,""))</f>
        <v>0</v>
      </c>
      <c r="S876" s="25" t="str">
        <f t="shared" si="41"/>
        <v>1900/1</v>
      </c>
      <c r="T876" s="21">
        <f>IFERROR(
(VLOOKUP(MONTH(R876),Meses!$B$3:$C$14,2,FALSE)-DAY(R876))/VLOOKUP(MONTH(R876),Meses!$B$3:$C$14,2,FALSE)*U876,
"")</f>
        <v>4334</v>
      </c>
      <c r="U876" s="22">
        <f t="shared" si="40"/>
        <v>4334</v>
      </c>
    </row>
    <row r="877" spans="1:21" ht="47.4" hidden="1" thickBot="1" x14ac:dyDescent="0.6">
      <c r="A877" s="10" t="s">
        <v>1083</v>
      </c>
      <c r="B877" s="10" t="s">
        <v>1112</v>
      </c>
      <c r="C877" s="12">
        <v>45170</v>
      </c>
      <c r="D877" s="10" t="s">
        <v>862</v>
      </c>
      <c r="E877" s="10" t="s">
        <v>74</v>
      </c>
      <c r="F877" s="10">
        <v>7853</v>
      </c>
      <c r="G877" s="10" t="s">
        <v>15</v>
      </c>
      <c r="H877" s="10" t="s">
        <v>2406</v>
      </c>
      <c r="I877" s="10" t="s">
        <v>66</v>
      </c>
      <c r="J877" s="10" t="s">
        <v>282</v>
      </c>
      <c r="K877" s="10" t="s">
        <v>2904</v>
      </c>
      <c r="L877" s="10" t="s">
        <v>2297</v>
      </c>
      <c r="M877" s="12"/>
      <c r="N877" s="10" t="s">
        <v>20</v>
      </c>
      <c r="O877" s="10" t="s">
        <v>2054</v>
      </c>
      <c r="P877" s="25" t="str">
        <f>IFERROR(
IF(OR(O877="anulado",O877="stand by"),CONCATENATE(O877,": ",H877),
IF(OR(YEAR(M877)=2022,YEAR(M877)=2023),CONCATENATE("Se activó en ",YEAR(M877)),
IF(AND(OR(O877="En proceso",O877="facturando"),AND(J877="-",M877="")),"Por revisar",
IF(M877="",IF(J877="NUEVAS",CONCATENATE("Estado: ",O877,", ",J877),
IF(L877=Meses!$A$3,"Por revisar",
IF(H877="","Sin registro","En programación Frcst."))),"En programación")))),
"Error")</f>
        <v>En programación Frcst.</v>
      </c>
      <c r="Q877" s="9" t="str">
        <f t="shared" si="39"/>
        <v/>
      </c>
      <c r="R877" s="25">
        <f>IF(P877="En programación Frcst.",VLOOKUP(L877,Meses!$A$1:$H$14,3+HLOOKUP(Cronograma!J877,Meses!$D$1:$G$2,2,FALSE),FALSE),
IF(P877="En programación",M877,""))</f>
        <v>0</v>
      </c>
      <c r="S877" s="25" t="str">
        <f t="shared" si="41"/>
        <v>1900/1</v>
      </c>
      <c r="T877" s="21">
        <f>IFERROR(
(VLOOKUP(MONTH(R877),Meses!$B$3:$C$14,2,FALSE)-DAY(R877))/VLOOKUP(MONTH(R877),Meses!$B$3:$C$14,2,FALSE)*U877,
"")</f>
        <v>7853</v>
      </c>
      <c r="U877" s="22">
        <f t="shared" si="40"/>
        <v>7853</v>
      </c>
    </row>
    <row r="878" spans="1:21" ht="47.4" hidden="1" thickBot="1" x14ac:dyDescent="0.6">
      <c r="A878" s="10" t="s">
        <v>1083</v>
      </c>
      <c r="B878" s="10" t="s">
        <v>1113</v>
      </c>
      <c r="C878" s="12">
        <v>45170</v>
      </c>
      <c r="D878" s="10" t="s">
        <v>862</v>
      </c>
      <c r="E878" s="10" t="s">
        <v>74</v>
      </c>
      <c r="F878" s="10">
        <v>4117</v>
      </c>
      <c r="G878" s="10" t="s">
        <v>15</v>
      </c>
      <c r="H878" s="10" t="s">
        <v>2406</v>
      </c>
      <c r="I878" s="10" t="s">
        <v>66</v>
      </c>
      <c r="J878" s="10" t="s">
        <v>282</v>
      </c>
      <c r="K878" s="10" t="s">
        <v>2904</v>
      </c>
      <c r="L878" s="10" t="s">
        <v>2297</v>
      </c>
      <c r="M878" s="12"/>
      <c r="N878" s="10" t="s">
        <v>20</v>
      </c>
      <c r="O878" s="10" t="s">
        <v>2054</v>
      </c>
      <c r="P878" s="25" t="str">
        <f>IFERROR(
IF(OR(O878="anulado",O878="stand by"),CONCATENATE(O878,": ",H878),
IF(OR(YEAR(M878)=2022,YEAR(M878)=2023),CONCATENATE("Se activó en ",YEAR(M878)),
IF(AND(OR(O878="En proceso",O878="facturando"),AND(J878="-",M878="")),"Por revisar",
IF(M878="",IF(J878="NUEVAS",CONCATENATE("Estado: ",O878,", ",J878),
IF(L878=Meses!$A$3,"Por revisar",
IF(H878="","Sin registro","En programación Frcst."))),"En programación")))),
"Error")</f>
        <v>En programación Frcst.</v>
      </c>
      <c r="Q878" s="9" t="str">
        <f t="shared" si="39"/>
        <v/>
      </c>
      <c r="R878" s="25">
        <f>IF(P878="En programación Frcst.",VLOOKUP(L878,Meses!$A$1:$H$14,3+HLOOKUP(Cronograma!J878,Meses!$D$1:$G$2,2,FALSE),FALSE),
IF(P878="En programación",M878,""))</f>
        <v>0</v>
      </c>
      <c r="S878" s="25" t="str">
        <f t="shared" si="41"/>
        <v>1900/1</v>
      </c>
      <c r="T878" s="21">
        <f>IFERROR(
(VLOOKUP(MONTH(R878),Meses!$B$3:$C$14,2,FALSE)-DAY(R878))/VLOOKUP(MONTH(R878),Meses!$B$3:$C$14,2,FALSE)*U878,
"")</f>
        <v>4117</v>
      </c>
      <c r="U878" s="22">
        <f t="shared" si="40"/>
        <v>4117</v>
      </c>
    </row>
    <row r="879" spans="1:21" ht="47.4" hidden="1" thickBot="1" x14ac:dyDescent="0.6">
      <c r="A879" s="10" t="s">
        <v>1083</v>
      </c>
      <c r="B879" s="10" t="s">
        <v>1114</v>
      </c>
      <c r="C879" s="12">
        <v>45170</v>
      </c>
      <c r="D879" s="10" t="s">
        <v>862</v>
      </c>
      <c r="E879" s="10" t="s">
        <v>74</v>
      </c>
      <c r="F879" s="10">
        <v>4796</v>
      </c>
      <c r="G879" s="10" t="s">
        <v>15</v>
      </c>
      <c r="H879" s="10" t="s">
        <v>2406</v>
      </c>
      <c r="I879" s="10" t="s">
        <v>66</v>
      </c>
      <c r="J879" s="10" t="s">
        <v>282</v>
      </c>
      <c r="K879" s="10" t="s">
        <v>2904</v>
      </c>
      <c r="L879" s="10" t="s">
        <v>2297</v>
      </c>
      <c r="M879" s="12"/>
      <c r="N879" s="10" t="s">
        <v>20</v>
      </c>
      <c r="O879" s="10" t="s">
        <v>2054</v>
      </c>
      <c r="P879" s="25" t="str">
        <f>IFERROR(
IF(OR(O879="anulado",O879="stand by"),CONCATENATE(O879,": ",H879),
IF(OR(YEAR(M879)=2022,YEAR(M879)=2023),CONCATENATE("Se activó en ",YEAR(M879)),
IF(AND(OR(O879="En proceso",O879="facturando"),AND(J879="-",M879="")),"Por revisar",
IF(M879="",IF(J879="NUEVAS",CONCATENATE("Estado: ",O879,", ",J879),
IF(L879=Meses!$A$3,"Por revisar",
IF(H879="","Sin registro","En programación Frcst."))),"En programación")))),
"Error")</f>
        <v>En programación Frcst.</v>
      </c>
      <c r="Q879" s="9" t="str">
        <f t="shared" si="39"/>
        <v/>
      </c>
      <c r="R879" s="25">
        <f>IF(P879="En programación Frcst.",VLOOKUP(L879,Meses!$A$1:$H$14,3+HLOOKUP(Cronograma!J879,Meses!$D$1:$G$2,2,FALSE),FALSE),
IF(P879="En programación",M879,""))</f>
        <v>0</v>
      </c>
      <c r="S879" s="25" t="str">
        <f t="shared" si="41"/>
        <v>1900/1</v>
      </c>
      <c r="T879" s="21">
        <f>IFERROR(
(VLOOKUP(MONTH(R879),Meses!$B$3:$C$14,2,FALSE)-DAY(R879))/VLOOKUP(MONTH(R879),Meses!$B$3:$C$14,2,FALSE)*U879,
"")</f>
        <v>4796</v>
      </c>
      <c r="U879" s="22">
        <f t="shared" si="40"/>
        <v>4796</v>
      </c>
    </row>
    <row r="880" spans="1:21" ht="47.4" hidden="1" thickBot="1" x14ac:dyDescent="0.6">
      <c r="A880" s="10" t="s">
        <v>1083</v>
      </c>
      <c r="B880" s="10" t="s">
        <v>1115</v>
      </c>
      <c r="C880" s="12">
        <v>45170</v>
      </c>
      <c r="D880" s="10" t="s">
        <v>862</v>
      </c>
      <c r="E880" s="10" t="s">
        <v>74</v>
      </c>
      <c r="F880" s="10">
        <v>3084</v>
      </c>
      <c r="G880" s="10" t="s">
        <v>15</v>
      </c>
      <c r="H880" s="10" t="s">
        <v>2406</v>
      </c>
      <c r="I880" s="10" t="s">
        <v>66</v>
      </c>
      <c r="J880" s="10" t="s">
        <v>282</v>
      </c>
      <c r="K880" s="10" t="s">
        <v>2904</v>
      </c>
      <c r="L880" s="10" t="s">
        <v>2297</v>
      </c>
      <c r="M880" s="12"/>
      <c r="N880" s="10" t="s">
        <v>20</v>
      </c>
      <c r="O880" s="10" t="s">
        <v>2054</v>
      </c>
      <c r="P880" s="25" t="str">
        <f>IFERROR(
IF(OR(O880="anulado",O880="stand by"),CONCATENATE(O880,": ",H880),
IF(OR(YEAR(M880)=2022,YEAR(M880)=2023),CONCATENATE("Se activó en ",YEAR(M880)),
IF(AND(OR(O880="En proceso",O880="facturando"),AND(J880="-",M880="")),"Por revisar",
IF(M880="",IF(J880="NUEVAS",CONCATENATE("Estado: ",O880,", ",J880),
IF(L880=Meses!$A$3,"Por revisar",
IF(H880="","Sin registro","En programación Frcst."))),"En programación")))),
"Error")</f>
        <v>En programación Frcst.</v>
      </c>
      <c r="Q880" s="9" t="str">
        <f t="shared" si="39"/>
        <v/>
      </c>
      <c r="R880" s="25">
        <f>IF(P880="En programación Frcst.",VLOOKUP(L880,Meses!$A$1:$H$14,3+HLOOKUP(Cronograma!J880,Meses!$D$1:$G$2,2,FALSE),FALSE),
IF(P880="En programación",M880,""))</f>
        <v>0</v>
      </c>
      <c r="S880" s="25" t="str">
        <f t="shared" si="41"/>
        <v>1900/1</v>
      </c>
      <c r="T880" s="21">
        <f>IFERROR(
(VLOOKUP(MONTH(R880),Meses!$B$3:$C$14,2,FALSE)-DAY(R880))/VLOOKUP(MONTH(R880),Meses!$B$3:$C$14,2,FALSE)*U880,
"")</f>
        <v>3084</v>
      </c>
      <c r="U880" s="22">
        <f t="shared" si="40"/>
        <v>3084</v>
      </c>
    </row>
    <row r="881" spans="1:21" ht="47.4" hidden="1" thickBot="1" x14ac:dyDescent="0.6">
      <c r="A881" s="10" t="s">
        <v>1083</v>
      </c>
      <c r="B881" s="10" t="s">
        <v>1116</v>
      </c>
      <c r="C881" s="12">
        <v>45170</v>
      </c>
      <c r="D881" s="10" t="s">
        <v>862</v>
      </c>
      <c r="E881" s="10" t="s">
        <v>74</v>
      </c>
      <c r="F881" s="10">
        <v>5201</v>
      </c>
      <c r="G881" s="10" t="s">
        <v>15</v>
      </c>
      <c r="H881" s="10" t="s">
        <v>2406</v>
      </c>
      <c r="I881" s="10" t="s">
        <v>66</v>
      </c>
      <c r="J881" s="10" t="s">
        <v>282</v>
      </c>
      <c r="K881" s="10" t="s">
        <v>2904</v>
      </c>
      <c r="L881" s="10" t="s">
        <v>2297</v>
      </c>
      <c r="M881" s="12"/>
      <c r="N881" s="10" t="s">
        <v>20</v>
      </c>
      <c r="O881" s="10" t="s">
        <v>2054</v>
      </c>
      <c r="P881" s="25" t="str">
        <f>IFERROR(
IF(OR(O881="anulado",O881="stand by"),CONCATENATE(O881,": ",H881),
IF(OR(YEAR(M881)=2022,YEAR(M881)=2023),CONCATENATE("Se activó en ",YEAR(M881)),
IF(AND(OR(O881="En proceso",O881="facturando"),AND(J881="-",M881="")),"Por revisar",
IF(M881="",IF(J881="NUEVAS",CONCATENATE("Estado: ",O881,", ",J881),
IF(L881=Meses!$A$3,"Por revisar",
IF(H881="","Sin registro","En programación Frcst."))),"En programación")))),
"Error")</f>
        <v>En programación Frcst.</v>
      </c>
      <c r="Q881" s="9" t="str">
        <f t="shared" si="39"/>
        <v/>
      </c>
      <c r="R881" s="25">
        <f>IF(P881="En programación Frcst.",VLOOKUP(L881,Meses!$A$1:$H$14,3+HLOOKUP(Cronograma!J881,Meses!$D$1:$G$2,2,FALSE),FALSE),
IF(P881="En programación",M881,""))</f>
        <v>0</v>
      </c>
      <c r="S881" s="25" t="str">
        <f t="shared" si="41"/>
        <v>1900/1</v>
      </c>
      <c r="T881" s="21">
        <f>IFERROR(
(VLOOKUP(MONTH(R881),Meses!$B$3:$C$14,2,FALSE)-DAY(R881))/VLOOKUP(MONTH(R881),Meses!$B$3:$C$14,2,FALSE)*U881,
"")</f>
        <v>5201</v>
      </c>
      <c r="U881" s="22">
        <f t="shared" si="40"/>
        <v>5201</v>
      </c>
    </row>
    <row r="882" spans="1:21" ht="31.8" hidden="1" thickBot="1" x14ac:dyDescent="0.6">
      <c r="A882" s="10" t="s">
        <v>1117</v>
      </c>
      <c r="B882" s="10" t="s">
        <v>1118</v>
      </c>
      <c r="C882" s="12"/>
      <c r="D882" s="10" t="s">
        <v>291</v>
      </c>
      <c r="E882" s="10" t="s">
        <v>291</v>
      </c>
      <c r="F882" s="10">
        <v>6715</v>
      </c>
      <c r="G882" s="10" t="s">
        <v>15</v>
      </c>
      <c r="H882" s="10" t="s">
        <v>1050</v>
      </c>
      <c r="I882" s="10" t="s">
        <v>43</v>
      </c>
      <c r="J882" s="10" t="s">
        <v>143</v>
      </c>
      <c r="K882" s="10" t="s">
        <v>2895</v>
      </c>
      <c r="L882" s="10" t="s">
        <v>2292</v>
      </c>
      <c r="M882" s="12">
        <v>45400</v>
      </c>
      <c r="N882" s="10" t="s">
        <v>15</v>
      </c>
      <c r="O882" s="10" t="s">
        <v>2057</v>
      </c>
      <c r="P882" s="25" t="str">
        <f>IFERROR(
IF(OR(O882="anulado",O882="stand by"),CONCATENATE(O882,": ",H882),
IF(OR(YEAR(M882)=2022,YEAR(M882)=2023),CONCATENATE("Se activó en ",YEAR(M882)),
IF(AND(OR(O882="En proceso",O882="facturando"),AND(J882="-",M882="")),"Por revisar",
IF(M882="",IF(J882="NUEVAS",CONCATENATE("Estado: ",O882,", ",J882),
IF(L882=Meses!$A$3,"Por revisar",
IF(H882="","Sin registro","En programación Frcst."))),"En programación")))),
"Error")</f>
        <v>En programación</v>
      </c>
      <c r="Q882" s="9" t="str">
        <f t="shared" si="39"/>
        <v/>
      </c>
      <c r="R882" s="25">
        <f>IF(P882="En programación Frcst.",VLOOKUP(L882,Meses!$A$1:$H$14,3+HLOOKUP(Cronograma!J882,Meses!$D$1:$G$2,2,FALSE),FALSE),
IF(P882="En programación",M882,""))</f>
        <v>45400</v>
      </c>
      <c r="S882" s="25" t="str">
        <f t="shared" si="41"/>
        <v>2024/4</v>
      </c>
      <c r="T882" s="21">
        <f>IFERROR(
(VLOOKUP(MONTH(R882),Meses!$B$3:$C$14,2,FALSE)-DAY(R882))/VLOOKUP(MONTH(R882),Meses!$B$3:$C$14,2,FALSE)*U882,
"")</f>
        <v>2686</v>
      </c>
      <c r="U882" s="22">
        <f t="shared" si="40"/>
        <v>6715</v>
      </c>
    </row>
    <row r="883" spans="1:21" ht="31.8" hidden="1" thickBot="1" x14ac:dyDescent="0.6">
      <c r="A883" s="10" t="s">
        <v>1121</v>
      </c>
      <c r="B883" s="10" t="s">
        <v>1122</v>
      </c>
      <c r="C883" s="12"/>
      <c r="D883" s="10" t="s">
        <v>74</v>
      </c>
      <c r="E883" s="10" t="s">
        <v>74</v>
      </c>
      <c r="F883" s="10">
        <v>3300</v>
      </c>
      <c r="G883" s="10" t="s">
        <v>15</v>
      </c>
      <c r="H883" s="10" t="s">
        <v>2916</v>
      </c>
      <c r="I883" s="10" t="s">
        <v>43</v>
      </c>
      <c r="J883" s="10" t="s">
        <v>143</v>
      </c>
      <c r="K883" s="10" t="s">
        <v>2895</v>
      </c>
      <c r="L883" s="10" t="s">
        <v>2292</v>
      </c>
      <c r="M883" s="12">
        <v>45400</v>
      </c>
      <c r="N883" s="10" t="s">
        <v>15</v>
      </c>
      <c r="O883" s="10" t="s">
        <v>2057</v>
      </c>
      <c r="P883" s="25" t="str">
        <f>IFERROR(
IF(OR(O883="anulado",O883="stand by"),CONCATENATE(O883,": ",H883),
IF(OR(YEAR(M883)=2022,YEAR(M883)=2023),CONCATENATE("Se activó en ",YEAR(M883)),
IF(AND(OR(O883="En proceso",O883="facturando"),AND(J883="-",M883="")),"Por revisar",
IF(M883="",IF(J883="NUEVAS",CONCATENATE("Estado: ",O883,", ",J883),
IF(L883=Meses!$A$3,"Por revisar",
IF(H883="","Sin registro","En programación Frcst."))),"En programación")))),
"Error")</f>
        <v>En programación</v>
      </c>
      <c r="Q883" s="9" t="str">
        <f t="shared" si="39"/>
        <v/>
      </c>
      <c r="R883" s="25">
        <f>IF(P883="En programación Frcst.",VLOOKUP(L883,Meses!$A$1:$H$14,3+HLOOKUP(Cronograma!J883,Meses!$D$1:$G$2,2,FALSE),FALSE),
IF(P883="En programación",M883,""))</f>
        <v>45400</v>
      </c>
      <c r="S883" s="25" t="str">
        <f t="shared" si="41"/>
        <v>2024/4</v>
      </c>
      <c r="T883" s="21">
        <f>IFERROR(
(VLOOKUP(MONTH(R883),Meses!$B$3:$C$14,2,FALSE)-DAY(R883))/VLOOKUP(MONTH(R883),Meses!$B$3:$C$14,2,FALSE)*U883,
"")</f>
        <v>1320</v>
      </c>
      <c r="U883" s="22">
        <f t="shared" si="40"/>
        <v>3300</v>
      </c>
    </row>
    <row r="884" spans="1:21" ht="63" hidden="1" thickBot="1" x14ac:dyDescent="0.6">
      <c r="A884" s="10" t="s">
        <v>1123</v>
      </c>
      <c r="B884" s="10" t="s">
        <v>1124</v>
      </c>
      <c r="C884" s="12">
        <v>45309</v>
      </c>
      <c r="D884" s="10" t="s">
        <v>14</v>
      </c>
      <c r="E884" s="10" t="s">
        <v>14</v>
      </c>
      <c r="F884" s="10">
        <v>1436</v>
      </c>
      <c r="G884" s="10" t="s">
        <v>15</v>
      </c>
      <c r="H884" s="10" t="s">
        <v>17</v>
      </c>
      <c r="I884" s="10" t="s">
        <v>18</v>
      </c>
      <c r="J884" s="10" t="s">
        <v>143</v>
      </c>
      <c r="K884" s="10" t="s">
        <v>538</v>
      </c>
      <c r="L884" s="10" t="s">
        <v>279</v>
      </c>
      <c r="M884" s="12"/>
      <c r="N884" s="10" t="s">
        <v>15</v>
      </c>
      <c r="O884" s="10" t="s">
        <v>2054</v>
      </c>
      <c r="P884" s="25" t="str">
        <f>IFERROR(
IF(OR(O884="anulado",O884="stand by"),CONCATENATE(O884,": ",H884),
IF(OR(YEAR(M884)=2022,YEAR(M884)=2023),CONCATENATE("Se activó en ",YEAR(M884)),
IF(AND(OR(O884="En proceso",O884="facturando"),AND(J884="-",M884="")),"Por revisar",
IF(M884="",IF(J884="NUEVAS",CONCATENATE("Estado: ",O884,", ",J884),
IF(L884=Meses!$A$3,"Por revisar",
IF(H884="","Sin registro","En programación Frcst."))),"En programación")))),
"Error")</f>
        <v>En programación Frcst.</v>
      </c>
      <c r="Q884" s="9" t="str">
        <f t="shared" si="39"/>
        <v/>
      </c>
      <c r="R884" s="25">
        <f>IF(P884="En programación Frcst.",VLOOKUP(L884,Meses!$A$1:$H$14,3+HLOOKUP(Cronograma!J884,Meses!$D$1:$G$2,2,FALSE),FALSE),
IF(P884="En programación",M884,""))</f>
        <v>45302</v>
      </c>
      <c r="S884" s="25" t="str">
        <f t="shared" si="41"/>
        <v>2024/1</v>
      </c>
      <c r="T884" s="21">
        <f>IFERROR(
(VLOOKUP(MONTH(R884),Meses!$B$3:$C$14,2,FALSE)-DAY(R884))/VLOOKUP(MONTH(R884),Meses!$B$3:$C$14,2,FALSE)*U884,
"")</f>
        <v>926.45161290322574</v>
      </c>
      <c r="U884" s="22">
        <f t="shared" si="40"/>
        <v>1436</v>
      </c>
    </row>
    <row r="885" spans="1:21" ht="63" hidden="1" thickBot="1" x14ac:dyDescent="0.6">
      <c r="A885" s="10" t="s">
        <v>1123</v>
      </c>
      <c r="B885" s="10" t="s">
        <v>1125</v>
      </c>
      <c r="C885" s="12">
        <v>45309</v>
      </c>
      <c r="D885" s="10" t="s">
        <v>14</v>
      </c>
      <c r="E885" s="10" t="s">
        <v>14</v>
      </c>
      <c r="F885" s="10">
        <v>1663</v>
      </c>
      <c r="G885" s="10" t="s">
        <v>15</v>
      </c>
      <c r="H885" s="10" t="s">
        <v>17</v>
      </c>
      <c r="I885" s="10" t="s">
        <v>18</v>
      </c>
      <c r="J885" s="10" t="s">
        <v>143</v>
      </c>
      <c r="K885" s="10" t="s">
        <v>538</v>
      </c>
      <c r="L885" s="10" t="s">
        <v>279</v>
      </c>
      <c r="M885" s="12"/>
      <c r="N885" s="10" t="s">
        <v>15</v>
      </c>
      <c r="O885" s="10" t="s">
        <v>2054</v>
      </c>
      <c r="P885" s="25" t="str">
        <f>IFERROR(
IF(OR(O885="anulado",O885="stand by"),CONCATENATE(O885,": ",H885),
IF(OR(YEAR(M885)=2022,YEAR(M885)=2023),CONCATENATE("Se activó en ",YEAR(M885)),
IF(AND(OR(O885="En proceso",O885="facturando"),AND(J885="-",M885="")),"Por revisar",
IF(M885="",IF(J885="NUEVAS",CONCATENATE("Estado: ",O885,", ",J885),
IF(L885=Meses!$A$3,"Por revisar",
IF(H885="","Sin registro","En programación Frcst."))),"En programación")))),
"Error")</f>
        <v>En programación Frcst.</v>
      </c>
      <c r="Q885" s="9" t="str">
        <f t="shared" si="39"/>
        <v/>
      </c>
      <c r="R885" s="25">
        <f>IF(P885="En programación Frcst.",VLOOKUP(L885,Meses!$A$1:$H$14,3+HLOOKUP(Cronograma!J885,Meses!$D$1:$G$2,2,FALSE),FALSE),
IF(P885="En programación",M885,""))</f>
        <v>45302</v>
      </c>
      <c r="S885" s="25" t="str">
        <f t="shared" si="41"/>
        <v>2024/1</v>
      </c>
      <c r="T885" s="21">
        <f>IFERROR(
(VLOOKUP(MONTH(R885),Meses!$B$3:$C$14,2,FALSE)-DAY(R885))/VLOOKUP(MONTH(R885),Meses!$B$3:$C$14,2,FALSE)*U885,
"")</f>
        <v>1072.9032258064515</v>
      </c>
      <c r="U885" s="22">
        <f t="shared" si="40"/>
        <v>1663</v>
      </c>
    </row>
    <row r="886" spans="1:21" ht="31.8" hidden="1" thickBot="1" x14ac:dyDescent="0.6">
      <c r="A886" s="10" t="s">
        <v>1126</v>
      </c>
      <c r="B886" s="10" t="s">
        <v>1127</v>
      </c>
      <c r="C886" s="12"/>
      <c r="D886" s="10" t="s">
        <v>74</v>
      </c>
      <c r="E886" s="10" t="s">
        <v>74</v>
      </c>
      <c r="F886" s="10">
        <v>865</v>
      </c>
      <c r="G886" s="10" t="s">
        <v>15</v>
      </c>
      <c r="H886" s="10" t="s">
        <v>2917</v>
      </c>
      <c r="I886" s="10" t="s">
        <v>43</v>
      </c>
      <c r="J886" s="10" t="s">
        <v>143</v>
      </c>
      <c r="K886" s="10" t="s">
        <v>2895</v>
      </c>
      <c r="L886" s="10" t="s">
        <v>2292</v>
      </c>
      <c r="M886" s="12">
        <v>45400</v>
      </c>
      <c r="N886" s="10" t="s">
        <v>15</v>
      </c>
      <c r="O886" s="10" t="s">
        <v>2057</v>
      </c>
      <c r="P886" s="25" t="str">
        <f>IFERROR(
IF(OR(O886="anulado",O886="stand by"),CONCATENATE(O886,": ",H886),
IF(OR(YEAR(M886)=2022,YEAR(M886)=2023),CONCATENATE("Se activó en ",YEAR(M886)),
IF(AND(OR(O886="En proceso",O886="facturando"),AND(J886="-",M886="")),"Por revisar",
IF(M886="",IF(J886="NUEVAS",CONCATENATE("Estado: ",O886,", ",J886),
IF(L886=Meses!$A$3,"Por revisar",
IF(H886="","Sin registro","En programación Frcst."))),"En programación")))),
"Error")</f>
        <v>En programación</v>
      </c>
      <c r="Q886" s="9" t="str">
        <f t="shared" si="39"/>
        <v/>
      </c>
      <c r="R886" s="25">
        <f>IF(P886="En programación Frcst.",VLOOKUP(L886,Meses!$A$1:$H$14,3+HLOOKUP(Cronograma!J886,Meses!$D$1:$G$2,2,FALSE),FALSE),
IF(P886="En programación",M886,""))</f>
        <v>45400</v>
      </c>
      <c r="S886" s="25" t="str">
        <f t="shared" si="41"/>
        <v>2024/4</v>
      </c>
      <c r="T886" s="21">
        <f>IFERROR(
(VLOOKUP(MONTH(R886),Meses!$B$3:$C$14,2,FALSE)-DAY(R886))/VLOOKUP(MONTH(R886),Meses!$B$3:$C$14,2,FALSE)*U886,
"")</f>
        <v>346</v>
      </c>
      <c r="U886" s="22">
        <f t="shared" si="40"/>
        <v>865</v>
      </c>
    </row>
    <row r="887" spans="1:21" ht="31.8" hidden="1" thickBot="1" x14ac:dyDescent="0.6">
      <c r="A887" s="10" t="s">
        <v>1128</v>
      </c>
      <c r="B887" s="10" t="s">
        <v>1129</v>
      </c>
      <c r="C887" s="12">
        <v>45323</v>
      </c>
      <c r="D887" s="10" t="s">
        <v>14</v>
      </c>
      <c r="E887" s="10" t="s">
        <v>14</v>
      </c>
      <c r="F887" s="10">
        <v>7280</v>
      </c>
      <c r="G887" s="10" t="s">
        <v>15</v>
      </c>
      <c r="H887" s="10" t="s">
        <v>17</v>
      </c>
      <c r="I887" s="10" t="s">
        <v>18</v>
      </c>
      <c r="J887" s="10" t="s">
        <v>282</v>
      </c>
      <c r="K887" s="10" t="s">
        <v>747</v>
      </c>
      <c r="L887" s="10" t="s">
        <v>748</v>
      </c>
      <c r="M887" s="12"/>
      <c r="N887" s="10" t="s">
        <v>15</v>
      </c>
      <c r="O887" s="10" t="s">
        <v>2054</v>
      </c>
      <c r="P887" s="25" t="str">
        <f>IFERROR(
IF(OR(O887="anulado",O887="stand by"),CONCATENATE(O887,": ",H887),
IF(OR(YEAR(M887)=2022,YEAR(M887)=2023),CONCATENATE("Se activó en ",YEAR(M887)),
IF(AND(OR(O887="En proceso",O887="facturando"),AND(J887="-",M887="")),"Por revisar",
IF(M887="",IF(J887="NUEVAS",CONCATENATE("Estado: ",O887,", ",J887),
IF(L887=Meses!$A$3,"Por revisar",
IF(H887="","Sin registro","En programación Frcst."))),"En programación")))),
"Error")</f>
        <v>En programación Frcst.</v>
      </c>
      <c r="Q887" s="9" t="str">
        <f t="shared" si="39"/>
        <v/>
      </c>
      <c r="R887" s="25">
        <f>IF(P887="En programación Frcst.",VLOOKUP(L887,Meses!$A$1:$H$14,3+HLOOKUP(Cronograma!J887,Meses!$D$1:$G$2,2,FALSE),FALSE),
IF(P887="En programación",M887,""))</f>
        <v>45323</v>
      </c>
      <c r="S887" s="25" t="str">
        <f t="shared" si="41"/>
        <v>2024/2</v>
      </c>
      <c r="T887" s="21">
        <f>IFERROR(
(VLOOKUP(MONTH(R887),Meses!$B$3:$C$14,2,FALSE)-DAY(R887))/VLOOKUP(MONTH(R887),Meses!$B$3:$C$14,2,FALSE)*U887,
"")</f>
        <v>7028.9655172413795</v>
      </c>
      <c r="U887" s="22">
        <f t="shared" si="40"/>
        <v>7280</v>
      </c>
    </row>
    <row r="888" spans="1:21" ht="47.4" hidden="1" thickBot="1" x14ac:dyDescent="0.6">
      <c r="A888" s="10" t="s">
        <v>1130</v>
      </c>
      <c r="B888" s="10" t="s">
        <v>1131</v>
      </c>
      <c r="C888" s="12"/>
      <c r="D888" s="10" t="s">
        <v>74</v>
      </c>
      <c r="E888" s="10" t="s">
        <v>74</v>
      </c>
      <c r="F888" s="10">
        <v>13040</v>
      </c>
      <c r="G888" s="10" t="s">
        <v>15</v>
      </c>
      <c r="H888" s="10" t="s">
        <v>2921</v>
      </c>
      <c r="I888" s="10" t="s">
        <v>43</v>
      </c>
      <c r="J888" s="10" t="s">
        <v>143</v>
      </c>
      <c r="K888" s="10" t="s">
        <v>1697</v>
      </c>
      <c r="L888" s="10" t="s">
        <v>1120</v>
      </c>
      <c r="M888" s="12">
        <v>45365</v>
      </c>
      <c r="N888" s="10" t="s">
        <v>15</v>
      </c>
      <c r="O888" s="10" t="s">
        <v>2057</v>
      </c>
      <c r="P888" s="25" t="str">
        <f>IFERROR(
IF(OR(O888="anulado",O888="stand by"),CONCATENATE(O888,": ",H888),
IF(OR(YEAR(M888)=2022,YEAR(M888)=2023),CONCATENATE("Se activó en ",YEAR(M888)),
IF(AND(OR(O888="En proceso",O888="facturando"),AND(J888="-",M888="")),"Por revisar",
IF(M888="",IF(J888="NUEVAS",CONCATENATE("Estado: ",O888,", ",J888),
IF(L888=Meses!$A$3,"Por revisar",
IF(H888="","Sin registro","En programación Frcst."))),"En programación")))),
"Error")</f>
        <v>En programación</v>
      </c>
      <c r="Q888" s="9" t="str">
        <f t="shared" si="39"/>
        <v/>
      </c>
      <c r="R888" s="25">
        <f>IF(P888="En programación Frcst.",VLOOKUP(L888,Meses!$A$1:$H$14,3+HLOOKUP(Cronograma!J888,Meses!$D$1:$G$2,2,FALSE),FALSE),
IF(P888="En programación",M888,""))</f>
        <v>45365</v>
      </c>
      <c r="S888" s="25" t="str">
        <f t="shared" si="41"/>
        <v>2024/3</v>
      </c>
      <c r="T888" s="21">
        <f>IFERROR(
(VLOOKUP(MONTH(R888),Meses!$B$3:$C$14,2,FALSE)-DAY(R888))/VLOOKUP(MONTH(R888),Meses!$B$3:$C$14,2,FALSE)*U888,
"")</f>
        <v>7150.967741935483</v>
      </c>
      <c r="U888" s="22">
        <f t="shared" si="40"/>
        <v>13040</v>
      </c>
    </row>
    <row r="889" spans="1:21" ht="47.4" hidden="1" thickBot="1" x14ac:dyDescent="0.6">
      <c r="A889" s="10" t="s">
        <v>1132</v>
      </c>
      <c r="B889" s="10" t="s">
        <v>1133</v>
      </c>
      <c r="C889" s="12">
        <v>45197</v>
      </c>
      <c r="D889" s="10" t="s">
        <v>862</v>
      </c>
      <c r="E889" s="10" t="s">
        <v>233</v>
      </c>
      <c r="F889" s="10">
        <v>1500</v>
      </c>
      <c r="G889" s="10" t="s">
        <v>15</v>
      </c>
      <c r="H889" s="10" t="s">
        <v>2406</v>
      </c>
      <c r="I889" s="10" t="s">
        <v>66</v>
      </c>
      <c r="J889" s="10" t="s">
        <v>277</v>
      </c>
      <c r="K889" s="10" t="s">
        <v>2905</v>
      </c>
      <c r="L889" s="10" t="s">
        <v>2297</v>
      </c>
      <c r="M889" s="12"/>
      <c r="N889" s="10" t="s">
        <v>20</v>
      </c>
      <c r="O889" s="10" t="s">
        <v>2054</v>
      </c>
      <c r="P889" s="25" t="str">
        <f>IFERROR(
IF(OR(O889="anulado",O889="stand by"),CONCATENATE(O889,": ",H889),
IF(OR(YEAR(M889)=2022,YEAR(M889)=2023),CONCATENATE("Se activó en ",YEAR(M889)),
IF(AND(OR(O889="En proceso",O889="facturando"),AND(J889="-",M889="")),"Por revisar",
IF(M889="",IF(J889="NUEVAS",CONCATENATE("Estado: ",O889,", ",J889),
IF(L889=Meses!$A$3,"Por revisar",
IF(H889="","Sin registro","En programación Frcst."))),"En programación")))),
"Error")</f>
        <v>En programación Frcst.</v>
      </c>
      <c r="Q889" s="9" t="str">
        <f t="shared" si="39"/>
        <v/>
      </c>
      <c r="R889" s="25">
        <f>IF(P889="En programación Frcst.",VLOOKUP(L889,Meses!$A$1:$H$14,3+HLOOKUP(Cronograma!J889,Meses!$D$1:$G$2,2,FALSE),FALSE),
IF(P889="En programación",M889,""))</f>
        <v>0</v>
      </c>
      <c r="S889" s="25" t="str">
        <f t="shared" si="41"/>
        <v>1900/1</v>
      </c>
      <c r="T889" s="21">
        <f>IFERROR(
(VLOOKUP(MONTH(R889),Meses!$B$3:$C$14,2,FALSE)-DAY(R889))/VLOOKUP(MONTH(R889),Meses!$B$3:$C$14,2,FALSE)*U889,
"")</f>
        <v>1500</v>
      </c>
      <c r="U889" s="22">
        <f t="shared" si="40"/>
        <v>1500</v>
      </c>
    </row>
    <row r="890" spans="1:21" ht="47.4" hidden="1" thickBot="1" x14ac:dyDescent="0.6">
      <c r="A890" s="10" t="s">
        <v>1132</v>
      </c>
      <c r="B890" s="10" t="s">
        <v>1134</v>
      </c>
      <c r="C890" s="12">
        <v>45197</v>
      </c>
      <c r="D890" s="10" t="s">
        <v>862</v>
      </c>
      <c r="E890" s="10" t="s">
        <v>23</v>
      </c>
      <c r="F890" s="10">
        <v>4600</v>
      </c>
      <c r="G890" s="10" t="s">
        <v>15</v>
      </c>
      <c r="H890" s="10" t="s">
        <v>17</v>
      </c>
      <c r="I890" s="10" t="s">
        <v>66</v>
      </c>
      <c r="J890" s="10" t="s">
        <v>19</v>
      </c>
      <c r="K890" s="10" t="s">
        <v>19</v>
      </c>
      <c r="L890" s="10" t="s">
        <v>19</v>
      </c>
      <c r="M890" s="12"/>
      <c r="N890" s="10" t="s">
        <v>20</v>
      </c>
      <c r="O890" s="10" t="s">
        <v>2054</v>
      </c>
      <c r="P890" s="25" t="str">
        <f>IFERROR(
IF(OR(O890="anulado",O890="stand by"),CONCATENATE(O890,": ",H890),
IF(OR(YEAR(M890)=2022,YEAR(M890)=2023),CONCATENATE("Se activó en ",YEAR(M890)),
IF(AND(OR(O890="En proceso",O890="facturando"),AND(J890="-",M890="")),"Por revisar",
IF(M890="",IF(J890="NUEVAS",CONCATENATE("Estado: ",O890,", ",J890),
IF(L890=Meses!$A$3,"Por revisar",
IF(H890="","Sin registro","En programación Frcst."))),"En programación")))),
"Error")</f>
        <v>Por revisar</v>
      </c>
      <c r="Q890" s="9" t="str">
        <f t="shared" si="39"/>
        <v>programación de act. NO, estado: Facturando, Comercializador: DICELER, Etapa: Instalado y Activado</v>
      </c>
      <c r="R890" s="25" t="str">
        <f>IF(P890="En programación Frcst.",VLOOKUP(L890,Meses!$A$1:$H$14,3+HLOOKUP(Cronograma!J890,Meses!$D$1:$G$2,2,FALSE),FALSE),
IF(P890="En programación",M890,""))</f>
        <v/>
      </c>
      <c r="S890" s="25" t="str">
        <f t="shared" si="41"/>
        <v/>
      </c>
      <c r="T890" s="21" t="str">
        <f>IFERROR(
(VLOOKUP(MONTH(R890),Meses!$B$3:$C$14,2,FALSE)-DAY(R890))/VLOOKUP(MONTH(R890),Meses!$B$3:$C$14,2,FALSE)*U890,
"")</f>
        <v/>
      </c>
      <c r="U890" s="22">
        <f t="shared" si="40"/>
        <v>4600</v>
      </c>
    </row>
    <row r="891" spans="1:21" ht="31.8" hidden="1" thickBot="1" x14ac:dyDescent="0.6">
      <c r="A891" s="10" t="s">
        <v>1135</v>
      </c>
      <c r="B891" s="10" t="s">
        <v>1136</v>
      </c>
      <c r="C891" s="12"/>
      <c r="D891" s="10" t="s">
        <v>74</v>
      </c>
      <c r="E891" s="10" t="s">
        <v>74</v>
      </c>
      <c r="F891" s="10">
        <v>774</v>
      </c>
      <c r="G891" s="10" t="s">
        <v>15</v>
      </c>
      <c r="H891" s="10" t="s">
        <v>2917</v>
      </c>
      <c r="I891" s="10" t="s">
        <v>43</v>
      </c>
      <c r="J891" s="10" t="s">
        <v>143</v>
      </c>
      <c r="K891" s="10" t="s">
        <v>2895</v>
      </c>
      <c r="L891" s="10" t="s">
        <v>2292</v>
      </c>
      <c r="M891" s="12">
        <v>45400</v>
      </c>
      <c r="N891" s="10" t="s">
        <v>15</v>
      </c>
      <c r="O891" s="10" t="s">
        <v>2057</v>
      </c>
      <c r="P891" s="25" t="str">
        <f>IFERROR(
IF(OR(O891="anulado",O891="stand by"),CONCATENATE(O891,": ",H891),
IF(OR(YEAR(M891)=2022,YEAR(M891)=2023),CONCATENATE("Se activó en ",YEAR(M891)),
IF(AND(OR(O891="En proceso",O891="facturando"),AND(J891="-",M891="")),"Por revisar",
IF(M891="",IF(J891="NUEVAS",CONCATENATE("Estado: ",O891,", ",J891),
IF(L891=Meses!$A$3,"Por revisar",
IF(H891="","Sin registro","En programación Frcst."))),"En programación")))),
"Error")</f>
        <v>En programación</v>
      </c>
      <c r="Q891" s="9" t="str">
        <f t="shared" si="39"/>
        <v/>
      </c>
      <c r="R891" s="25">
        <f>IF(P891="En programación Frcst.",VLOOKUP(L891,Meses!$A$1:$H$14,3+HLOOKUP(Cronograma!J891,Meses!$D$1:$G$2,2,FALSE),FALSE),
IF(P891="En programación",M891,""))</f>
        <v>45400</v>
      </c>
      <c r="S891" s="25" t="str">
        <f t="shared" si="41"/>
        <v>2024/4</v>
      </c>
      <c r="T891" s="21">
        <f>IFERROR(
(VLOOKUP(MONTH(R891),Meses!$B$3:$C$14,2,FALSE)-DAY(R891))/VLOOKUP(MONTH(R891),Meses!$B$3:$C$14,2,FALSE)*U891,
"")</f>
        <v>309.60000000000002</v>
      </c>
      <c r="U891" s="22">
        <f t="shared" si="40"/>
        <v>774</v>
      </c>
    </row>
    <row r="892" spans="1:21" ht="31.8" hidden="1" thickBot="1" x14ac:dyDescent="0.6">
      <c r="A892" s="10" t="s">
        <v>1135</v>
      </c>
      <c r="B892" s="10" t="s">
        <v>1137</v>
      </c>
      <c r="C892" s="12"/>
      <c r="D892" s="10" t="s">
        <v>74</v>
      </c>
      <c r="E892" s="10" t="s">
        <v>74</v>
      </c>
      <c r="F892" s="10">
        <v>4080</v>
      </c>
      <c r="G892" s="10" t="s">
        <v>15</v>
      </c>
      <c r="H892" s="10" t="s">
        <v>2917</v>
      </c>
      <c r="I892" s="10" t="s">
        <v>43</v>
      </c>
      <c r="J892" s="10" t="s">
        <v>143</v>
      </c>
      <c r="K892" s="10" t="s">
        <v>2895</v>
      </c>
      <c r="L892" s="10" t="s">
        <v>2292</v>
      </c>
      <c r="M892" s="12">
        <v>45400</v>
      </c>
      <c r="N892" s="10" t="s">
        <v>15</v>
      </c>
      <c r="O892" s="10" t="s">
        <v>2057</v>
      </c>
      <c r="P892" s="25" t="str">
        <f>IFERROR(
IF(OR(O892="anulado",O892="stand by"),CONCATENATE(O892,": ",H892),
IF(OR(YEAR(M892)=2022,YEAR(M892)=2023),CONCATENATE("Se activó en ",YEAR(M892)),
IF(AND(OR(O892="En proceso",O892="facturando"),AND(J892="-",M892="")),"Por revisar",
IF(M892="",IF(J892="NUEVAS",CONCATENATE("Estado: ",O892,", ",J892),
IF(L892=Meses!$A$3,"Por revisar",
IF(H892="","Sin registro","En programación Frcst."))),"En programación")))),
"Error")</f>
        <v>En programación</v>
      </c>
      <c r="Q892" s="9" t="str">
        <f t="shared" si="39"/>
        <v/>
      </c>
      <c r="R892" s="25">
        <f>IF(P892="En programación Frcst.",VLOOKUP(L892,Meses!$A$1:$H$14,3+HLOOKUP(Cronograma!J892,Meses!$D$1:$G$2,2,FALSE),FALSE),
IF(P892="En programación",M892,""))</f>
        <v>45400</v>
      </c>
      <c r="S892" s="25" t="str">
        <f t="shared" si="41"/>
        <v>2024/4</v>
      </c>
      <c r="T892" s="21">
        <f>IFERROR(
(VLOOKUP(MONTH(R892),Meses!$B$3:$C$14,2,FALSE)-DAY(R892))/VLOOKUP(MONTH(R892),Meses!$B$3:$C$14,2,FALSE)*U892,
"")</f>
        <v>1632</v>
      </c>
      <c r="U892" s="22">
        <f t="shared" si="40"/>
        <v>4080</v>
      </c>
    </row>
    <row r="893" spans="1:21" ht="32.4" hidden="1" thickBot="1" x14ac:dyDescent="0.6">
      <c r="A893" s="10" t="s">
        <v>1138</v>
      </c>
      <c r="B893" s="10" t="s">
        <v>1139</v>
      </c>
      <c r="C893" s="12">
        <v>45197</v>
      </c>
      <c r="D893" s="10" t="s">
        <v>862</v>
      </c>
      <c r="E893" s="10" t="s">
        <v>23</v>
      </c>
      <c r="F893" s="10">
        <v>2700</v>
      </c>
      <c r="G893" s="10" t="s">
        <v>15</v>
      </c>
      <c r="H893" s="10" t="s">
        <v>17</v>
      </c>
      <c r="I893" s="10" t="s">
        <v>66</v>
      </c>
      <c r="J893" s="10" t="s">
        <v>19</v>
      </c>
      <c r="K893" s="10" t="s">
        <v>19</v>
      </c>
      <c r="L893" s="10" t="s">
        <v>19</v>
      </c>
      <c r="M893" s="12"/>
      <c r="N893" s="10" t="s">
        <v>20</v>
      </c>
      <c r="O893" s="10" t="s">
        <v>2054</v>
      </c>
      <c r="P893" s="25" t="str">
        <f>IFERROR(
IF(OR(O893="anulado",O893="stand by"),CONCATENATE(O893,": ",H893),
IF(OR(YEAR(M893)=2022,YEAR(M893)=2023),CONCATENATE("Se activó en ",YEAR(M893)),
IF(AND(OR(O893="En proceso",O893="facturando"),AND(J893="-",M893="")),"Por revisar",
IF(M893="",IF(J893="NUEVAS",CONCATENATE("Estado: ",O893,", ",J893),
IF(L893=Meses!$A$3,"Por revisar",
IF(H893="","Sin registro","En programación Frcst."))),"En programación")))),
"Error")</f>
        <v>Por revisar</v>
      </c>
      <c r="Q893" s="9" t="str">
        <f t="shared" si="39"/>
        <v>programación de act. NO, estado: Facturando, Comercializador: DICELER, Etapa: Instalado y Activado</v>
      </c>
      <c r="R893" s="25" t="str">
        <f>IF(P893="En programación Frcst.",VLOOKUP(L893,Meses!$A$1:$H$14,3+HLOOKUP(Cronograma!J893,Meses!$D$1:$G$2,2,FALSE),FALSE),
IF(P893="En programación",M893,""))</f>
        <v/>
      </c>
      <c r="S893" s="25" t="str">
        <f t="shared" si="41"/>
        <v/>
      </c>
      <c r="T893" s="21" t="str">
        <f>IFERROR(
(VLOOKUP(MONTH(R893),Meses!$B$3:$C$14,2,FALSE)-DAY(R893))/VLOOKUP(MONTH(R893),Meses!$B$3:$C$14,2,FALSE)*U893,
"")</f>
        <v/>
      </c>
      <c r="U893" s="22">
        <f t="shared" si="40"/>
        <v>2700</v>
      </c>
    </row>
    <row r="894" spans="1:21" ht="31.8" hidden="1" thickBot="1" x14ac:dyDescent="0.6">
      <c r="A894" s="10" t="s">
        <v>1140</v>
      </c>
      <c r="B894" s="10" t="s">
        <v>1141</v>
      </c>
      <c r="C894" s="12">
        <v>45309</v>
      </c>
      <c r="D894" s="10" t="s">
        <v>14</v>
      </c>
      <c r="E894" s="10" t="s">
        <v>14</v>
      </c>
      <c r="F894" s="10">
        <v>32082</v>
      </c>
      <c r="G894" s="10" t="s">
        <v>15</v>
      </c>
      <c r="H894" s="10" t="s">
        <v>17</v>
      </c>
      <c r="I894" s="10" t="s">
        <v>18</v>
      </c>
      <c r="J894" s="10" t="s">
        <v>277</v>
      </c>
      <c r="K894" s="10" t="s">
        <v>278</v>
      </c>
      <c r="L894" s="10" t="s">
        <v>279</v>
      </c>
      <c r="M894" s="12"/>
      <c r="N894" s="10" t="s">
        <v>15</v>
      </c>
      <c r="O894" s="10" t="s">
        <v>2054</v>
      </c>
      <c r="P894" s="25" t="str">
        <f>IFERROR(
IF(OR(O894="anulado",O894="stand by"),CONCATENATE(O894,": ",H894),
IF(OR(YEAR(M894)=2022,YEAR(M894)=2023),CONCATENATE("Se activó en ",YEAR(M894)),
IF(AND(OR(O894="En proceso",O894="facturando"),AND(J894="-",M894="")),"Por revisar",
IF(M894="",IF(J894="NUEVAS",CONCATENATE("Estado: ",O894,", ",J894),
IF(L894=Meses!$A$3,"Por revisar",
IF(H894="","Sin registro","En programación Frcst."))),"En programación")))),
"Error")</f>
        <v>En programación Frcst.</v>
      </c>
      <c r="Q894" s="9" t="str">
        <f t="shared" si="39"/>
        <v/>
      </c>
      <c r="R894" s="25">
        <f>IF(P894="En programación Frcst.",VLOOKUP(L894,Meses!$A$1:$H$14,3+HLOOKUP(Cronograma!J894,Meses!$D$1:$G$2,2,FALSE),FALSE),
IF(P894="En programación",M894,""))</f>
        <v>45309</v>
      </c>
      <c r="S894" s="25" t="str">
        <f t="shared" si="41"/>
        <v>2024/1</v>
      </c>
      <c r="T894" s="21">
        <f>IFERROR(
(VLOOKUP(MONTH(R894),Meses!$B$3:$C$14,2,FALSE)-DAY(R894))/VLOOKUP(MONTH(R894),Meses!$B$3:$C$14,2,FALSE)*U894,
"")</f>
        <v>13453.741935483871</v>
      </c>
      <c r="U894" s="22">
        <f t="shared" si="40"/>
        <v>32082</v>
      </c>
    </row>
    <row r="895" spans="1:21" ht="31.8" hidden="1" thickBot="1" x14ac:dyDescent="0.6">
      <c r="A895" s="10" t="s">
        <v>1142</v>
      </c>
      <c r="B895" s="10" t="s">
        <v>1143</v>
      </c>
      <c r="C895" s="12"/>
      <c r="D895" s="10" t="s">
        <v>74</v>
      </c>
      <c r="E895" s="10" t="s">
        <v>74</v>
      </c>
      <c r="F895" s="10">
        <v>3827</v>
      </c>
      <c r="G895" s="10" t="s">
        <v>15</v>
      </c>
      <c r="H895" s="10" t="s">
        <v>2917</v>
      </c>
      <c r="I895" s="10" t="s">
        <v>43</v>
      </c>
      <c r="J895" s="10" t="s">
        <v>143</v>
      </c>
      <c r="K895" s="10" t="s">
        <v>2895</v>
      </c>
      <c r="L895" s="10" t="s">
        <v>2292</v>
      </c>
      <c r="M895" s="12">
        <v>45400</v>
      </c>
      <c r="N895" s="10" t="s">
        <v>15</v>
      </c>
      <c r="O895" s="10" t="s">
        <v>2057</v>
      </c>
      <c r="P895" s="25" t="str">
        <f>IFERROR(
IF(OR(O895="anulado",O895="stand by"),CONCATENATE(O895,": ",H895),
IF(OR(YEAR(M895)=2022,YEAR(M895)=2023),CONCATENATE("Se activó en ",YEAR(M895)),
IF(AND(OR(O895="En proceso",O895="facturando"),AND(J895="-",M895="")),"Por revisar",
IF(M895="",IF(J895="NUEVAS",CONCATENATE("Estado: ",O895,", ",J895),
IF(L895=Meses!$A$3,"Por revisar",
IF(H895="","Sin registro","En programación Frcst."))),"En programación")))),
"Error")</f>
        <v>En programación</v>
      </c>
      <c r="Q895" s="9" t="str">
        <f t="shared" si="39"/>
        <v/>
      </c>
      <c r="R895" s="25">
        <f>IF(P895="En programación Frcst.",VLOOKUP(L895,Meses!$A$1:$H$14,3+HLOOKUP(Cronograma!J895,Meses!$D$1:$G$2,2,FALSE),FALSE),
IF(P895="En programación",M895,""))</f>
        <v>45400</v>
      </c>
      <c r="S895" s="25" t="str">
        <f t="shared" si="41"/>
        <v>2024/4</v>
      </c>
      <c r="T895" s="21">
        <f>IFERROR(
(VLOOKUP(MONTH(R895),Meses!$B$3:$C$14,2,FALSE)-DAY(R895))/VLOOKUP(MONTH(R895),Meses!$B$3:$C$14,2,FALSE)*U895,
"")</f>
        <v>1530.8000000000002</v>
      </c>
      <c r="U895" s="22">
        <f t="shared" si="40"/>
        <v>3827</v>
      </c>
    </row>
    <row r="896" spans="1:21" ht="31.8" hidden="1" thickBot="1" x14ac:dyDescent="0.6">
      <c r="A896" s="10" t="s">
        <v>1144</v>
      </c>
      <c r="B896" s="10" t="s">
        <v>1145</v>
      </c>
      <c r="C896" s="12"/>
      <c r="D896" s="10" t="s">
        <v>74</v>
      </c>
      <c r="E896" s="10" t="s">
        <v>74</v>
      </c>
      <c r="F896" s="10">
        <v>8467</v>
      </c>
      <c r="G896" s="10" t="s">
        <v>15</v>
      </c>
      <c r="H896" s="10" t="s">
        <v>2917</v>
      </c>
      <c r="I896" s="10" t="s">
        <v>43</v>
      </c>
      <c r="J896" s="10" t="s">
        <v>143</v>
      </c>
      <c r="K896" s="10" t="s">
        <v>2895</v>
      </c>
      <c r="L896" s="10" t="s">
        <v>2292</v>
      </c>
      <c r="M896" s="12">
        <v>45400</v>
      </c>
      <c r="N896" s="10" t="s">
        <v>15</v>
      </c>
      <c r="O896" s="10" t="s">
        <v>2057</v>
      </c>
      <c r="P896" s="25" t="str">
        <f>IFERROR(
IF(OR(O896="anulado",O896="stand by"),CONCATENATE(O896,": ",H896),
IF(OR(YEAR(M896)=2022,YEAR(M896)=2023),CONCATENATE("Se activó en ",YEAR(M896)),
IF(AND(OR(O896="En proceso",O896="facturando"),AND(J896="-",M896="")),"Por revisar",
IF(M896="",IF(J896="NUEVAS",CONCATENATE("Estado: ",O896,", ",J896),
IF(L896=Meses!$A$3,"Por revisar",
IF(H896="","Sin registro","En programación Frcst."))),"En programación")))),
"Error")</f>
        <v>En programación</v>
      </c>
      <c r="Q896" s="9" t="str">
        <f t="shared" si="39"/>
        <v/>
      </c>
      <c r="R896" s="25">
        <f>IF(P896="En programación Frcst.",VLOOKUP(L896,Meses!$A$1:$H$14,3+HLOOKUP(Cronograma!J896,Meses!$D$1:$G$2,2,FALSE),FALSE),
IF(P896="En programación",M896,""))</f>
        <v>45400</v>
      </c>
      <c r="S896" s="25" t="str">
        <f t="shared" si="41"/>
        <v>2024/4</v>
      </c>
      <c r="T896" s="21">
        <f>IFERROR(
(VLOOKUP(MONTH(R896),Meses!$B$3:$C$14,2,FALSE)-DAY(R896))/VLOOKUP(MONTH(R896),Meses!$B$3:$C$14,2,FALSE)*U896,
"")</f>
        <v>3386.8</v>
      </c>
      <c r="U896" s="22">
        <f t="shared" si="40"/>
        <v>8467</v>
      </c>
    </row>
    <row r="897" spans="1:21" ht="31.8" hidden="1" thickBot="1" x14ac:dyDescent="0.6">
      <c r="A897" s="10" t="s">
        <v>1146</v>
      </c>
      <c r="B897" s="10" t="s">
        <v>1147</v>
      </c>
      <c r="C897" s="12"/>
      <c r="D897" s="10" t="s">
        <v>74</v>
      </c>
      <c r="E897" s="10" t="s">
        <v>74</v>
      </c>
      <c r="F897" s="10">
        <v>2680</v>
      </c>
      <c r="G897" s="10" t="s">
        <v>15</v>
      </c>
      <c r="H897" s="10" t="s">
        <v>2917</v>
      </c>
      <c r="I897" s="10" t="s">
        <v>43</v>
      </c>
      <c r="J897" s="10" t="s">
        <v>143</v>
      </c>
      <c r="K897" s="10" t="s">
        <v>2895</v>
      </c>
      <c r="L897" s="10" t="s">
        <v>2292</v>
      </c>
      <c r="M897" s="12">
        <v>45400</v>
      </c>
      <c r="N897" s="10" t="s">
        <v>15</v>
      </c>
      <c r="O897" s="10" t="s">
        <v>2057</v>
      </c>
      <c r="P897" s="25" t="str">
        <f>IFERROR(
IF(OR(O897="anulado",O897="stand by"),CONCATENATE(O897,": ",H897),
IF(OR(YEAR(M897)=2022,YEAR(M897)=2023),CONCATENATE("Se activó en ",YEAR(M897)),
IF(AND(OR(O897="En proceso",O897="facturando"),AND(J897="-",M897="")),"Por revisar",
IF(M897="",IF(J897="NUEVAS",CONCATENATE("Estado: ",O897,", ",J897),
IF(L897=Meses!$A$3,"Por revisar",
IF(H897="","Sin registro","En programación Frcst."))),"En programación")))),
"Error")</f>
        <v>En programación</v>
      </c>
      <c r="Q897" s="9" t="str">
        <f t="shared" si="39"/>
        <v/>
      </c>
      <c r="R897" s="25">
        <f>IF(P897="En programación Frcst.",VLOOKUP(L897,Meses!$A$1:$H$14,3+HLOOKUP(Cronograma!J897,Meses!$D$1:$G$2,2,FALSE),FALSE),
IF(P897="En programación",M897,""))</f>
        <v>45400</v>
      </c>
      <c r="S897" s="25" t="str">
        <f t="shared" si="41"/>
        <v>2024/4</v>
      </c>
      <c r="T897" s="21">
        <f>IFERROR(
(VLOOKUP(MONTH(R897),Meses!$B$3:$C$14,2,FALSE)-DAY(R897))/VLOOKUP(MONTH(R897),Meses!$B$3:$C$14,2,FALSE)*U897,
"")</f>
        <v>1072</v>
      </c>
      <c r="U897" s="22">
        <f t="shared" si="40"/>
        <v>2680</v>
      </c>
    </row>
    <row r="898" spans="1:21" ht="31.8" hidden="1" thickBot="1" x14ac:dyDescent="0.6">
      <c r="A898" s="10" t="s">
        <v>1148</v>
      </c>
      <c r="B898" s="10" t="s">
        <v>1149</v>
      </c>
      <c r="C898" s="12"/>
      <c r="D898" s="10" t="s">
        <v>74</v>
      </c>
      <c r="E898" s="10" t="s">
        <v>74</v>
      </c>
      <c r="F898" s="10">
        <v>2130</v>
      </c>
      <c r="G898" s="10" t="s">
        <v>15</v>
      </c>
      <c r="H898" s="10" t="s">
        <v>140</v>
      </c>
      <c r="I898" s="10" t="s">
        <v>43</v>
      </c>
      <c r="J898" s="10" t="s">
        <v>19</v>
      </c>
      <c r="K898" s="10" t="s">
        <v>19</v>
      </c>
      <c r="L898" s="10" t="s">
        <v>19</v>
      </c>
      <c r="M898" s="12"/>
      <c r="N898" s="10" t="s">
        <v>20</v>
      </c>
      <c r="O898" s="10" t="s">
        <v>2056</v>
      </c>
      <c r="P898" s="25" t="str">
        <f>IFERROR(
IF(OR(O898="anulado",O898="stand by"),CONCATENATE(O898,": ",H898),
IF(OR(YEAR(M898)=2022,YEAR(M898)=2023),CONCATENATE("Se activó en ",YEAR(M898)),
IF(AND(OR(O898="En proceso",O898="facturando"),AND(J898="-",M898="")),"Por revisar",
IF(M898="",IF(J898="NUEVAS",CONCATENATE("Estado: ",O898,", ",J898),
IF(L898=Meses!$A$3,"Por revisar",
IF(H898="","Sin registro","En programación Frcst."))),"En programación")))),
"Error")</f>
        <v>anulado: Desistido</v>
      </c>
      <c r="Q898" s="9" t="str">
        <f t="shared" ref="Q898:Q961" si="42">IF(P898="Por revisar",CONCATENATE("programación de act. ",N898,", estado: ",O898,", Comercializador: ",D898,", Etapa: ",H898),"")</f>
        <v/>
      </c>
      <c r="R898" s="25" t="str">
        <f>IF(P898="En programación Frcst.",VLOOKUP(L898,Meses!$A$1:$H$14,3+HLOOKUP(Cronograma!J898,Meses!$D$1:$G$2,2,FALSE),FALSE),
IF(P898="En programación",M898,""))</f>
        <v/>
      </c>
      <c r="S898" s="25" t="str">
        <f t="shared" si="41"/>
        <v/>
      </c>
      <c r="T898" s="21" t="str">
        <f>IFERROR(
(VLOOKUP(MONTH(R898),Meses!$B$3:$C$14,2,FALSE)-DAY(R898))/VLOOKUP(MONTH(R898),Meses!$B$3:$C$14,2,FALSE)*U898,
"")</f>
        <v/>
      </c>
      <c r="U898" s="22">
        <f t="shared" ref="U898:U961" si="43">F898</f>
        <v>2130</v>
      </c>
    </row>
    <row r="899" spans="1:21" ht="31.8" hidden="1" thickBot="1" x14ac:dyDescent="0.6">
      <c r="A899" s="10" t="s">
        <v>1150</v>
      </c>
      <c r="B899" s="10" t="s">
        <v>1151</v>
      </c>
      <c r="C899" s="12"/>
      <c r="D899" s="10" t="s">
        <v>44</v>
      </c>
      <c r="E899" s="10" t="s">
        <v>44</v>
      </c>
      <c r="F899" s="10">
        <v>7360</v>
      </c>
      <c r="G899" s="10" t="s">
        <v>15</v>
      </c>
      <c r="H899" s="10" t="s">
        <v>2921</v>
      </c>
      <c r="I899" s="10" t="s">
        <v>43</v>
      </c>
      <c r="J899" s="10" t="s">
        <v>292</v>
      </c>
      <c r="K899" s="10" t="s">
        <v>1697</v>
      </c>
      <c r="L899" s="10" t="s">
        <v>1120</v>
      </c>
      <c r="M899" s="12">
        <v>45379</v>
      </c>
      <c r="N899" s="10" t="s">
        <v>15</v>
      </c>
      <c r="O899" s="10" t="s">
        <v>2057</v>
      </c>
      <c r="P899" s="25" t="str">
        <f>IFERROR(
IF(OR(O899="anulado",O899="stand by"),CONCATENATE(O899,": ",H899),
IF(OR(YEAR(M899)=2022,YEAR(M899)=2023),CONCATENATE("Se activó en ",YEAR(M899)),
IF(AND(OR(O899="En proceso",O899="facturando"),AND(J899="-",M899="")),"Por revisar",
IF(M899="",IF(J899="NUEVAS",CONCATENATE("Estado: ",O899,", ",J899),
IF(L899=Meses!$A$3,"Por revisar",
IF(H899="","Sin registro","En programación Frcst."))),"En programación")))),
"Error")</f>
        <v>En programación</v>
      </c>
      <c r="Q899" s="9" t="str">
        <f t="shared" si="42"/>
        <v/>
      </c>
      <c r="R899" s="25">
        <f>IF(P899="En programación Frcst.",VLOOKUP(L899,Meses!$A$1:$H$14,3+HLOOKUP(Cronograma!J899,Meses!$D$1:$G$2,2,FALSE),FALSE),
IF(P899="En programación",M899,""))</f>
        <v>45379</v>
      </c>
      <c r="S899" s="25" t="str">
        <f t="shared" ref="S899:S962" si="44">IFERROR(CONCATENATE(YEAR(R899),"/",MONTH(R899)),"")</f>
        <v>2024/3</v>
      </c>
      <c r="T899" s="21">
        <f>IFERROR(
(VLOOKUP(MONTH(R899),Meses!$B$3:$C$14,2,FALSE)-DAY(R899))/VLOOKUP(MONTH(R899),Meses!$B$3:$C$14,2,FALSE)*U899,
"")</f>
        <v>712.25806451612902</v>
      </c>
      <c r="U899" s="22">
        <f t="shared" si="43"/>
        <v>7360</v>
      </c>
    </row>
    <row r="900" spans="1:21" ht="63" hidden="1" thickBot="1" x14ac:dyDescent="0.6">
      <c r="A900" s="10" t="s">
        <v>1152</v>
      </c>
      <c r="B900" s="10" t="s">
        <v>1153</v>
      </c>
      <c r="C900" s="12">
        <v>45295</v>
      </c>
      <c r="D900" s="10" t="s">
        <v>654</v>
      </c>
      <c r="E900" s="10" t="s">
        <v>14</v>
      </c>
      <c r="F900" s="10">
        <v>3848</v>
      </c>
      <c r="G900" s="10" t="s">
        <v>15</v>
      </c>
      <c r="H900" s="10" t="s">
        <v>17</v>
      </c>
      <c r="I900" s="10" t="s">
        <v>66</v>
      </c>
      <c r="J900" s="10" t="s">
        <v>292</v>
      </c>
      <c r="K900" s="10" t="s">
        <v>945</v>
      </c>
      <c r="L900" s="10" t="s">
        <v>145</v>
      </c>
      <c r="M900" s="12"/>
      <c r="N900" s="10" t="s">
        <v>15</v>
      </c>
      <c r="O900" s="10" t="s">
        <v>2054</v>
      </c>
      <c r="P900" s="25" t="str">
        <f>IFERROR(
IF(OR(O900="anulado",O900="stand by"),CONCATENATE(O900,": ",H900),
IF(OR(YEAR(M900)=2022,YEAR(M900)=2023),CONCATENATE("Se activó en ",YEAR(M900)),
IF(AND(OR(O900="En proceso",O900="facturando"),AND(J900="-",M900="")),"Por revisar",
IF(M900="",IF(J900="NUEVAS",CONCATENATE("Estado: ",O900,", ",J900),
IF(L900=Meses!$A$3,"Por revisar",
IF(H900="","Sin registro","En programación Frcst."))),"En programación")))),
"Error")</f>
        <v>Por revisar</v>
      </c>
      <c r="Q900" s="9" t="str">
        <f t="shared" si="42"/>
        <v>programación de act. SI, estado: Facturando, Comercializador: QI ENERGY, Etapa: Instalado y Activado</v>
      </c>
      <c r="R900" s="25" t="str">
        <f>IF(P900="En programación Frcst.",VLOOKUP(L900,Meses!$A$1:$H$14,3+HLOOKUP(Cronograma!J900,Meses!$D$1:$G$2,2,FALSE),FALSE),
IF(P900="En programación",M900,""))</f>
        <v/>
      </c>
      <c r="S900" s="25" t="str">
        <f t="shared" si="44"/>
        <v/>
      </c>
      <c r="T900" s="21" t="str">
        <f>IFERROR(
(VLOOKUP(MONTH(R900),Meses!$B$3:$C$14,2,FALSE)-DAY(R900))/VLOOKUP(MONTH(R900),Meses!$B$3:$C$14,2,FALSE)*U900,
"")</f>
        <v/>
      </c>
      <c r="U900" s="22">
        <f t="shared" si="43"/>
        <v>3848</v>
      </c>
    </row>
    <row r="901" spans="1:21" ht="63" hidden="1" thickBot="1" x14ac:dyDescent="0.6">
      <c r="A901" s="10" t="s">
        <v>1152</v>
      </c>
      <c r="B901" s="10" t="s">
        <v>1154</v>
      </c>
      <c r="C901" s="12">
        <v>45295</v>
      </c>
      <c r="D901" s="10" t="s">
        <v>654</v>
      </c>
      <c r="E901" s="10" t="s">
        <v>14</v>
      </c>
      <c r="F901" s="10">
        <v>25160</v>
      </c>
      <c r="G901" s="10" t="s">
        <v>15</v>
      </c>
      <c r="H901" s="10" t="s">
        <v>17</v>
      </c>
      <c r="I901" s="10" t="s">
        <v>66</v>
      </c>
      <c r="J901" s="10" t="s">
        <v>292</v>
      </c>
      <c r="K901" s="10" t="s">
        <v>945</v>
      </c>
      <c r="L901" s="10" t="s">
        <v>145</v>
      </c>
      <c r="M901" s="12"/>
      <c r="N901" s="10" t="s">
        <v>15</v>
      </c>
      <c r="O901" s="10" t="s">
        <v>2054</v>
      </c>
      <c r="P901" s="25" t="str">
        <f>IFERROR(
IF(OR(O901="anulado",O901="stand by"),CONCATENATE(O901,": ",H901),
IF(OR(YEAR(M901)=2022,YEAR(M901)=2023),CONCATENATE("Se activó en ",YEAR(M901)),
IF(AND(OR(O901="En proceso",O901="facturando"),AND(J901="-",M901="")),"Por revisar",
IF(M901="",IF(J901="NUEVAS",CONCATENATE("Estado: ",O901,", ",J901),
IF(L901=Meses!$A$3,"Por revisar",
IF(H901="","Sin registro","En programación Frcst."))),"En programación")))),
"Error")</f>
        <v>Por revisar</v>
      </c>
      <c r="Q901" s="9" t="str">
        <f t="shared" si="42"/>
        <v>programación de act. SI, estado: Facturando, Comercializador: QI ENERGY, Etapa: Instalado y Activado</v>
      </c>
      <c r="R901" s="25" t="str">
        <f>IF(P901="En programación Frcst.",VLOOKUP(L901,Meses!$A$1:$H$14,3+HLOOKUP(Cronograma!J901,Meses!$D$1:$G$2,2,FALSE),FALSE),
IF(P901="En programación",M901,""))</f>
        <v/>
      </c>
      <c r="S901" s="25" t="str">
        <f t="shared" si="44"/>
        <v/>
      </c>
      <c r="T901" s="21" t="str">
        <f>IFERROR(
(VLOOKUP(MONTH(R901),Meses!$B$3:$C$14,2,FALSE)-DAY(R901))/VLOOKUP(MONTH(R901),Meses!$B$3:$C$14,2,FALSE)*U901,
"")</f>
        <v/>
      </c>
      <c r="U901" s="22">
        <f t="shared" si="43"/>
        <v>25160</v>
      </c>
    </row>
    <row r="902" spans="1:21" ht="63" hidden="1" thickBot="1" x14ac:dyDescent="0.6">
      <c r="A902" s="10" t="s">
        <v>1152</v>
      </c>
      <c r="B902" s="10" t="s">
        <v>1155</v>
      </c>
      <c r="C902" s="12">
        <v>45295</v>
      </c>
      <c r="D902" s="10" t="s">
        <v>654</v>
      </c>
      <c r="E902" s="10" t="s">
        <v>14</v>
      </c>
      <c r="F902" s="10">
        <v>5359</v>
      </c>
      <c r="G902" s="10" t="s">
        <v>15</v>
      </c>
      <c r="H902" s="10" t="s">
        <v>17</v>
      </c>
      <c r="I902" s="10" t="s">
        <v>66</v>
      </c>
      <c r="J902" s="10" t="s">
        <v>292</v>
      </c>
      <c r="K902" s="10" t="s">
        <v>945</v>
      </c>
      <c r="L902" s="10" t="s">
        <v>145</v>
      </c>
      <c r="M902" s="12"/>
      <c r="N902" s="10" t="s">
        <v>15</v>
      </c>
      <c r="O902" s="10" t="s">
        <v>2054</v>
      </c>
      <c r="P902" s="25" t="str">
        <f>IFERROR(
IF(OR(O902="anulado",O902="stand by"),CONCATENATE(O902,": ",H902),
IF(OR(YEAR(M902)=2022,YEAR(M902)=2023),CONCATENATE("Se activó en ",YEAR(M902)),
IF(AND(OR(O902="En proceso",O902="facturando"),AND(J902="-",M902="")),"Por revisar",
IF(M902="",IF(J902="NUEVAS",CONCATENATE("Estado: ",O902,", ",J902),
IF(L902=Meses!$A$3,"Por revisar",
IF(H902="","Sin registro","En programación Frcst."))),"En programación")))),
"Error")</f>
        <v>Por revisar</v>
      </c>
      <c r="Q902" s="9" t="str">
        <f t="shared" si="42"/>
        <v>programación de act. SI, estado: Facturando, Comercializador: QI ENERGY, Etapa: Instalado y Activado</v>
      </c>
      <c r="R902" s="25" t="str">
        <f>IF(P902="En programación Frcst.",VLOOKUP(L902,Meses!$A$1:$H$14,3+HLOOKUP(Cronograma!J902,Meses!$D$1:$G$2,2,FALSE),FALSE),
IF(P902="En programación",M902,""))</f>
        <v/>
      </c>
      <c r="S902" s="25" t="str">
        <f t="shared" si="44"/>
        <v/>
      </c>
      <c r="T902" s="21" t="str">
        <f>IFERROR(
(VLOOKUP(MONTH(R902),Meses!$B$3:$C$14,2,FALSE)-DAY(R902))/VLOOKUP(MONTH(R902),Meses!$B$3:$C$14,2,FALSE)*U902,
"")</f>
        <v/>
      </c>
      <c r="U902" s="22">
        <f t="shared" si="43"/>
        <v>5359</v>
      </c>
    </row>
    <row r="903" spans="1:21" ht="63" hidden="1" thickBot="1" x14ac:dyDescent="0.6">
      <c r="A903" s="10" t="s">
        <v>1152</v>
      </c>
      <c r="B903" s="10" t="s">
        <v>1156</v>
      </c>
      <c r="C903" s="12">
        <v>45288</v>
      </c>
      <c r="D903" s="10" t="s">
        <v>65</v>
      </c>
      <c r="E903" s="10" t="s">
        <v>14</v>
      </c>
      <c r="F903" s="10">
        <v>8367</v>
      </c>
      <c r="G903" s="10" t="s">
        <v>15</v>
      </c>
      <c r="H903" s="10" t="s">
        <v>17</v>
      </c>
      <c r="I903" s="10" t="s">
        <v>66</v>
      </c>
      <c r="J903" s="10" t="s">
        <v>292</v>
      </c>
      <c r="K903" s="10" t="s">
        <v>945</v>
      </c>
      <c r="L903" s="10" t="s">
        <v>145</v>
      </c>
      <c r="M903" s="12"/>
      <c r="N903" s="10" t="s">
        <v>15</v>
      </c>
      <c r="O903" s="10" t="s">
        <v>2054</v>
      </c>
      <c r="P903" s="25" t="str">
        <f>IFERROR(
IF(OR(O903="anulado",O903="stand by"),CONCATENATE(O903,": ",H903),
IF(OR(YEAR(M903)=2022,YEAR(M903)=2023),CONCATENATE("Se activó en ",YEAR(M903)),
IF(AND(OR(O903="En proceso",O903="facturando"),AND(J903="-",M903="")),"Por revisar",
IF(M903="",IF(J903="NUEVAS",CONCATENATE("Estado: ",O903,", ",J903),
IF(L903=Meses!$A$3,"Por revisar",
IF(H903="","Sin registro","En programación Frcst."))),"En programación")))),
"Error")</f>
        <v>Por revisar</v>
      </c>
      <c r="Q903" s="9" t="str">
        <f t="shared" si="42"/>
        <v>programación de act. SI, estado: Facturando, Comercializador: NEU, Etapa: Instalado y Activado</v>
      </c>
      <c r="R903" s="25" t="str">
        <f>IF(P903="En programación Frcst.",VLOOKUP(L903,Meses!$A$1:$H$14,3+HLOOKUP(Cronograma!J903,Meses!$D$1:$G$2,2,FALSE),FALSE),
IF(P903="En programación",M903,""))</f>
        <v/>
      </c>
      <c r="S903" s="25" t="str">
        <f t="shared" si="44"/>
        <v/>
      </c>
      <c r="T903" s="21" t="str">
        <f>IFERROR(
(VLOOKUP(MONTH(R903),Meses!$B$3:$C$14,2,FALSE)-DAY(R903))/VLOOKUP(MONTH(R903),Meses!$B$3:$C$14,2,FALSE)*U903,
"")</f>
        <v/>
      </c>
      <c r="U903" s="22">
        <f t="shared" si="43"/>
        <v>8367</v>
      </c>
    </row>
    <row r="904" spans="1:21" ht="31.8" hidden="1" thickBot="1" x14ac:dyDescent="0.6">
      <c r="A904" s="10" t="s">
        <v>1157</v>
      </c>
      <c r="B904" s="10" t="s">
        <v>1158</v>
      </c>
      <c r="C904" s="12"/>
      <c r="D904" s="10" t="s">
        <v>74</v>
      </c>
      <c r="E904" s="10" t="s">
        <v>74</v>
      </c>
      <c r="F904" s="10">
        <v>3416</v>
      </c>
      <c r="G904" s="10" t="s">
        <v>15</v>
      </c>
      <c r="H904" s="10" t="s">
        <v>2917</v>
      </c>
      <c r="I904" s="10" t="s">
        <v>43</v>
      </c>
      <c r="J904" s="10" t="s">
        <v>143</v>
      </c>
      <c r="K904" s="10" t="s">
        <v>2895</v>
      </c>
      <c r="L904" s="10" t="s">
        <v>2292</v>
      </c>
      <c r="M904" s="12">
        <v>45400</v>
      </c>
      <c r="N904" s="10" t="s">
        <v>15</v>
      </c>
      <c r="O904" s="10" t="s">
        <v>2057</v>
      </c>
      <c r="P904" s="25" t="str">
        <f>IFERROR(
IF(OR(O904="anulado",O904="stand by"),CONCATENATE(O904,": ",H904),
IF(OR(YEAR(M904)=2022,YEAR(M904)=2023),CONCATENATE("Se activó en ",YEAR(M904)),
IF(AND(OR(O904="En proceso",O904="facturando"),AND(J904="-",M904="")),"Por revisar",
IF(M904="",IF(J904="NUEVAS",CONCATENATE("Estado: ",O904,", ",J904),
IF(L904=Meses!$A$3,"Por revisar",
IF(H904="","Sin registro","En programación Frcst."))),"En programación")))),
"Error")</f>
        <v>En programación</v>
      </c>
      <c r="Q904" s="9" t="str">
        <f t="shared" si="42"/>
        <v/>
      </c>
      <c r="R904" s="25">
        <f>IF(P904="En programación Frcst.",VLOOKUP(L904,Meses!$A$1:$H$14,3+HLOOKUP(Cronograma!J904,Meses!$D$1:$G$2,2,FALSE),FALSE),
IF(P904="En programación",M904,""))</f>
        <v>45400</v>
      </c>
      <c r="S904" s="25" t="str">
        <f t="shared" si="44"/>
        <v>2024/4</v>
      </c>
      <c r="T904" s="21">
        <f>IFERROR(
(VLOOKUP(MONTH(R904),Meses!$B$3:$C$14,2,FALSE)-DAY(R904))/VLOOKUP(MONTH(R904),Meses!$B$3:$C$14,2,FALSE)*U904,
"")</f>
        <v>1366.4</v>
      </c>
      <c r="U904" s="22">
        <f t="shared" si="43"/>
        <v>3416</v>
      </c>
    </row>
    <row r="905" spans="1:21" ht="31.8" hidden="1" thickBot="1" x14ac:dyDescent="0.6">
      <c r="A905" s="10" t="s">
        <v>1159</v>
      </c>
      <c r="B905" s="10" t="s">
        <v>1160</v>
      </c>
      <c r="C905" s="12"/>
      <c r="D905" s="10" t="s">
        <v>74</v>
      </c>
      <c r="E905" s="10" t="s">
        <v>74</v>
      </c>
      <c r="F905" s="10">
        <v>11788</v>
      </c>
      <c r="G905" s="10" t="s">
        <v>15</v>
      </c>
      <c r="H905" s="10" t="s">
        <v>2916</v>
      </c>
      <c r="I905" s="10" t="s">
        <v>43</v>
      </c>
      <c r="J905" s="10" t="s">
        <v>292</v>
      </c>
      <c r="K905" s="10" t="s">
        <v>3325</v>
      </c>
      <c r="L905" s="10" t="s">
        <v>2292</v>
      </c>
      <c r="M905" s="12">
        <v>45407</v>
      </c>
      <c r="N905" s="10" t="s">
        <v>15</v>
      </c>
      <c r="O905" s="10" t="s">
        <v>2057</v>
      </c>
      <c r="P905" s="25" t="str">
        <f>IFERROR(
IF(OR(O905="anulado",O905="stand by"),CONCATENATE(O905,": ",H905),
IF(OR(YEAR(M905)=2022,YEAR(M905)=2023),CONCATENATE("Se activó en ",YEAR(M905)),
IF(AND(OR(O905="En proceso",O905="facturando"),AND(J905="-",M905="")),"Por revisar",
IF(M905="",IF(J905="NUEVAS",CONCATENATE("Estado: ",O905,", ",J905),
IF(L905=Meses!$A$3,"Por revisar",
IF(H905="","Sin registro","En programación Frcst."))),"En programación")))),
"Error")</f>
        <v>En programación</v>
      </c>
      <c r="Q905" s="9" t="str">
        <f t="shared" si="42"/>
        <v/>
      </c>
      <c r="R905" s="25">
        <f>IF(P905="En programación Frcst.",VLOOKUP(L905,Meses!$A$1:$H$14,3+HLOOKUP(Cronograma!J905,Meses!$D$1:$G$2,2,FALSE),FALSE),
IF(P905="En programación",M905,""))</f>
        <v>45407</v>
      </c>
      <c r="S905" s="25" t="str">
        <f t="shared" si="44"/>
        <v>2024/4</v>
      </c>
      <c r="T905" s="21">
        <f>IFERROR(
(VLOOKUP(MONTH(R905),Meses!$B$3:$C$14,2,FALSE)-DAY(R905))/VLOOKUP(MONTH(R905),Meses!$B$3:$C$14,2,FALSE)*U905,
"")</f>
        <v>1964.6666666666665</v>
      </c>
      <c r="U905" s="22">
        <f t="shared" si="43"/>
        <v>11788</v>
      </c>
    </row>
    <row r="906" spans="1:21" ht="31.8" hidden="1" thickBot="1" x14ac:dyDescent="0.6">
      <c r="A906" s="10" t="s">
        <v>1159</v>
      </c>
      <c r="B906" s="10" t="s">
        <v>1161</v>
      </c>
      <c r="C906" s="12"/>
      <c r="D906" s="10" t="s">
        <v>74</v>
      </c>
      <c r="E906" s="10" t="s">
        <v>74</v>
      </c>
      <c r="F906" s="10">
        <v>40</v>
      </c>
      <c r="G906" s="10" t="s">
        <v>15</v>
      </c>
      <c r="H906" s="10" t="s">
        <v>2916</v>
      </c>
      <c r="I906" s="10" t="s">
        <v>43</v>
      </c>
      <c r="J906" s="10" t="s">
        <v>292</v>
      </c>
      <c r="K906" s="10" t="s">
        <v>3325</v>
      </c>
      <c r="L906" s="10" t="s">
        <v>2292</v>
      </c>
      <c r="M906" s="12">
        <v>45407</v>
      </c>
      <c r="N906" s="10" t="s">
        <v>15</v>
      </c>
      <c r="O906" s="10" t="s">
        <v>2057</v>
      </c>
      <c r="P906" s="25" t="str">
        <f>IFERROR(
IF(OR(O906="anulado",O906="stand by"),CONCATENATE(O906,": ",H906),
IF(OR(YEAR(M906)=2022,YEAR(M906)=2023),CONCATENATE("Se activó en ",YEAR(M906)),
IF(AND(OR(O906="En proceso",O906="facturando"),AND(J906="-",M906="")),"Por revisar",
IF(M906="",IF(J906="NUEVAS",CONCATENATE("Estado: ",O906,", ",J906),
IF(L906=Meses!$A$3,"Por revisar",
IF(H906="","Sin registro","En programación Frcst."))),"En programación")))),
"Error")</f>
        <v>En programación</v>
      </c>
      <c r="Q906" s="9" t="str">
        <f t="shared" si="42"/>
        <v/>
      </c>
      <c r="R906" s="25">
        <f>IF(P906="En programación Frcst.",VLOOKUP(L906,Meses!$A$1:$H$14,3+HLOOKUP(Cronograma!J906,Meses!$D$1:$G$2,2,FALSE),FALSE),
IF(P906="En programación",M906,""))</f>
        <v>45407</v>
      </c>
      <c r="S906" s="25" t="str">
        <f t="shared" si="44"/>
        <v>2024/4</v>
      </c>
      <c r="T906" s="21">
        <f>IFERROR(
(VLOOKUP(MONTH(R906),Meses!$B$3:$C$14,2,FALSE)-DAY(R906))/VLOOKUP(MONTH(R906),Meses!$B$3:$C$14,2,FALSE)*U906,
"")</f>
        <v>6.6666666666666661</v>
      </c>
      <c r="U906" s="22">
        <f t="shared" si="43"/>
        <v>40</v>
      </c>
    </row>
    <row r="907" spans="1:21" ht="31.8" hidden="1" thickBot="1" x14ac:dyDescent="0.6">
      <c r="A907" s="10" t="s">
        <v>318</v>
      </c>
      <c r="B907" s="10" t="s">
        <v>1162</v>
      </c>
      <c r="C907" s="12"/>
      <c r="D907" s="10" t="s">
        <v>41</v>
      </c>
      <c r="E907" s="10" t="s">
        <v>41</v>
      </c>
      <c r="F907" s="10">
        <v>3108</v>
      </c>
      <c r="G907" s="10" t="s">
        <v>15</v>
      </c>
      <c r="H907" s="10" t="s">
        <v>140</v>
      </c>
      <c r="I907" s="10" t="s">
        <v>43</v>
      </c>
      <c r="J907" s="10" t="s">
        <v>19</v>
      </c>
      <c r="K907" s="10" t="s">
        <v>19</v>
      </c>
      <c r="L907" s="10" t="s">
        <v>19</v>
      </c>
      <c r="M907" s="12"/>
      <c r="N907" s="10" t="s">
        <v>20</v>
      </c>
      <c r="O907" s="10" t="s">
        <v>2056</v>
      </c>
      <c r="P907" s="25" t="str">
        <f>IFERROR(
IF(OR(O907="anulado",O907="stand by"),CONCATENATE(O907,": ",H907),
IF(OR(YEAR(M907)=2022,YEAR(M907)=2023),CONCATENATE("Se activó en ",YEAR(M907)),
IF(AND(OR(O907="En proceso",O907="facturando"),AND(J907="-",M907="")),"Por revisar",
IF(M907="",IF(J907="NUEVAS",CONCATENATE("Estado: ",O907,", ",J907),
IF(L907=Meses!$A$3,"Por revisar",
IF(H907="","Sin registro","En programación Frcst."))),"En programación")))),
"Error")</f>
        <v>anulado: Desistido</v>
      </c>
      <c r="Q907" s="9" t="str">
        <f t="shared" si="42"/>
        <v/>
      </c>
      <c r="R907" s="25" t="str">
        <f>IF(P907="En programación Frcst.",VLOOKUP(L907,Meses!$A$1:$H$14,3+HLOOKUP(Cronograma!J907,Meses!$D$1:$G$2,2,FALSE),FALSE),
IF(P907="En programación",M907,""))</f>
        <v/>
      </c>
      <c r="S907" s="25" t="str">
        <f t="shared" si="44"/>
        <v/>
      </c>
      <c r="T907" s="21" t="str">
        <f>IFERROR(
(VLOOKUP(MONTH(R907),Meses!$B$3:$C$14,2,FALSE)-DAY(R907))/VLOOKUP(MONTH(R907),Meses!$B$3:$C$14,2,FALSE)*U907,
"")</f>
        <v/>
      </c>
      <c r="U907" s="22">
        <f t="shared" si="43"/>
        <v>3108</v>
      </c>
    </row>
    <row r="908" spans="1:21" ht="47.4" hidden="1" thickBot="1" x14ac:dyDescent="0.6">
      <c r="A908" s="10" t="s">
        <v>1163</v>
      </c>
      <c r="B908" s="10" t="s">
        <v>1164</v>
      </c>
      <c r="C908" s="12">
        <v>45134</v>
      </c>
      <c r="D908" s="10" t="s">
        <v>291</v>
      </c>
      <c r="E908" s="10" t="s">
        <v>291</v>
      </c>
      <c r="F908" s="10">
        <v>0</v>
      </c>
      <c r="G908" s="10" t="s">
        <v>61</v>
      </c>
      <c r="H908" s="10" t="s">
        <v>17</v>
      </c>
      <c r="I908" s="10" t="s">
        <v>43</v>
      </c>
      <c r="J908" s="10" t="s">
        <v>19</v>
      </c>
      <c r="K908" s="10" t="s">
        <v>19</v>
      </c>
      <c r="L908" s="10" t="s">
        <v>19</v>
      </c>
      <c r="M908" s="12"/>
      <c r="N908" s="10" t="s">
        <v>20</v>
      </c>
      <c r="O908" s="10" t="s">
        <v>2054</v>
      </c>
      <c r="P908" s="25" t="str">
        <f>IFERROR(
IF(OR(O908="anulado",O908="stand by"),CONCATENATE(O908,": ",H908),
IF(OR(YEAR(M908)=2022,YEAR(M908)=2023),CONCATENATE("Se activó en ",YEAR(M908)),
IF(AND(OR(O908="En proceso",O908="facturando"),AND(J908="-",M908="")),"Por revisar",
IF(M908="",IF(J908="NUEVAS",CONCATENATE("Estado: ",O908,", ",J908),
IF(L908=Meses!$A$3,"Por revisar",
IF(H908="","Sin registro","En programación Frcst."))),"En programación")))),
"Error")</f>
        <v>Por revisar</v>
      </c>
      <c r="Q908" s="9" t="str">
        <f t="shared" si="42"/>
        <v>programación de act. NO, estado: Facturando, Comercializador: ELECTROHUILA, Etapa: Instalado y Activado</v>
      </c>
      <c r="R908" s="25" t="str">
        <f>IF(P908="En programación Frcst.",VLOOKUP(L908,Meses!$A$1:$H$14,3+HLOOKUP(Cronograma!J908,Meses!$D$1:$G$2,2,FALSE),FALSE),
IF(P908="En programación",M908,""))</f>
        <v/>
      </c>
      <c r="S908" s="25" t="str">
        <f t="shared" si="44"/>
        <v/>
      </c>
      <c r="T908" s="21" t="str">
        <f>IFERROR(
(VLOOKUP(MONTH(R908),Meses!$B$3:$C$14,2,FALSE)-DAY(R908))/VLOOKUP(MONTH(R908),Meses!$B$3:$C$14,2,FALSE)*U908,
"")</f>
        <v/>
      </c>
      <c r="U908" s="22">
        <f t="shared" si="43"/>
        <v>0</v>
      </c>
    </row>
    <row r="909" spans="1:21" ht="63" hidden="1" thickBot="1" x14ac:dyDescent="0.6">
      <c r="A909" s="10" t="s">
        <v>1165</v>
      </c>
      <c r="B909" s="10" t="s">
        <v>1166</v>
      </c>
      <c r="C909" s="12"/>
      <c r="D909" s="10" t="s">
        <v>74</v>
      </c>
      <c r="E909" s="10" t="s">
        <v>74</v>
      </c>
      <c r="F909" s="10">
        <v>12480</v>
      </c>
      <c r="G909" s="10" t="s">
        <v>15</v>
      </c>
      <c r="H909" s="10" t="s">
        <v>1050</v>
      </c>
      <c r="I909" s="10" t="s">
        <v>43</v>
      </c>
      <c r="J909" s="10" t="s">
        <v>143</v>
      </c>
      <c r="K909" s="10" t="s">
        <v>2895</v>
      </c>
      <c r="L909" s="10" t="s">
        <v>2292</v>
      </c>
      <c r="M909" s="12">
        <v>45400</v>
      </c>
      <c r="N909" s="10" t="s">
        <v>15</v>
      </c>
      <c r="O909" s="10" t="s">
        <v>2057</v>
      </c>
      <c r="P909" s="25" t="str">
        <f>IFERROR(
IF(OR(O909="anulado",O909="stand by"),CONCATENATE(O909,": ",H909),
IF(OR(YEAR(M909)=2022,YEAR(M909)=2023),CONCATENATE("Se activó en ",YEAR(M909)),
IF(AND(OR(O909="En proceso",O909="facturando"),AND(J909="-",M909="")),"Por revisar",
IF(M909="",IF(J909="NUEVAS",CONCATENATE("Estado: ",O909,", ",J909),
IF(L909=Meses!$A$3,"Por revisar",
IF(H909="","Sin registro","En programación Frcst."))),"En programación")))),
"Error")</f>
        <v>En programación</v>
      </c>
      <c r="Q909" s="9" t="str">
        <f t="shared" si="42"/>
        <v/>
      </c>
      <c r="R909" s="25">
        <f>IF(P909="En programación Frcst.",VLOOKUP(L909,Meses!$A$1:$H$14,3+HLOOKUP(Cronograma!J909,Meses!$D$1:$G$2,2,FALSE),FALSE),
IF(P909="En programación",M909,""))</f>
        <v>45400</v>
      </c>
      <c r="S909" s="25" t="str">
        <f t="shared" si="44"/>
        <v>2024/4</v>
      </c>
      <c r="T909" s="21">
        <f>IFERROR(
(VLOOKUP(MONTH(R909),Meses!$B$3:$C$14,2,FALSE)-DAY(R909))/VLOOKUP(MONTH(R909),Meses!$B$3:$C$14,2,FALSE)*U909,
"")</f>
        <v>4992</v>
      </c>
      <c r="U909" s="22">
        <f t="shared" si="43"/>
        <v>12480</v>
      </c>
    </row>
    <row r="910" spans="1:21" ht="63" hidden="1" thickBot="1" x14ac:dyDescent="0.6">
      <c r="A910" s="10" t="s">
        <v>1167</v>
      </c>
      <c r="B910" s="10" t="s">
        <v>1170</v>
      </c>
      <c r="C910" s="12">
        <v>45197</v>
      </c>
      <c r="D910" s="10" t="s">
        <v>862</v>
      </c>
      <c r="E910" s="10" t="s">
        <v>289</v>
      </c>
      <c r="F910" s="10">
        <v>38000</v>
      </c>
      <c r="G910" s="10" t="s">
        <v>15</v>
      </c>
      <c r="H910" s="10" t="s">
        <v>17</v>
      </c>
      <c r="I910" s="10" t="s">
        <v>66</v>
      </c>
      <c r="J910" s="10" t="s">
        <v>19</v>
      </c>
      <c r="K910" s="10" t="s">
        <v>19</v>
      </c>
      <c r="L910" s="10" t="s">
        <v>19</v>
      </c>
      <c r="M910" s="12"/>
      <c r="N910" s="10" t="s">
        <v>20</v>
      </c>
      <c r="O910" s="10" t="s">
        <v>2054</v>
      </c>
      <c r="P910" s="25" t="str">
        <f>IFERROR(
IF(OR(O910="anulado",O910="stand by"),CONCATENATE(O910,": ",H910),
IF(OR(YEAR(M910)=2022,YEAR(M910)=2023),CONCATENATE("Se activó en ",YEAR(M910)),
IF(AND(OR(O910="En proceso",O910="facturando"),AND(J910="-",M910="")),"Por revisar",
IF(M910="",IF(J910="NUEVAS",CONCATENATE("Estado: ",O910,", ",J910),
IF(L910=Meses!$A$3,"Por revisar",
IF(H910="","Sin registro","En programación Frcst."))),"En programación")))),
"Error")</f>
        <v>Por revisar</v>
      </c>
      <c r="Q910" s="9" t="str">
        <f t="shared" si="42"/>
        <v>programación de act. NO, estado: Facturando, Comercializador: DICELER, Etapa: Instalado y Activado</v>
      </c>
      <c r="R910" s="25" t="str">
        <f>IF(P910="En programación Frcst.",VLOOKUP(L910,Meses!$A$1:$H$14,3+HLOOKUP(Cronograma!J910,Meses!$D$1:$G$2,2,FALSE),FALSE),
IF(P910="En programación",M910,""))</f>
        <v/>
      </c>
      <c r="S910" s="25" t="str">
        <f t="shared" si="44"/>
        <v/>
      </c>
      <c r="T910" s="21" t="str">
        <f>IFERROR(
(VLOOKUP(MONTH(R910),Meses!$B$3:$C$14,2,FALSE)-DAY(R910))/VLOOKUP(MONTH(R910),Meses!$B$3:$C$14,2,FALSE)*U910,
"")</f>
        <v/>
      </c>
      <c r="U910" s="22">
        <f t="shared" si="43"/>
        <v>38000</v>
      </c>
    </row>
    <row r="911" spans="1:21" ht="63" hidden="1" thickBot="1" x14ac:dyDescent="0.6">
      <c r="A911" s="10" t="s">
        <v>1167</v>
      </c>
      <c r="B911" s="10" t="s">
        <v>1168</v>
      </c>
      <c r="C911" s="12">
        <v>45190</v>
      </c>
      <c r="D911" s="10" t="s">
        <v>862</v>
      </c>
      <c r="E911" s="10" t="s">
        <v>289</v>
      </c>
      <c r="F911" s="10">
        <v>1200</v>
      </c>
      <c r="G911" s="10" t="s">
        <v>15</v>
      </c>
      <c r="H911" s="10" t="s">
        <v>17</v>
      </c>
      <c r="I911" s="10" t="s">
        <v>66</v>
      </c>
      <c r="J911" s="10" t="s">
        <v>19</v>
      </c>
      <c r="K911" s="10" t="s">
        <v>19</v>
      </c>
      <c r="L911" s="10" t="s">
        <v>19</v>
      </c>
      <c r="M911" s="12"/>
      <c r="N911" s="10" t="s">
        <v>20</v>
      </c>
      <c r="O911" s="10" t="s">
        <v>2054</v>
      </c>
      <c r="P911" s="25" t="str">
        <f>IFERROR(
IF(OR(O911="anulado",O911="stand by"),CONCATENATE(O911,": ",H911),
IF(OR(YEAR(M911)=2022,YEAR(M911)=2023),CONCATENATE("Se activó en ",YEAR(M911)),
IF(AND(OR(O911="En proceso",O911="facturando"),AND(J911="-",M911="")),"Por revisar",
IF(M911="",IF(J911="NUEVAS",CONCATENATE("Estado: ",O911,", ",J911),
IF(L911=Meses!$A$3,"Por revisar",
IF(H911="","Sin registro","En programación Frcst."))),"En programación")))),
"Error")</f>
        <v>Por revisar</v>
      </c>
      <c r="Q911" s="9" t="str">
        <f t="shared" si="42"/>
        <v>programación de act. NO, estado: Facturando, Comercializador: DICELER, Etapa: Instalado y Activado</v>
      </c>
      <c r="R911" s="25" t="str">
        <f>IF(P911="En programación Frcst.",VLOOKUP(L911,Meses!$A$1:$H$14,3+HLOOKUP(Cronograma!J911,Meses!$D$1:$G$2,2,FALSE),FALSE),
IF(P911="En programación",M911,""))</f>
        <v/>
      </c>
      <c r="S911" s="25" t="str">
        <f t="shared" si="44"/>
        <v/>
      </c>
      <c r="T911" s="21" t="str">
        <f>IFERROR(
(VLOOKUP(MONTH(R911),Meses!$B$3:$C$14,2,FALSE)-DAY(R911))/VLOOKUP(MONTH(R911),Meses!$B$3:$C$14,2,FALSE)*U911,
"")</f>
        <v/>
      </c>
      <c r="U911" s="22">
        <f t="shared" si="43"/>
        <v>1200</v>
      </c>
    </row>
    <row r="912" spans="1:21" ht="63" hidden="1" thickBot="1" x14ac:dyDescent="0.6">
      <c r="A912" s="10" t="s">
        <v>1167</v>
      </c>
      <c r="B912" s="10" t="s">
        <v>1169</v>
      </c>
      <c r="C912" s="12">
        <v>45190</v>
      </c>
      <c r="D912" s="10" t="s">
        <v>862</v>
      </c>
      <c r="E912" s="10" t="s">
        <v>289</v>
      </c>
      <c r="F912" s="10">
        <v>13600</v>
      </c>
      <c r="G912" s="10" t="s">
        <v>15</v>
      </c>
      <c r="H912" s="10" t="s">
        <v>17</v>
      </c>
      <c r="I912" s="10" t="s">
        <v>66</v>
      </c>
      <c r="J912" s="10" t="s">
        <v>19</v>
      </c>
      <c r="K912" s="10" t="s">
        <v>19</v>
      </c>
      <c r="L912" s="10" t="s">
        <v>19</v>
      </c>
      <c r="M912" s="12"/>
      <c r="N912" s="10" t="s">
        <v>20</v>
      </c>
      <c r="O912" s="10" t="s">
        <v>2054</v>
      </c>
      <c r="P912" s="25" t="str">
        <f>IFERROR(
IF(OR(O912="anulado",O912="stand by"),CONCATENATE(O912,": ",H912),
IF(OR(YEAR(M912)=2022,YEAR(M912)=2023),CONCATENATE("Se activó en ",YEAR(M912)),
IF(AND(OR(O912="En proceso",O912="facturando"),AND(J912="-",M912="")),"Por revisar",
IF(M912="",IF(J912="NUEVAS",CONCATENATE("Estado: ",O912,", ",J912),
IF(L912=Meses!$A$3,"Por revisar",
IF(H912="","Sin registro","En programación Frcst."))),"En programación")))),
"Error")</f>
        <v>Por revisar</v>
      </c>
      <c r="Q912" s="9" t="str">
        <f t="shared" si="42"/>
        <v>programación de act. NO, estado: Facturando, Comercializador: DICELER, Etapa: Instalado y Activado</v>
      </c>
      <c r="R912" s="25" t="str">
        <f>IF(P912="En programación Frcst.",VLOOKUP(L912,Meses!$A$1:$H$14,3+HLOOKUP(Cronograma!J912,Meses!$D$1:$G$2,2,FALSE),FALSE),
IF(P912="En programación",M912,""))</f>
        <v/>
      </c>
      <c r="S912" s="25" t="str">
        <f t="shared" si="44"/>
        <v/>
      </c>
      <c r="T912" s="21" t="str">
        <f>IFERROR(
(VLOOKUP(MONTH(R912),Meses!$B$3:$C$14,2,FALSE)-DAY(R912))/VLOOKUP(MONTH(R912),Meses!$B$3:$C$14,2,FALSE)*U912,
"")</f>
        <v/>
      </c>
      <c r="U912" s="22">
        <f t="shared" si="43"/>
        <v>13600</v>
      </c>
    </row>
    <row r="913" spans="1:21" ht="63" hidden="1" thickBot="1" x14ac:dyDescent="0.6">
      <c r="A913" s="10" t="s">
        <v>1167</v>
      </c>
      <c r="B913" s="10" t="s">
        <v>2405</v>
      </c>
      <c r="C913" s="12">
        <v>45190</v>
      </c>
      <c r="D913" s="10" t="s">
        <v>862</v>
      </c>
      <c r="E913" s="10" t="s">
        <v>289</v>
      </c>
      <c r="F913" s="10">
        <v>1200</v>
      </c>
      <c r="G913" s="10" t="s">
        <v>15</v>
      </c>
      <c r="H913" s="10" t="s">
        <v>17</v>
      </c>
      <c r="I913" s="10" t="s">
        <v>66</v>
      </c>
      <c r="J913" s="10" t="s">
        <v>19</v>
      </c>
      <c r="K913" s="10" t="s">
        <v>19</v>
      </c>
      <c r="L913" s="10" t="s">
        <v>19</v>
      </c>
      <c r="M913" s="12"/>
      <c r="N913" s="10" t="s">
        <v>20</v>
      </c>
      <c r="O913" s="10" t="s">
        <v>2054</v>
      </c>
      <c r="P913" s="25" t="str">
        <f>IFERROR(
IF(OR(O913="anulado",O913="stand by"),CONCATENATE(O913,": ",H913),
IF(OR(YEAR(M913)=2022,YEAR(M913)=2023),CONCATENATE("Se activó en ",YEAR(M913)),
IF(AND(OR(O913="En proceso",O913="facturando"),AND(J913="-",M913="")),"Por revisar",
IF(M913="",IF(J913="NUEVAS",CONCATENATE("Estado: ",O913,", ",J913),
IF(L913=Meses!$A$3,"Por revisar",
IF(H913="","Sin registro","En programación Frcst."))),"En programación")))),
"Error")</f>
        <v>Por revisar</v>
      </c>
      <c r="Q913" s="9" t="str">
        <f t="shared" si="42"/>
        <v>programación de act. NO, estado: Facturando, Comercializador: DICELER, Etapa: Instalado y Activado</v>
      </c>
      <c r="R913" s="25" t="str">
        <f>IF(P913="En programación Frcst.",VLOOKUP(L913,Meses!$A$1:$H$14,3+HLOOKUP(Cronograma!J913,Meses!$D$1:$G$2,2,FALSE),FALSE),
IF(P913="En programación",M913,""))</f>
        <v/>
      </c>
      <c r="S913" s="25" t="str">
        <f t="shared" si="44"/>
        <v/>
      </c>
      <c r="T913" s="21" t="str">
        <f>IFERROR(
(VLOOKUP(MONTH(R913),Meses!$B$3:$C$14,2,FALSE)-DAY(R913))/VLOOKUP(MONTH(R913),Meses!$B$3:$C$14,2,FALSE)*U913,
"")</f>
        <v/>
      </c>
      <c r="U913" s="22">
        <f t="shared" si="43"/>
        <v>1200</v>
      </c>
    </row>
    <row r="914" spans="1:21" ht="63" hidden="1" thickBot="1" x14ac:dyDescent="0.6">
      <c r="A914" s="10" t="s">
        <v>1171</v>
      </c>
      <c r="B914" s="10" t="s">
        <v>1172</v>
      </c>
      <c r="C914" s="12"/>
      <c r="D914" s="10" t="s">
        <v>289</v>
      </c>
      <c r="E914" s="10" t="s">
        <v>289</v>
      </c>
      <c r="F914" s="10">
        <v>5937</v>
      </c>
      <c r="G914" s="10" t="s">
        <v>15</v>
      </c>
      <c r="H914" s="10" t="s">
        <v>2917</v>
      </c>
      <c r="I914" s="10" t="s">
        <v>18</v>
      </c>
      <c r="J914" s="10" t="s">
        <v>292</v>
      </c>
      <c r="K914" s="10" t="s">
        <v>1697</v>
      </c>
      <c r="L914" s="10" t="s">
        <v>1120</v>
      </c>
      <c r="M914" s="12">
        <v>45379</v>
      </c>
      <c r="N914" s="10" t="s">
        <v>15</v>
      </c>
      <c r="O914" s="10" t="s">
        <v>2057</v>
      </c>
      <c r="P914" s="25" t="str">
        <f>IFERROR(
IF(OR(O914="anulado",O914="stand by"),CONCATENATE(O914,": ",H914),
IF(OR(YEAR(M914)=2022,YEAR(M914)=2023),CONCATENATE("Se activó en ",YEAR(M914)),
IF(AND(OR(O914="En proceso",O914="facturando"),AND(J914="-",M914="")),"Por revisar",
IF(M914="",IF(J914="NUEVAS",CONCATENATE("Estado: ",O914,", ",J914),
IF(L914=Meses!$A$3,"Por revisar",
IF(H914="","Sin registro","En programación Frcst."))),"En programación")))),
"Error")</f>
        <v>En programación</v>
      </c>
      <c r="Q914" s="9" t="str">
        <f t="shared" si="42"/>
        <v/>
      </c>
      <c r="R914" s="25">
        <f>IF(P914="En programación Frcst.",VLOOKUP(L914,Meses!$A$1:$H$14,3+HLOOKUP(Cronograma!J914,Meses!$D$1:$G$2,2,FALSE),FALSE),
IF(P914="En programación",M914,""))</f>
        <v>45379</v>
      </c>
      <c r="S914" s="25" t="str">
        <f t="shared" si="44"/>
        <v>2024/3</v>
      </c>
      <c r="T914" s="21">
        <f>IFERROR(
(VLOOKUP(MONTH(R914),Meses!$B$3:$C$14,2,FALSE)-DAY(R914))/VLOOKUP(MONTH(R914),Meses!$B$3:$C$14,2,FALSE)*U914,
"")</f>
        <v>574.54838709677415</v>
      </c>
      <c r="U914" s="22">
        <f t="shared" si="43"/>
        <v>5937</v>
      </c>
    </row>
    <row r="915" spans="1:21" ht="63" hidden="1" thickBot="1" x14ac:dyDescent="0.6">
      <c r="A915" s="10" t="s">
        <v>1171</v>
      </c>
      <c r="B915" s="10" t="s">
        <v>1173</v>
      </c>
      <c r="C915" s="12"/>
      <c r="D915" s="10" t="s">
        <v>289</v>
      </c>
      <c r="E915" s="10" t="s">
        <v>289</v>
      </c>
      <c r="F915" s="10">
        <v>5827</v>
      </c>
      <c r="G915" s="10" t="s">
        <v>15</v>
      </c>
      <c r="H915" s="10" t="s">
        <v>2917</v>
      </c>
      <c r="I915" s="10" t="s">
        <v>18</v>
      </c>
      <c r="J915" s="10" t="s">
        <v>292</v>
      </c>
      <c r="K915" s="10" t="s">
        <v>1697</v>
      </c>
      <c r="L915" s="10" t="s">
        <v>1120</v>
      </c>
      <c r="M915" s="12">
        <v>45379</v>
      </c>
      <c r="N915" s="10" t="s">
        <v>15</v>
      </c>
      <c r="O915" s="10" t="s">
        <v>2057</v>
      </c>
      <c r="P915" s="25" t="str">
        <f>IFERROR(
IF(OR(O915="anulado",O915="stand by"),CONCATENATE(O915,": ",H915),
IF(OR(YEAR(M915)=2022,YEAR(M915)=2023),CONCATENATE("Se activó en ",YEAR(M915)),
IF(AND(OR(O915="En proceso",O915="facturando"),AND(J915="-",M915="")),"Por revisar",
IF(M915="",IF(J915="NUEVAS",CONCATENATE("Estado: ",O915,", ",J915),
IF(L915=Meses!$A$3,"Por revisar",
IF(H915="","Sin registro","En programación Frcst."))),"En programación")))),
"Error")</f>
        <v>En programación</v>
      </c>
      <c r="Q915" s="9" t="str">
        <f t="shared" si="42"/>
        <v/>
      </c>
      <c r="R915" s="25">
        <f>IF(P915="En programación Frcst.",VLOOKUP(L915,Meses!$A$1:$H$14,3+HLOOKUP(Cronograma!J915,Meses!$D$1:$G$2,2,FALSE),FALSE),
IF(P915="En programación",M915,""))</f>
        <v>45379</v>
      </c>
      <c r="S915" s="25" t="str">
        <f t="shared" si="44"/>
        <v>2024/3</v>
      </c>
      <c r="T915" s="21">
        <f>IFERROR(
(VLOOKUP(MONTH(R915),Meses!$B$3:$C$14,2,FALSE)-DAY(R915))/VLOOKUP(MONTH(R915),Meses!$B$3:$C$14,2,FALSE)*U915,
"")</f>
        <v>563.90322580645159</v>
      </c>
      <c r="U915" s="22">
        <f t="shared" si="43"/>
        <v>5827</v>
      </c>
    </row>
    <row r="916" spans="1:21" ht="63" hidden="1" thickBot="1" x14ac:dyDescent="0.6">
      <c r="A916" s="10" t="s">
        <v>1171</v>
      </c>
      <c r="B916" s="10" t="s">
        <v>1174</v>
      </c>
      <c r="C916" s="12"/>
      <c r="D916" s="10" t="s">
        <v>289</v>
      </c>
      <c r="E916" s="10" t="s">
        <v>289</v>
      </c>
      <c r="F916" s="10">
        <v>1500</v>
      </c>
      <c r="G916" s="10" t="s">
        <v>15</v>
      </c>
      <c r="H916" s="10" t="s">
        <v>2917</v>
      </c>
      <c r="I916" s="10" t="s">
        <v>18</v>
      </c>
      <c r="J916" s="10" t="s">
        <v>292</v>
      </c>
      <c r="K916" s="10" t="s">
        <v>1697</v>
      </c>
      <c r="L916" s="10" t="s">
        <v>1120</v>
      </c>
      <c r="M916" s="12">
        <v>45379</v>
      </c>
      <c r="N916" s="10" t="s">
        <v>15</v>
      </c>
      <c r="O916" s="10" t="s">
        <v>2057</v>
      </c>
      <c r="P916" s="25" t="str">
        <f>IFERROR(
IF(OR(O916="anulado",O916="stand by"),CONCATENATE(O916,": ",H916),
IF(OR(YEAR(M916)=2022,YEAR(M916)=2023),CONCATENATE("Se activó en ",YEAR(M916)),
IF(AND(OR(O916="En proceso",O916="facturando"),AND(J916="-",M916="")),"Por revisar",
IF(M916="",IF(J916="NUEVAS",CONCATENATE("Estado: ",O916,", ",J916),
IF(L916=Meses!$A$3,"Por revisar",
IF(H916="","Sin registro","En programación Frcst."))),"En programación")))),
"Error")</f>
        <v>En programación</v>
      </c>
      <c r="Q916" s="9" t="str">
        <f t="shared" si="42"/>
        <v/>
      </c>
      <c r="R916" s="25">
        <f>IF(P916="En programación Frcst.",VLOOKUP(L916,Meses!$A$1:$H$14,3+HLOOKUP(Cronograma!J916,Meses!$D$1:$G$2,2,FALSE),FALSE),
IF(P916="En programación",M916,""))</f>
        <v>45379</v>
      </c>
      <c r="S916" s="25" t="str">
        <f t="shared" si="44"/>
        <v>2024/3</v>
      </c>
      <c r="T916" s="21">
        <f>IFERROR(
(VLOOKUP(MONTH(R916),Meses!$B$3:$C$14,2,FALSE)-DAY(R916))/VLOOKUP(MONTH(R916),Meses!$B$3:$C$14,2,FALSE)*U916,
"")</f>
        <v>145.16129032258064</v>
      </c>
      <c r="U916" s="22">
        <f t="shared" si="43"/>
        <v>1500</v>
      </c>
    </row>
    <row r="917" spans="1:21" ht="63" hidden="1" thickBot="1" x14ac:dyDescent="0.6">
      <c r="A917" s="10" t="s">
        <v>1171</v>
      </c>
      <c r="B917" s="10" t="s">
        <v>1175</v>
      </c>
      <c r="C917" s="12"/>
      <c r="D917" s="10" t="s">
        <v>289</v>
      </c>
      <c r="E917" s="10" t="s">
        <v>289</v>
      </c>
      <c r="F917" s="10">
        <v>11640</v>
      </c>
      <c r="G917" s="10" t="s">
        <v>15</v>
      </c>
      <c r="H917" s="10" t="s">
        <v>2917</v>
      </c>
      <c r="I917" s="10" t="s">
        <v>18</v>
      </c>
      <c r="J917" s="10" t="s">
        <v>292</v>
      </c>
      <c r="K917" s="10" t="s">
        <v>1697</v>
      </c>
      <c r="L917" s="10" t="s">
        <v>1120</v>
      </c>
      <c r="M917" s="12">
        <v>45379</v>
      </c>
      <c r="N917" s="10" t="s">
        <v>15</v>
      </c>
      <c r="O917" s="10" t="s">
        <v>2057</v>
      </c>
      <c r="P917" s="25" t="str">
        <f>IFERROR(
IF(OR(O917="anulado",O917="stand by"),CONCATENATE(O917,": ",H917),
IF(OR(YEAR(M917)=2022,YEAR(M917)=2023),CONCATENATE("Se activó en ",YEAR(M917)),
IF(AND(OR(O917="En proceso",O917="facturando"),AND(J917="-",M917="")),"Por revisar",
IF(M917="",IF(J917="NUEVAS",CONCATENATE("Estado: ",O917,", ",J917),
IF(L917=Meses!$A$3,"Por revisar",
IF(H917="","Sin registro","En programación Frcst."))),"En programación")))),
"Error")</f>
        <v>En programación</v>
      </c>
      <c r="Q917" s="9" t="str">
        <f t="shared" si="42"/>
        <v/>
      </c>
      <c r="R917" s="25">
        <f>IF(P917="En programación Frcst.",VLOOKUP(L917,Meses!$A$1:$H$14,3+HLOOKUP(Cronograma!J917,Meses!$D$1:$G$2,2,FALSE),FALSE),
IF(P917="En programación",M917,""))</f>
        <v>45379</v>
      </c>
      <c r="S917" s="25" t="str">
        <f t="shared" si="44"/>
        <v>2024/3</v>
      </c>
      <c r="T917" s="21">
        <f>IFERROR(
(VLOOKUP(MONTH(R917),Meses!$B$3:$C$14,2,FALSE)-DAY(R917))/VLOOKUP(MONTH(R917),Meses!$B$3:$C$14,2,FALSE)*U917,
"")</f>
        <v>1126.4516129032259</v>
      </c>
      <c r="U917" s="22">
        <f t="shared" si="43"/>
        <v>11640</v>
      </c>
    </row>
    <row r="918" spans="1:21" ht="63" hidden="1" thickBot="1" x14ac:dyDescent="0.6">
      <c r="A918" s="10" t="s">
        <v>1171</v>
      </c>
      <c r="B918" s="10" t="s">
        <v>1176</v>
      </c>
      <c r="C918" s="12">
        <v>45292</v>
      </c>
      <c r="D918" s="10" t="s">
        <v>289</v>
      </c>
      <c r="E918" s="10" t="s">
        <v>289</v>
      </c>
      <c r="F918" s="10">
        <v>61818</v>
      </c>
      <c r="G918" s="10" t="s">
        <v>15</v>
      </c>
      <c r="H918" s="10" t="s">
        <v>17</v>
      </c>
      <c r="I918" s="10" t="s">
        <v>66</v>
      </c>
      <c r="J918" s="10" t="s">
        <v>282</v>
      </c>
      <c r="K918" s="10" t="s">
        <v>283</v>
      </c>
      <c r="L918" s="10" t="s">
        <v>279</v>
      </c>
      <c r="M918" s="12"/>
      <c r="N918" s="10" t="s">
        <v>15</v>
      </c>
      <c r="O918" s="10" t="s">
        <v>2054</v>
      </c>
      <c r="P918" s="25" t="str">
        <f>IFERROR(
IF(OR(O918="anulado",O918="stand by"),CONCATENATE(O918,": ",H918),
IF(OR(YEAR(M918)=2022,YEAR(M918)=2023),CONCATENATE("Se activó en ",YEAR(M918)),
IF(AND(OR(O918="En proceso",O918="facturando"),AND(J918="-",M918="")),"Por revisar",
IF(M918="",IF(J918="NUEVAS",CONCATENATE("Estado: ",O918,", ",J918),
IF(L918=Meses!$A$3,"Por revisar",
IF(H918="","Sin registro","En programación Frcst."))),"En programación")))),
"Error")</f>
        <v>En programación Frcst.</v>
      </c>
      <c r="Q918" s="9" t="str">
        <f t="shared" si="42"/>
        <v/>
      </c>
      <c r="R918" s="25">
        <f>IF(P918="En programación Frcst.",VLOOKUP(L918,Meses!$A$1:$H$14,3+HLOOKUP(Cronograma!J918,Meses!$D$1:$G$2,2,FALSE),FALSE),
IF(P918="En programación",M918,""))</f>
        <v>45295</v>
      </c>
      <c r="S918" s="25" t="str">
        <f t="shared" si="44"/>
        <v>2024/1</v>
      </c>
      <c r="T918" s="21">
        <f>IFERROR(
(VLOOKUP(MONTH(R918),Meses!$B$3:$C$14,2,FALSE)-DAY(R918))/VLOOKUP(MONTH(R918),Meses!$B$3:$C$14,2,FALSE)*U918,
"")</f>
        <v>53841.483870967742</v>
      </c>
      <c r="U918" s="22">
        <f t="shared" si="43"/>
        <v>61818</v>
      </c>
    </row>
    <row r="919" spans="1:21" ht="31.8" hidden="1" thickBot="1" x14ac:dyDescent="0.6">
      <c r="A919" s="10" t="s">
        <v>1177</v>
      </c>
      <c r="B919" s="10" t="s">
        <v>1178</v>
      </c>
      <c r="C919" s="12"/>
      <c r="D919" s="10" t="s">
        <v>74</v>
      </c>
      <c r="E919" s="10" t="s">
        <v>74</v>
      </c>
      <c r="F919" s="10">
        <v>10937</v>
      </c>
      <c r="G919" s="10" t="s">
        <v>15</v>
      </c>
      <c r="H919" s="10" t="s">
        <v>2917</v>
      </c>
      <c r="I919" s="10" t="s">
        <v>43</v>
      </c>
      <c r="J919" s="10" t="s">
        <v>143</v>
      </c>
      <c r="K919" s="10" t="s">
        <v>2895</v>
      </c>
      <c r="L919" s="10" t="s">
        <v>2292</v>
      </c>
      <c r="M919" s="12">
        <v>45400</v>
      </c>
      <c r="N919" s="10" t="s">
        <v>15</v>
      </c>
      <c r="O919" s="10" t="s">
        <v>2057</v>
      </c>
      <c r="P919" s="25" t="str">
        <f>IFERROR(
IF(OR(O919="anulado",O919="stand by"),CONCATENATE(O919,": ",H919),
IF(OR(YEAR(M919)=2022,YEAR(M919)=2023),CONCATENATE("Se activó en ",YEAR(M919)),
IF(AND(OR(O919="En proceso",O919="facturando"),AND(J919="-",M919="")),"Por revisar",
IF(M919="",IF(J919="NUEVAS",CONCATENATE("Estado: ",O919,", ",J919),
IF(L919=Meses!$A$3,"Por revisar",
IF(H919="","Sin registro","En programación Frcst."))),"En programación")))),
"Error")</f>
        <v>En programación</v>
      </c>
      <c r="Q919" s="9" t="str">
        <f t="shared" si="42"/>
        <v/>
      </c>
      <c r="R919" s="25">
        <f>IF(P919="En programación Frcst.",VLOOKUP(L919,Meses!$A$1:$H$14,3+HLOOKUP(Cronograma!J919,Meses!$D$1:$G$2,2,FALSE),FALSE),
IF(P919="En programación",M919,""))</f>
        <v>45400</v>
      </c>
      <c r="S919" s="25" t="str">
        <f t="shared" si="44"/>
        <v>2024/4</v>
      </c>
      <c r="T919" s="21">
        <f>IFERROR(
(VLOOKUP(MONTH(R919),Meses!$B$3:$C$14,2,FALSE)-DAY(R919))/VLOOKUP(MONTH(R919),Meses!$B$3:$C$14,2,FALSE)*U919,
"")</f>
        <v>4374.8</v>
      </c>
      <c r="U919" s="22">
        <f t="shared" si="43"/>
        <v>10937</v>
      </c>
    </row>
    <row r="920" spans="1:21" ht="31.8" hidden="1" thickBot="1" x14ac:dyDescent="0.6">
      <c r="A920" s="10" t="s">
        <v>1177</v>
      </c>
      <c r="B920" s="10" t="s">
        <v>1179</v>
      </c>
      <c r="C920" s="12"/>
      <c r="D920" s="10" t="s">
        <v>74</v>
      </c>
      <c r="E920" s="10" t="s">
        <v>74</v>
      </c>
      <c r="F920" s="10">
        <v>10429</v>
      </c>
      <c r="G920" s="10" t="s">
        <v>15</v>
      </c>
      <c r="H920" s="10" t="s">
        <v>2917</v>
      </c>
      <c r="I920" s="10" t="s">
        <v>43</v>
      </c>
      <c r="J920" s="10" t="s">
        <v>143</v>
      </c>
      <c r="K920" s="10" t="s">
        <v>2895</v>
      </c>
      <c r="L920" s="10" t="s">
        <v>2292</v>
      </c>
      <c r="M920" s="12">
        <v>45400</v>
      </c>
      <c r="N920" s="10" t="s">
        <v>15</v>
      </c>
      <c r="O920" s="10" t="s">
        <v>2057</v>
      </c>
      <c r="P920" s="25" t="str">
        <f>IFERROR(
IF(OR(O920="anulado",O920="stand by"),CONCATENATE(O920,": ",H920),
IF(OR(YEAR(M920)=2022,YEAR(M920)=2023),CONCATENATE("Se activó en ",YEAR(M920)),
IF(AND(OR(O920="En proceso",O920="facturando"),AND(J920="-",M920="")),"Por revisar",
IF(M920="",IF(J920="NUEVAS",CONCATENATE("Estado: ",O920,", ",J920),
IF(L920=Meses!$A$3,"Por revisar",
IF(H920="","Sin registro","En programación Frcst."))),"En programación")))),
"Error")</f>
        <v>En programación</v>
      </c>
      <c r="Q920" s="9" t="str">
        <f t="shared" si="42"/>
        <v/>
      </c>
      <c r="R920" s="25">
        <f>IF(P920="En programación Frcst.",VLOOKUP(L920,Meses!$A$1:$H$14,3+HLOOKUP(Cronograma!J920,Meses!$D$1:$G$2,2,FALSE),FALSE),
IF(P920="En programación",M920,""))</f>
        <v>45400</v>
      </c>
      <c r="S920" s="25" t="str">
        <f t="shared" si="44"/>
        <v>2024/4</v>
      </c>
      <c r="T920" s="21">
        <f>IFERROR(
(VLOOKUP(MONTH(R920),Meses!$B$3:$C$14,2,FALSE)-DAY(R920))/VLOOKUP(MONTH(R920),Meses!$B$3:$C$14,2,FALSE)*U920,
"")</f>
        <v>4171.6000000000004</v>
      </c>
      <c r="U920" s="22">
        <f t="shared" si="43"/>
        <v>10429</v>
      </c>
    </row>
    <row r="921" spans="1:21" ht="31.8" hidden="1" thickBot="1" x14ac:dyDescent="0.6">
      <c r="A921" s="10" t="s">
        <v>1177</v>
      </c>
      <c r="B921" s="10" t="s">
        <v>1180</v>
      </c>
      <c r="C921" s="12"/>
      <c r="D921" s="10" t="s">
        <v>74</v>
      </c>
      <c r="E921" s="10" t="s">
        <v>74</v>
      </c>
      <c r="F921" s="10">
        <v>8999</v>
      </c>
      <c r="G921" s="10" t="s">
        <v>15</v>
      </c>
      <c r="H921" s="10" t="s">
        <v>2917</v>
      </c>
      <c r="I921" s="10" t="s">
        <v>43</v>
      </c>
      <c r="J921" s="10" t="s">
        <v>143</v>
      </c>
      <c r="K921" s="10" t="s">
        <v>2895</v>
      </c>
      <c r="L921" s="10" t="s">
        <v>2292</v>
      </c>
      <c r="M921" s="12">
        <v>45400</v>
      </c>
      <c r="N921" s="10" t="s">
        <v>15</v>
      </c>
      <c r="O921" s="10" t="s">
        <v>2057</v>
      </c>
      <c r="P921" s="25" t="str">
        <f>IFERROR(
IF(OR(O921="anulado",O921="stand by"),CONCATENATE(O921,": ",H921),
IF(OR(YEAR(M921)=2022,YEAR(M921)=2023),CONCATENATE("Se activó en ",YEAR(M921)),
IF(AND(OR(O921="En proceso",O921="facturando"),AND(J921="-",M921="")),"Por revisar",
IF(M921="",IF(J921="NUEVAS",CONCATENATE("Estado: ",O921,", ",J921),
IF(L921=Meses!$A$3,"Por revisar",
IF(H921="","Sin registro","En programación Frcst."))),"En programación")))),
"Error")</f>
        <v>En programación</v>
      </c>
      <c r="Q921" s="9" t="str">
        <f t="shared" si="42"/>
        <v/>
      </c>
      <c r="R921" s="25">
        <f>IF(P921="En programación Frcst.",VLOOKUP(L921,Meses!$A$1:$H$14,3+HLOOKUP(Cronograma!J921,Meses!$D$1:$G$2,2,FALSE),FALSE),
IF(P921="En programación",M921,""))</f>
        <v>45400</v>
      </c>
      <c r="S921" s="25" t="str">
        <f t="shared" si="44"/>
        <v>2024/4</v>
      </c>
      <c r="T921" s="21">
        <f>IFERROR(
(VLOOKUP(MONTH(R921),Meses!$B$3:$C$14,2,FALSE)-DAY(R921))/VLOOKUP(MONTH(R921),Meses!$B$3:$C$14,2,FALSE)*U921,
"")</f>
        <v>3599.6000000000004</v>
      </c>
      <c r="U921" s="22">
        <f t="shared" si="43"/>
        <v>8999</v>
      </c>
    </row>
    <row r="922" spans="1:21" ht="31.8" hidden="1" thickBot="1" x14ac:dyDescent="0.6">
      <c r="A922" s="10" t="s">
        <v>1177</v>
      </c>
      <c r="B922" s="10" t="s">
        <v>1181</v>
      </c>
      <c r="C922" s="12"/>
      <c r="D922" s="10" t="s">
        <v>74</v>
      </c>
      <c r="E922" s="10" t="s">
        <v>74</v>
      </c>
      <c r="F922" s="10">
        <v>39692</v>
      </c>
      <c r="G922" s="10" t="s">
        <v>15</v>
      </c>
      <c r="H922" s="10" t="s">
        <v>2917</v>
      </c>
      <c r="I922" s="10" t="s">
        <v>43</v>
      </c>
      <c r="J922" s="10" t="s">
        <v>143</v>
      </c>
      <c r="K922" s="10" t="s">
        <v>2895</v>
      </c>
      <c r="L922" s="10" t="s">
        <v>2292</v>
      </c>
      <c r="M922" s="12">
        <v>45400</v>
      </c>
      <c r="N922" s="10" t="s">
        <v>15</v>
      </c>
      <c r="O922" s="10" t="s">
        <v>2057</v>
      </c>
      <c r="P922" s="25" t="str">
        <f>IFERROR(
IF(OR(O922="anulado",O922="stand by"),CONCATENATE(O922,": ",H922),
IF(OR(YEAR(M922)=2022,YEAR(M922)=2023),CONCATENATE("Se activó en ",YEAR(M922)),
IF(AND(OR(O922="En proceso",O922="facturando"),AND(J922="-",M922="")),"Por revisar",
IF(M922="",IF(J922="NUEVAS",CONCATENATE("Estado: ",O922,", ",J922),
IF(L922=Meses!$A$3,"Por revisar",
IF(H922="","Sin registro","En programación Frcst."))),"En programación")))),
"Error")</f>
        <v>En programación</v>
      </c>
      <c r="Q922" s="9" t="str">
        <f t="shared" si="42"/>
        <v/>
      </c>
      <c r="R922" s="25">
        <f>IF(P922="En programación Frcst.",VLOOKUP(L922,Meses!$A$1:$H$14,3+HLOOKUP(Cronograma!J922,Meses!$D$1:$G$2,2,FALSE),FALSE),
IF(P922="En programación",M922,""))</f>
        <v>45400</v>
      </c>
      <c r="S922" s="25" t="str">
        <f t="shared" si="44"/>
        <v>2024/4</v>
      </c>
      <c r="T922" s="21">
        <f>IFERROR(
(VLOOKUP(MONTH(R922),Meses!$B$3:$C$14,2,FALSE)-DAY(R922))/VLOOKUP(MONTH(R922),Meses!$B$3:$C$14,2,FALSE)*U922,
"")</f>
        <v>15876.800000000001</v>
      </c>
      <c r="U922" s="22">
        <f t="shared" si="43"/>
        <v>39692</v>
      </c>
    </row>
    <row r="923" spans="1:21" ht="31.8" hidden="1" thickBot="1" x14ac:dyDescent="0.6">
      <c r="A923" s="10" t="s">
        <v>1177</v>
      </c>
      <c r="B923" s="10" t="s">
        <v>1182</v>
      </c>
      <c r="C923" s="12"/>
      <c r="D923" s="10" t="s">
        <v>74</v>
      </c>
      <c r="E923" s="10" t="s">
        <v>74</v>
      </c>
      <c r="F923" s="10">
        <v>14683</v>
      </c>
      <c r="G923" s="10" t="s">
        <v>15</v>
      </c>
      <c r="H923" s="10" t="s">
        <v>2917</v>
      </c>
      <c r="I923" s="10" t="s">
        <v>43</v>
      </c>
      <c r="J923" s="10" t="s">
        <v>143</v>
      </c>
      <c r="K923" s="10" t="s">
        <v>2895</v>
      </c>
      <c r="L923" s="10" t="s">
        <v>2292</v>
      </c>
      <c r="M923" s="12">
        <v>45400</v>
      </c>
      <c r="N923" s="10" t="s">
        <v>15</v>
      </c>
      <c r="O923" s="10" t="s">
        <v>2057</v>
      </c>
      <c r="P923" s="25" t="str">
        <f>IFERROR(
IF(OR(O923="anulado",O923="stand by"),CONCATENATE(O923,": ",H923),
IF(OR(YEAR(M923)=2022,YEAR(M923)=2023),CONCATENATE("Se activó en ",YEAR(M923)),
IF(AND(OR(O923="En proceso",O923="facturando"),AND(J923="-",M923="")),"Por revisar",
IF(M923="",IF(J923="NUEVAS",CONCATENATE("Estado: ",O923,", ",J923),
IF(L923=Meses!$A$3,"Por revisar",
IF(H923="","Sin registro","En programación Frcst."))),"En programación")))),
"Error")</f>
        <v>En programación</v>
      </c>
      <c r="Q923" s="9" t="str">
        <f t="shared" si="42"/>
        <v/>
      </c>
      <c r="R923" s="25">
        <f>IF(P923="En programación Frcst.",VLOOKUP(L923,Meses!$A$1:$H$14,3+HLOOKUP(Cronograma!J923,Meses!$D$1:$G$2,2,FALSE),FALSE),
IF(P923="En programación",M923,""))</f>
        <v>45400</v>
      </c>
      <c r="S923" s="25" t="str">
        <f t="shared" si="44"/>
        <v>2024/4</v>
      </c>
      <c r="T923" s="21">
        <f>IFERROR(
(VLOOKUP(MONTH(R923),Meses!$B$3:$C$14,2,FALSE)-DAY(R923))/VLOOKUP(MONTH(R923),Meses!$B$3:$C$14,2,FALSE)*U923,
"")</f>
        <v>5873.2000000000007</v>
      </c>
      <c r="U923" s="22">
        <f t="shared" si="43"/>
        <v>14683</v>
      </c>
    </row>
    <row r="924" spans="1:21" ht="47.4" hidden="1" thickBot="1" x14ac:dyDescent="0.6">
      <c r="A924" s="10" t="s">
        <v>1183</v>
      </c>
      <c r="B924" s="10" t="s">
        <v>1184</v>
      </c>
      <c r="C924" s="12"/>
      <c r="D924" s="10" t="s">
        <v>44</v>
      </c>
      <c r="E924" s="10" t="s">
        <v>44</v>
      </c>
      <c r="F924" s="10">
        <v>4350</v>
      </c>
      <c r="G924" s="10" t="s">
        <v>15</v>
      </c>
      <c r="H924" s="10" t="s">
        <v>2917</v>
      </c>
      <c r="I924" s="10" t="s">
        <v>43</v>
      </c>
      <c r="J924" s="10" t="s">
        <v>143</v>
      </c>
      <c r="K924" s="10" t="s">
        <v>2895</v>
      </c>
      <c r="L924" s="10" t="s">
        <v>2292</v>
      </c>
      <c r="M924" s="12">
        <v>45400</v>
      </c>
      <c r="N924" s="10" t="s">
        <v>15</v>
      </c>
      <c r="O924" s="10" t="s">
        <v>2057</v>
      </c>
      <c r="P924" s="25" t="str">
        <f>IFERROR(
IF(OR(O924="anulado",O924="stand by"),CONCATENATE(O924,": ",H924),
IF(OR(YEAR(M924)=2022,YEAR(M924)=2023),CONCATENATE("Se activó en ",YEAR(M924)),
IF(AND(OR(O924="En proceso",O924="facturando"),AND(J924="-",M924="")),"Por revisar",
IF(M924="",IF(J924="NUEVAS",CONCATENATE("Estado: ",O924,", ",J924),
IF(L924=Meses!$A$3,"Por revisar",
IF(H924="","Sin registro","En programación Frcst."))),"En programación")))),
"Error")</f>
        <v>En programación</v>
      </c>
      <c r="Q924" s="9" t="str">
        <f t="shared" si="42"/>
        <v/>
      </c>
      <c r="R924" s="25">
        <f>IF(P924="En programación Frcst.",VLOOKUP(L924,Meses!$A$1:$H$14,3+HLOOKUP(Cronograma!J924,Meses!$D$1:$G$2,2,FALSE),FALSE),
IF(P924="En programación",M924,""))</f>
        <v>45400</v>
      </c>
      <c r="S924" s="25" t="str">
        <f t="shared" si="44"/>
        <v>2024/4</v>
      </c>
      <c r="T924" s="21">
        <f>IFERROR(
(VLOOKUP(MONTH(R924),Meses!$B$3:$C$14,2,FALSE)-DAY(R924))/VLOOKUP(MONTH(R924),Meses!$B$3:$C$14,2,FALSE)*U924,
"")</f>
        <v>1740</v>
      </c>
      <c r="U924" s="22">
        <f t="shared" si="43"/>
        <v>4350</v>
      </c>
    </row>
    <row r="925" spans="1:21" ht="31.8" hidden="1" thickBot="1" x14ac:dyDescent="0.6">
      <c r="A925" s="10" t="s">
        <v>1185</v>
      </c>
      <c r="B925" s="10" t="s">
        <v>1186</v>
      </c>
      <c r="C925" s="12"/>
      <c r="D925" s="10" t="s">
        <v>74</v>
      </c>
      <c r="E925" s="10" t="s">
        <v>74</v>
      </c>
      <c r="F925" s="10">
        <v>9306</v>
      </c>
      <c r="G925" s="10" t="s">
        <v>15</v>
      </c>
      <c r="H925" s="10" t="s">
        <v>2916</v>
      </c>
      <c r="I925" s="10" t="s">
        <v>43</v>
      </c>
      <c r="J925" s="10" t="s">
        <v>143</v>
      </c>
      <c r="K925" s="10" t="s">
        <v>2895</v>
      </c>
      <c r="L925" s="10" t="s">
        <v>2292</v>
      </c>
      <c r="M925" s="12">
        <v>45400</v>
      </c>
      <c r="N925" s="10" t="s">
        <v>15</v>
      </c>
      <c r="O925" s="10" t="s">
        <v>2057</v>
      </c>
      <c r="P925" s="25" t="str">
        <f>IFERROR(
IF(OR(O925="anulado",O925="stand by"),CONCATENATE(O925,": ",H925),
IF(OR(YEAR(M925)=2022,YEAR(M925)=2023),CONCATENATE("Se activó en ",YEAR(M925)),
IF(AND(OR(O925="En proceso",O925="facturando"),AND(J925="-",M925="")),"Por revisar",
IF(M925="",IF(J925="NUEVAS",CONCATENATE("Estado: ",O925,", ",J925),
IF(L925=Meses!$A$3,"Por revisar",
IF(H925="","Sin registro","En programación Frcst."))),"En programación")))),
"Error")</f>
        <v>En programación</v>
      </c>
      <c r="Q925" s="9" t="str">
        <f t="shared" si="42"/>
        <v/>
      </c>
      <c r="R925" s="25">
        <f>IF(P925="En programación Frcst.",VLOOKUP(L925,Meses!$A$1:$H$14,3+HLOOKUP(Cronograma!J925,Meses!$D$1:$G$2,2,FALSE),FALSE),
IF(P925="En programación",M925,""))</f>
        <v>45400</v>
      </c>
      <c r="S925" s="25" t="str">
        <f t="shared" si="44"/>
        <v>2024/4</v>
      </c>
      <c r="T925" s="21">
        <f>IFERROR(
(VLOOKUP(MONTH(R925),Meses!$B$3:$C$14,2,FALSE)-DAY(R925))/VLOOKUP(MONTH(R925),Meses!$B$3:$C$14,2,FALSE)*U925,
"")</f>
        <v>3722.4</v>
      </c>
      <c r="U925" s="22">
        <f t="shared" si="43"/>
        <v>9306</v>
      </c>
    </row>
    <row r="926" spans="1:21" ht="47.4" hidden="1" thickBot="1" x14ac:dyDescent="0.6">
      <c r="A926" s="10" t="s">
        <v>1187</v>
      </c>
      <c r="B926" s="10" t="s">
        <v>1188</v>
      </c>
      <c r="C926" s="12"/>
      <c r="D926" s="10" t="s">
        <v>74</v>
      </c>
      <c r="E926" s="10" t="s">
        <v>74</v>
      </c>
      <c r="F926" s="10">
        <v>9394</v>
      </c>
      <c r="G926" s="10" t="s">
        <v>15</v>
      </c>
      <c r="H926" s="10" t="s">
        <v>2917</v>
      </c>
      <c r="I926" s="10" t="s">
        <v>43</v>
      </c>
      <c r="J926" s="10" t="s">
        <v>143</v>
      </c>
      <c r="K926" s="10" t="s">
        <v>2895</v>
      </c>
      <c r="L926" s="10" t="s">
        <v>2292</v>
      </c>
      <c r="M926" s="12">
        <v>45400</v>
      </c>
      <c r="N926" s="10" t="s">
        <v>15</v>
      </c>
      <c r="O926" s="10" t="s">
        <v>2057</v>
      </c>
      <c r="P926" s="25" t="str">
        <f>IFERROR(
IF(OR(O926="anulado",O926="stand by"),CONCATENATE(O926,": ",H926),
IF(OR(YEAR(M926)=2022,YEAR(M926)=2023),CONCATENATE("Se activó en ",YEAR(M926)),
IF(AND(OR(O926="En proceso",O926="facturando"),AND(J926="-",M926="")),"Por revisar",
IF(M926="",IF(J926="NUEVAS",CONCATENATE("Estado: ",O926,", ",J926),
IF(L926=Meses!$A$3,"Por revisar",
IF(H926="","Sin registro","En programación Frcst."))),"En programación")))),
"Error")</f>
        <v>En programación</v>
      </c>
      <c r="Q926" s="9" t="str">
        <f t="shared" si="42"/>
        <v/>
      </c>
      <c r="R926" s="25">
        <f>IF(P926="En programación Frcst.",VLOOKUP(L926,Meses!$A$1:$H$14,3+HLOOKUP(Cronograma!J926,Meses!$D$1:$G$2,2,FALSE),FALSE),
IF(P926="En programación",M926,""))</f>
        <v>45400</v>
      </c>
      <c r="S926" s="25" t="str">
        <f t="shared" si="44"/>
        <v>2024/4</v>
      </c>
      <c r="T926" s="21">
        <f>IFERROR(
(VLOOKUP(MONTH(R926),Meses!$B$3:$C$14,2,FALSE)-DAY(R926))/VLOOKUP(MONTH(R926),Meses!$B$3:$C$14,2,FALSE)*U926,
"")</f>
        <v>3757.6000000000004</v>
      </c>
      <c r="U926" s="22">
        <f t="shared" si="43"/>
        <v>9394</v>
      </c>
    </row>
    <row r="927" spans="1:21" ht="47.4" hidden="1" thickBot="1" x14ac:dyDescent="0.6">
      <c r="A927" s="10" t="s">
        <v>1187</v>
      </c>
      <c r="B927" s="10" t="s">
        <v>1189</v>
      </c>
      <c r="C927" s="12"/>
      <c r="D927" s="10" t="s">
        <v>74</v>
      </c>
      <c r="E927" s="10" t="s">
        <v>74</v>
      </c>
      <c r="F927" s="10">
        <v>2926</v>
      </c>
      <c r="G927" s="10" t="s">
        <v>15</v>
      </c>
      <c r="H927" s="10" t="s">
        <v>3311</v>
      </c>
      <c r="I927" s="10" t="s">
        <v>43</v>
      </c>
      <c r="J927" s="10" t="s">
        <v>143</v>
      </c>
      <c r="K927" s="10" t="s">
        <v>2895</v>
      </c>
      <c r="L927" s="10" t="s">
        <v>2292</v>
      </c>
      <c r="M927" s="12">
        <v>45400</v>
      </c>
      <c r="N927" s="10" t="s">
        <v>15</v>
      </c>
      <c r="O927" s="10" t="s">
        <v>3311</v>
      </c>
      <c r="P927" s="25" t="str">
        <f>IFERROR(
IF(OR(O927="anulado",O927="stand by"),CONCATENATE(O927,": ",H927),
IF(OR(YEAR(M927)=2022,YEAR(M927)=2023),CONCATENATE("Se activó en ",YEAR(M927)),
IF(AND(OR(O927="En proceso",O927="facturando"),AND(J927="-",M927="")),"Por revisar",
IF(M927="",IF(J927="NUEVAS",CONCATENATE("Estado: ",O927,", ",J927),
IF(L927=Meses!$A$3,"Por revisar",
IF(H927="","Sin registro","En programación Frcst."))),"En programación")))),
"Error")</f>
        <v>En programación</v>
      </c>
      <c r="Q927" s="9" t="str">
        <f t="shared" si="42"/>
        <v/>
      </c>
      <c r="R927" s="25">
        <f>IF(P927="En programación Frcst.",VLOOKUP(L927,Meses!$A$1:$H$14,3+HLOOKUP(Cronograma!J927,Meses!$D$1:$G$2,2,FALSE),FALSE),
IF(P927="En programación",M927,""))</f>
        <v>45400</v>
      </c>
      <c r="S927" s="25" t="str">
        <f t="shared" si="44"/>
        <v>2024/4</v>
      </c>
      <c r="T927" s="21">
        <f>IFERROR(
(VLOOKUP(MONTH(R927),Meses!$B$3:$C$14,2,FALSE)-DAY(R927))/VLOOKUP(MONTH(R927),Meses!$B$3:$C$14,2,FALSE)*U927,
"")</f>
        <v>1170.4000000000001</v>
      </c>
      <c r="U927" s="22">
        <f t="shared" si="43"/>
        <v>2926</v>
      </c>
    </row>
    <row r="928" spans="1:21" ht="47.4" hidden="1" thickBot="1" x14ac:dyDescent="0.6">
      <c r="A928" s="10" t="s">
        <v>1190</v>
      </c>
      <c r="B928" s="10" t="s">
        <v>1191</v>
      </c>
      <c r="C928" s="12">
        <v>45225</v>
      </c>
      <c r="D928" s="10" t="s">
        <v>862</v>
      </c>
      <c r="E928" s="10" t="s">
        <v>291</v>
      </c>
      <c r="F928" s="10">
        <v>4162</v>
      </c>
      <c r="G928" s="10" t="s">
        <v>15</v>
      </c>
      <c r="H928" s="10" t="s">
        <v>17</v>
      </c>
      <c r="I928" s="10" t="s">
        <v>66</v>
      </c>
      <c r="J928" s="10" t="s">
        <v>19</v>
      </c>
      <c r="K928" s="10" t="s">
        <v>19</v>
      </c>
      <c r="L928" s="10" t="s">
        <v>19</v>
      </c>
      <c r="M928" s="12"/>
      <c r="N928" s="10" t="s">
        <v>20</v>
      </c>
      <c r="O928" s="10" t="s">
        <v>2054</v>
      </c>
      <c r="P928" s="25" t="str">
        <f>IFERROR(
IF(OR(O928="anulado",O928="stand by"),CONCATENATE(O928,": ",H928),
IF(OR(YEAR(M928)=2022,YEAR(M928)=2023),CONCATENATE("Se activó en ",YEAR(M928)),
IF(AND(OR(O928="En proceso",O928="facturando"),AND(J928="-",M928="")),"Por revisar",
IF(M928="",IF(J928="NUEVAS",CONCATENATE("Estado: ",O928,", ",J928),
IF(L928=Meses!$A$3,"Por revisar",
IF(H928="","Sin registro","En programación Frcst."))),"En programación")))),
"Error")</f>
        <v>Por revisar</v>
      </c>
      <c r="Q928" s="9" t="str">
        <f t="shared" si="42"/>
        <v>programación de act. NO, estado: Facturando, Comercializador: DICELER, Etapa: Instalado y Activado</v>
      </c>
      <c r="R928" s="25" t="str">
        <f>IF(P928="En programación Frcst.",VLOOKUP(L928,Meses!$A$1:$H$14,3+HLOOKUP(Cronograma!J928,Meses!$D$1:$G$2,2,FALSE),FALSE),
IF(P928="En programación",M928,""))</f>
        <v/>
      </c>
      <c r="S928" s="25" t="str">
        <f t="shared" si="44"/>
        <v/>
      </c>
      <c r="T928" s="21" t="str">
        <f>IFERROR(
(VLOOKUP(MONTH(R928),Meses!$B$3:$C$14,2,FALSE)-DAY(R928))/VLOOKUP(MONTH(R928),Meses!$B$3:$C$14,2,FALSE)*U928,
"")</f>
        <v/>
      </c>
      <c r="U928" s="22">
        <f t="shared" si="43"/>
        <v>4162</v>
      </c>
    </row>
    <row r="929" spans="1:21" ht="47.4" hidden="1" thickBot="1" x14ac:dyDescent="0.6">
      <c r="A929" s="10" t="s">
        <v>1190</v>
      </c>
      <c r="B929" s="10" t="s">
        <v>1192</v>
      </c>
      <c r="C929" s="12"/>
      <c r="D929" s="10" t="s">
        <v>291</v>
      </c>
      <c r="E929" s="10" t="s">
        <v>291</v>
      </c>
      <c r="F929" s="10">
        <v>6102</v>
      </c>
      <c r="G929" s="10" t="s">
        <v>15</v>
      </c>
      <c r="H929" s="10" t="s">
        <v>2917</v>
      </c>
      <c r="I929" s="10" t="s">
        <v>43</v>
      </c>
      <c r="J929" s="10" t="s">
        <v>143</v>
      </c>
      <c r="K929" s="10" t="s">
        <v>2895</v>
      </c>
      <c r="L929" s="10" t="s">
        <v>2292</v>
      </c>
      <c r="M929" s="12">
        <v>45400</v>
      </c>
      <c r="N929" s="10" t="s">
        <v>15</v>
      </c>
      <c r="O929" s="10" t="s">
        <v>2057</v>
      </c>
      <c r="P929" s="25" t="str">
        <f>IFERROR(
IF(OR(O929="anulado",O929="stand by"),CONCATENATE(O929,": ",H929),
IF(OR(YEAR(M929)=2022,YEAR(M929)=2023),CONCATENATE("Se activó en ",YEAR(M929)),
IF(AND(OR(O929="En proceso",O929="facturando"),AND(J929="-",M929="")),"Por revisar",
IF(M929="",IF(J929="NUEVAS",CONCATENATE("Estado: ",O929,", ",J929),
IF(L929=Meses!$A$3,"Por revisar",
IF(H929="","Sin registro","En programación Frcst."))),"En programación")))),
"Error")</f>
        <v>En programación</v>
      </c>
      <c r="Q929" s="9" t="str">
        <f t="shared" si="42"/>
        <v/>
      </c>
      <c r="R929" s="25">
        <f>IF(P929="En programación Frcst.",VLOOKUP(L929,Meses!$A$1:$H$14,3+HLOOKUP(Cronograma!J929,Meses!$D$1:$G$2,2,FALSE),FALSE),
IF(P929="En programación",M929,""))</f>
        <v>45400</v>
      </c>
      <c r="S929" s="25" t="str">
        <f t="shared" si="44"/>
        <v>2024/4</v>
      </c>
      <c r="T929" s="21">
        <f>IFERROR(
(VLOOKUP(MONTH(R929),Meses!$B$3:$C$14,2,FALSE)-DAY(R929))/VLOOKUP(MONTH(R929),Meses!$B$3:$C$14,2,FALSE)*U929,
"")</f>
        <v>2440.8000000000002</v>
      </c>
      <c r="U929" s="22">
        <f t="shared" si="43"/>
        <v>6102</v>
      </c>
    </row>
    <row r="930" spans="1:21" ht="32.4" hidden="1" thickBot="1" x14ac:dyDescent="0.6">
      <c r="A930" s="10" t="s">
        <v>1193</v>
      </c>
      <c r="B930" s="10" t="s">
        <v>1194</v>
      </c>
      <c r="C930" s="12">
        <v>45197</v>
      </c>
      <c r="D930" s="10" t="s">
        <v>862</v>
      </c>
      <c r="E930" s="10" t="s">
        <v>291</v>
      </c>
      <c r="F930" s="10">
        <v>12134</v>
      </c>
      <c r="G930" s="10" t="s">
        <v>15</v>
      </c>
      <c r="H930" s="10" t="s">
        <v>17</v>
      </c>
      <c r="I930" s="10" t="s">
        <v>66</v>
      </c>
      <c r="J930" s="10" t="s">
        <v>19</v>
      </c>
      <c r="K930" s="10" t="s">
        <v>19</v>
      </c>
      <c r="L930" s="10" t="s">
        <v>19</v>
      </c>
      <c r="M930" s="12"/>
      <c r="N930" s="10" t="s">
        <v>20</v>
      </c>
      <c r="O930" s="10" t="s">
        <v>2054</v>
      </c>
      <c r="P930" s="25" t="str">
        <f>IFERROR(
IF(OR(O930="anulado",O930="stand by"),CONCATENATE(O930,": ",H930),
IF(OR(YEAR(M930)=2022,YEAR(M930)=2023),CONCATENATE("Se activó en ",YEAR(M930)),
IF(AND(OR(O930="En proceso",O930="facturando"),AND(J930="-",M930="")),"Por revisar",
IF(M930="",IF(J930="NUEVAS",CONCATENATE("Estado: ",O930,", ",J930),
IF(L930=Meses!$A$3,"Por revisar",
IF(H930="","Sin registro","En programación Frcst."))),"En programación")))),
"Error")</f>
        <v>Por revisar</v>
      </c>
      <c r="Q930" s="9" t="str">
        <f t="shared" si="42"/>
        <v>programación de act. NO, estado: Facturando, Comercializador: DICELER, Etapa: Instalado y Activado</v>
      </c>
      <c r="R930" s="25" t="str">
        <f>IF(P930="En programación Frcst.",VLOOKUP(L930,Meses!$A$1:$H$14,3+HLOOKUP(Cronograma!J930,Meses!$D$1:$G$2,2,FALSE),FALSE),
IF(P930="En programación",M930,""))</f>
        <v/>
      </c>
      <c r="S930" s="25" t="str">
        <f t="shared" si="44"/>
        <v/>
      </c>
      <c r="T930" s="21" t="str">
        <f>IFERROR(
(VLOOKUP(MONTH(R930),Meses!$B$3:$C$14,2,FALSE)-DAY(R930))/VLOOKUP(MONTH(R930),Meses!$B$3:$C$14,2,FALSE)*U930,
"")</f>
        <v/>
      </c>
      <c r="U930" s="22">
        <f t="shared" si="43"/>
        <v>12134</v>
      </c>
    </row>
    <row r="931" spans="1:21" ht="47.4" hidden="1" thickBot="1" x14ac:dyDescent="0.6">
      <c r="A931" s="10" t="s">
        <v>2410</v>
      </c>
      <c r="B931" s="10" t="s">
        <v>1195</v>
      </c>
      <c r="C931" s="12"/>
      <c r="D931" s="10" t="s">
        <v>171</v>
      </c>
      <c r="E931" s="10" t="s">
        <v>291</v>
      </c>
      <c r="F931" s="10">
        <v>8908</v>
      </c>
      <c r="G931" s="10" t="s">
        <v>15</v>
      </c>
      <c r="H931" s="10" t="s">
        <v>140</v>
      </c>
      <c r="I931" s="10" t="s">
        <v>66</v>
      </c>
      <c r="J931" s="10" t="s">
        <v>292</v>
      </c>
      <c r="K931" s="10" t="s">
        <v>1697</v>
      </c>
      <c r="L931" s="10" t="s">
        <v>1120</v>
      </c>
      <c r="M931" s="12">
        <v>45379</v>
      </c>
      <c r="N931" s="10" t="s">
        <v>15</v>
      </c>
      <c r="O931" s="10" t="s">
        <v>2056</v>
      </c>
      <c r="P931" s="25" t="str">
        <f>IFERROR(
IF(OR(O931="anulado",O931="stand by"),CONCATENATE(O931,": ",H931),
IF(OR(YEAR(M931)=2022,YEAR(M931)=2023),CONCATENATE("Se activó en ",YEAR(M931)),
IF(AND(OR(O931="En proceso",O931="facturando"),AND(J931="-",M931="")),"Por revisar",
IF(M931="",IF(J931="NUEVAS",CONCATENATE("Estado: ",O931,", ",J931),
IF(L931=Meses!$A$3,"Por revisar",
IF(H931="","Sin registro","En programación Frcst."))),"En programación")))),
"Error")</f>
        <v>anulado: Desistido</v>
      </c>
      <c r="Q931" s="9" t="str">
        <f t="shared" si="42"/>
        <v/>
      </c>
      <c r="R931" s="25" t="str">
        <f>IF(P931="En programación Frcst.",VLOOKUP(L931,Meses!$A$1:$H$14,3+HLOOKUP(Cronograma!J931,Meses!$D$1:$G$2,2,FALSE),FALSE),
IF(P931="En programación",M931,""))</f>
        <v/>
      </c>
      <c r="S931" s="25" t="str">
        <f t="shared" si="44"/>
        <v/>
      </c>
      <c r="T931" s="21" t="str">
        <f>IFERROR(
(VLOOKUP(MONTH(R931),Meses!$B$3:$C$14,2,FALSE)-DAY(R931))/VLOOKUP(MONTH(R931),Meses!$B$3:$C$14,2,FALSE)*U931,
"")</f>
        <v/>
      </c>
      <c r="U931" s="22">
        <f t="shared" si="43"/>
        <v>8908</v>
      </c>
    </row>
    <row r="932" spans="1:21" ht="32.4" hidden="1" thickBot="1" x14ac:dyDescent="0.6">
      <c r="A932" s="10" t="s">
        <v>1196</v>
      </c>
      <c r="B932" s="10" t="s">
        <v>1197</v>
      </c>
      <c r="C932" s="12">
        <v>45197</v>
      </c>
      <c r="D932" s="10" t="s">
        <v>862</v>
      </c>
      <c r="E932" s="10" t="s">
        <v>14</v>
      </c>
      <c r="F932" s="10">
        <v>15334</v>
      </c>
      <c r="G932" s="10" t="s">
        <v>15</v>
      </c>
      <c r="H932" s="10" t="s">
        <v>17</v>
      </c>
      <c r="I932" s="10" t="s">
        <v>66</v>
      </c>
      <c r="J932" s="10" t="s">
        <v>19</v>
      </c>
      <c r="K932" s="10" t="s">
        <v>19</v>
      </c>
      <c r="L932" s="10" t="s">
        <v>19</v>
      </c>
      <c r="M932" s="12"/>
      <c r="N932" s="10" t="s">
        <v>20</v>
      </c>
      <c r="O932" s="10" t="s">
        <v>2054</v>
      </c>
      <c r="P932" s="25" t="str">
        <f>IFERROR(
IF(OR(O932="anulado",O932="stand by"),CONCATENATE(O932,": ",H932),
IF(OR(YEAR(M932)=2022,YEAR(M932)=2023),CONCATENATE("Se activó en ",YEAR(M932)),
IF(AND(OR(O932="En proceso",O932="facturando"),AND(J932="-",M932="")),"Por revisar",
IF(M932="",IF(J932="NUEVAS",CONCATENATE("Estado: ",O932,", ",J932),
IF(L932=Meses!$A$3,"Por revisar",
IF(H932="","Sin registro","En programación Frcst."))),"En programación")))),
"Error")</f>
        <v>Por revisar</v>
      </c>
      <c r="Q932" s="9" t="str">
        <f t="shared" si="42"/>
        <v>programación de act. NO, estado: Facturando, Comercializador: DICELER, Etapa: Instalado y Activado</v>
      </c>
      <c r="R932" s="25" t="str">
        <f>IF(P932="En programación Frcst.",VLOOKUP(L932,Meses!$A$1:$H$14,3+HLOOKUP(Cronograma!J932,Meses!$D$1:$G$2,2,FALSE),FALSE),
IF(P932="En programación",M932,""))</f>
        <v/>
      </c>
      <c r="S932" s="25" t="str">
        <f t="shared" si="44"/>
        <v/>
      </c>
      <c r="T932" s="21" t="str">
        <f>IFERROR(
(VLOOKUP(MONTH(R932),Meses!$B$3:$C$14,2,FALSE)-DAY(R932))/VLOOKUP(MONTH(R932),Meses!$B$3:$C$14,2,FALSE)*U932,
"")</f>
        <v/>
      </c>
      <c r="U932" s="22">
        <f t="shared" si="43"/>
        <v>15334</v>
      </c>
    </row>
    <row r="933" spans="1:21" ht="47.4" hidden="1" thickBot="1" x14ac:dyDescent="0.6">
      <c r="A933" s="10" t="s">
        <v>1198</v>
      </c>
      <c r="B933" s="10" t="s">
        <v>1199</v>
      </c>
      <c r="C933" s="12"/>
      <c r="D933" s="10" t="s">
        <v>44</v>
      </c>
      <c r="E933" s="10" t="s">
        <v>44</v>
      </c>
      <c r="F933" s="10">
        <v>2907</v>
      </c>
      <c r="G933" s="10" t="s">
        <v>15</v>
      </c>
      <c r="H933" s="10" t="s">
        <v>2916</v>
      </c>
      <c r="I933" s="10" t="s">
        <v>43</v>
      </c>
      <c r="J933" s="10" t="s">
        <v>143</v>
      </c>
      <c r="K933" s="10" t="s">
        <v>2895</v>
      </c>
      <c r="L933" s="10" t="s">
        <v>2292</v>
      </c>
      <c r="M933" s="12">
        <v>45400</v>
      </c>
      <c r="N933" s="10" t="s">
        <v>15</v>
      </c>
      <c r="O933" s="10" t="s">
        <v>2057</v>
      </c>
      <c r="P933" s="25" t="str">
        <f>IFERROR(
IF(OR(O933="anulado",O933="stand by"),CONCATENATE(O933,": ",H933),
IF(OR(YEAR(M933)=2022,YEAR(M933)=2023),CONCATENATE("Se activó en ",YEAR(M933)),
IF(AND(OR(O933="En proceso",O933="facturando"),AND(J933="-",M933="")),"Por revisar",
IF(M933="",IF(J933="NUEVAS",CONCATENATE("Estado: ",O933,", ",J933),
IF(L933=Meses!$A$3,"Por revisar",
IF(H933="","Sin registro","En programación Frcst."))),"En programación")))),
"Error")</f>
        <v>En programación</v>
      </c>
      <c r="Q933" s="9" t="str">
        <f t="shared" si="42"/>
        <v/>
      </c>
      <c r="R933" s="25">
        <f>IF(P933="En programación Frcst.",VLOOKUP(L933,Meses!$A$1:$H$14,3+HLOOKUP(Cronograma!J933,Meses!$D$1:$G$2,2,FALSE),FALSE),
IF(P933="En programación",M933,""))</f>
        <v>45400</v>
      </c>
      <c r="S933" s="25" t="str">
        <f t="shared" si="44"/>
        <v>2024/4</v>
      </c>
      <c r="T933" s="21">
        <f>IFERROR(
(VLOOKUP(MONTH(R933),Meses!$B$3:$C$14,2,FALSE)-DAY(R933))/VLOOKUP(MONTH(R933),Meses!$B$3:$C$14,2,FALSE)*U933,
"")</f>
        <v>1162.8</v>
      </c>
      <c r="U933" s="22">
        <f t="shared" si="43"/>
        <v>2907</v>
      </c>
    </row>
    <row r="934" spans="1:21" ht="47.4" hidden="1" thickBot="1" x14ac:dyDescent="0.6">
      <c r="A934" s="10" t="s">
        <v>1198</v>
      </c>
      <c r="B934" s="10" t="s">
        <v>1200</v>
      </c>
      <c r="C934" s="12"/>
      <c r="D934" s="10" t="s">
        <v>44</v>
      </c>
      <c r="E934" s="10" t="s">
        <v>44</v>
      </c>
      <c r="F934" s="10">
        <v>7507</v>
      </c>
      <c r="G934" s="10" t="s">
        <v>15</v>
      </c>
      <c r="H934" s="10" t="s">
        <v>2916</v>
      </c>
      <c r="I934" s="10" t="s">
        <v>43</v>
      </c>
      <c r="J934" s="10" t="s">
        <v>143</v>
      </c>
      <c r="K934" s="10" t="s">
        <v>2895</v>
      </c>
      <c r="L934" s="10" t="s">
        <v>2292</v>
      </c>
      <c r="M934" s="12">
        <v>45400</v>
      </c>
      <c r="N934" s="10" t="s">
        <v>15</v>
      </c>
      <c r="O934" s="10" t="s">
        <v>2057</v>
      </c>
      <c r="P934" s="25" t="str">
        <f>IFERROR(
IF(OR(O934="anulado",O934="stand by"),CONCATENATE(O934,": ",H934),
IF(OR(YEAR(M934)=2022,YEAR(M934)=2023),CONCATENATE("Se activó en ",YEAR(M934)),
IF(AND(OR(O934="En proceso",O934="facturando"),AND(J934="-",M934="")),"Por revisar",
IF(M934="",IF(J934="NUEVAS",CONCATENATE("Estado: ",O934,", ",J934),
IF(L934=Meses!$A$3,"Por revisar",
IF(H934="","Sin registro","En programación Frcst."))),"En programación")))),
"Error")</f>
        <v>En programación</v>
      </c>
      <c r="Q934" s="9" t="str">
        <f t="shared" si="42"/>
        <v/>
      </c>
      <c r="R934" s="25">
        <f>IF(P934="En programación Frcst.",VLOOKUP(L934,Meses!$A$1:$H$14,3+HLOOKUP(Cronograma!J934,Meses!$D$1:$G$2,2,FALSE),FALSE),
IF(P934="En programación",M934,""))</f>
        <v>45400</v>
      </c>
      <c r="S934" s="25" t="str">
        <f t="shared" si="44"/>
        <v>2024/4</v>
      </c>
      <c r="T934" s="21">
        <f>IFERROR(
(VLOOKUP(MONTH(R934),Meses!$B$3:$C$14,2,FALSE)-DAY(R934))/VLOOKUP(MONTH(R934),Meses!$B$3:$C$14,2,FALSE)*U934,
"")</f>
        <v>3002.8</v>
      </c>
      <c r="U934" s="22">
        <f t="shared" si="43"/>
        <v>7507</v>
      </c>
    </row>
    <row r="935" spans="1:21" ht="47.4" hidden="1" thickBot="1" x14ac:dyDescent="0.6">
      <c r="A935" s="10" t="s">
        <v>1198</v>
      </c>
      <c r="B935" s="10" t="s">
        <v>1201</v>
      </c>
      <c r="C935" s="12"/>
      <c r="D935" s="10" t="s">
        <v>44</v>
      </c>
      <c r="E935" s="10" t="s">
        <v>44</v>
      </c>
      <c r="F935" s="10">
        <v>14160</v>
      </c>
      <c r="G935" s="10" t="s">
        <v>15</v>
      </c>
      <c r="H935" s="10" t="s">
        <v>2916</v>
      </c>
      <c r="I935" s="10" t="s">
        <v>43</v>
      </c>
      <c r="J935" s="10" t="s">
        <v>143</v>
      </c>
      <c r="K935" s="10" t="s">
        <v>2895</v>
      </c>
      <c r="L935" s="10" t="s">
        <v>2292</v>
      </c>
      <c r="M935" s="12">
        <v>45400</v>
      </c>
      <c r="N935" s="10" t="s">
        <v>15</v>
      </c>
      <c r="O935" s="10" t="s">
        <v>2057</v>
      </c>
      <c r="P935" s="25" t="str">
        <f>IFERROR(
IF(OR(O935="anulado",O935="stand by"),CONCATENATE(O935,": ",H935),
IF(OR(YEAR(M935)=2022,YEAR(M935)=2023),CONCATENATE("Se activó en ",YEAR(M935)),
IF(AND(OR(O935="En proceso",O935="facturando"),AND(J935="-",M935="")),"Por revisar",
IF(M935="",IF(J935="NUEVAS",CONCATENATE("Estado: ",O935,", ",J935),
IF(L935=Meses!$A$3,"Por revisar",
IF(H935="","Sin registro","En programación Frcst."))),"En programación")))),
"Error")</f>
        <v>En programación</v>
      </c>
      <c r="Q935" s="9" t="str">
        <f t="shared" si="42"/>
        <v/>
      </c>
      <c r="R935" s="25">
        <f>IF(P935="En programación Frcst.",VLOOKUP(L935,Meses!$A$1:$H$14,3+HLOOKUP(Cronograma!J935,Meses!$D$1:$G$2,2,FALSE),FALSE),
IF(P935="En programación",M935,""))</f>
        <v>45400</v>
      </c>
      <c r="S935" s="25" t="str">
        <f t="shared" si="44"/>
        <v>2024/4</v>
      </c>
      <c r="T935" s="21">
        <f>IFERROR(
(VLOOKUP(MONTH(R935),Meses!$B$3:$C$14,2,FALSE)-DAY(R935))/VLOOKUP(MONTH(R935),Meses!$B$3:$C$14,2,FALSE)*U935,
"")</f>
        <v>5664</v>
      </c>
      <c r="U935" s="22">
        <f t="shared" si="43"/>
        <v>14160</v>
      </c>
    </row>
    <row r="936" spans="1:21" ht="109.8" hidden="1" thickBot="1" x14ac:dyDescent="0.6">
      <c r="A936" s="10" t="s">
        <v>1202</v>
      </c>
      <c r="B936" s="10" t="s">
        <v>1203</v>
      </c>
      <c r="C936" s="12">
        <v>45197</v>
      </c>
      <c r="D936" s="10" t="s">
        <v>65</v>
      </c>
      <c r="E936" s="10" t="s">
        <v>44</v>
      </c>
      <c r="F936" s="10">
        <v>3817</v>
      </c>
      <c r="G936" s="10" t="s">
        <v>15</v>
      </c>
      <c r="H936" s="10" t="s">
        <v>17</v>
      </c>
      <c r="I936" s="10" t="s">
        <v>66</v>
      </c>
      <c r="J936" s="10" t="s">
        <v>19</v>
      </c>
      <c r="K936" s="10" t="s">
        <v>19</v>
      </c>
      <c r="L936" s="10" t="s">
        <v>19</v>
      </c>
      <c r="M936" s="12"/>
      <c r="N936" s="10" t="s">
        <v>20</v>
      </c>
      <c r="O936" s="10" t="s">
        <v>2054</v>
      </c>
      <c r="P936" s="25" t="str">
        <f>IFERROR(
IF(OR(O936="anulado",O936="stand by"),CONCATENATE(O936,": ",H936),
IF(OR(YEAR(M936)=2022,YEAR(M936)=2023),CONCATENATE("Se activó en ",YEAR(M936)),
IF(AND(OR(O936="En proceso",O936="facturando"),AND(J936="-",M936="")),"Por revisar",
IF(M936="",IF(J936="NUEVAS",CONCATENATE("Estado: ",O936,", ",J936),
IF(L936=Meses!$A$3,"Por revisar",
IF(H936="","Sin registro","En programación Frcst."))),"En programación")))),
"Error")</f>
        <v>Por revisar</v>
      </c>
      <c r="Q936" s="9" t="str">
        <f t="shared" si="42"/>
        <v>programación de act. NO, estado: Facturando, Comercializador: NEU, Etapa: Instalado y Activado</v>
      </c>
      <c r="R936" s="25" t="str">
        <f>IF(P936="En programación Frcst.",VLOOKUP(L936,Meses!$A$1:$H$14,3+HLOOKUP(Cronograma!J936,Meses!$D$1:$G$2,2,FALSE),FALSE),
IF(P936="En programación",M936,""))</f>
        <v/>
      </c>
      <c r="S936" s="25" t="str">
        <f t="shared" si="44"/>
        <v/>
      </c>
      <c r="T936" s="21" t="str">
        <f>IFERROR(
(VLOOKUP(MONTH(R936),Meses!$B$3:$C$14,2,FALSE)-DAY(R936))/VLOOKUP(MONTH(R936),Meses!$B$3:$C$14,2,FALSE)*U936,
"")</f>
        <v/>
      </c>
      <c r="U936" s="22">
        <f t="shared" si="43"/>
        <v>3817</v>
      </c>
    </row>
    <row r="937" spans="1:21" ht="109.8" hidden="1" thickBot="1" x14ac:dyDescent="0.6">
      <c r="A937" s="10" t="s">
        <v>1202</v>
      </c>
      <c r="B937" s="10" t="s">
        <v>1204</v>
      </c>
      <c r="C937" s="12">
        <v>45197</v>
      </c>
      <c r="D937" s="10" t="s">
        <v>65</v>
      </c>
      <c r="E937" s="10" t="s">
        <v>44</v>
      </c>
      <c r="F937" s="10">
        <v>3703</v>
      </c>
      <c r="G937" s="10" t="s">
        <v>15</v>
      </c>
      <c r="H937" s="10" t="s">
        <v>2406</v>
      </c>
      <c r="I937" s="10" t="s">
        <v>66</v>
      </c>
      <c r="J937" s="10" t="s">
        <v>277</v>
      </c>
      <c r="K937" s="10" t="s">
        <v>2905</v>
      </c>
      <c r="L937" s="10" t="s">
        <v>2297</v>
      </c>
      <c r="M937" s="12"/>
      <c r="N937" s="10" t="s">
        <v>20</v>
      </c>
      <c r="O937" s="10" t="s">
        <v>2054</v>
      </c>
      <c r="P937" s="25" t="str">
        <f>IFERROR(
IF(OR(O937="anulado",O937="stand by"),CONCATENATE(O937,": ",H937),
IF(OR(YEAR(M937)=2022,YEAR(M937)=2023),CONCATENATE("Se activó en ",YEAR(M937)),
IF(AND(OR(O937="En proceso",O937="facturando"),AND(J937="-",M937="")),"Por revisar",
IF(M937="",IF(J937="NUEVAS",CONCATENATE("Estado: ",O937,", ",J937),
IF(L937=Meses!$A$3,"Por revisar",
IF(H937="","Sin registro","En programación Frcst."))),"En programación")))),
"Error")</f>
        <v>En programación Frcst.</v>
      </c>
      <c r="Q937" s="9" t="str">
        <f t="shared" si="42"/>
        <v/>
      </c>
      <c r="R937" s="25">
        <f>IF(P937="En programación Frcst.",VLOOKUP(L937,Meses!$A$1:$H$14,3+HLOOKUP(Cronograma!J937,Meses!$D$1:$G$2,2,FALSE),FALSE),
IF(P937="En programación",M937,""))</f>
        <v>0</v>
      </c>
      <c r="S937" s="25" t="str">
        <f t="shared" si="44"/>
        <v>1900/1</v>
      </c>
      <c r="T937" s="21">
        <f>IFERROR(
(VLOOKUP(MONTH(R937),Meses!$B$3:$C$14,2,FALSE)-DAY(R937))/VLOOKUP(MONTH(R937),Meses!$B$3:$C$14,2,FALSE)*U937,
"")</f>
        <v>3703</v>
      </c>
      <c r="U937" s="22">
        <f t="shared" si="43"/>
        <v>3703</v>
      </c>
    </row>
    <row r="938" spans="1:21" ht="63" hidden="1" thickBot="1" x14ac:dyDescent="0.6">
      <c r="A938" s="10" t="s">
        <v>1205</v>
      </c>
      <c r="B938" s="10" t="s">
        <v>1206</v>
      </c>
      <c r="C938" s="12"/>
      <c r="D938" s="10" t="s">
        <v>1207</v>
      </c>
      <c r="E938" s="10" t="s">
        <v>23</v>
      </c>
      <c r="F938" s="10">
        <v>7000</v>
      </c>
      <c r="G938" s="10" t="s">
        <v>15</v>
      </c>
      <c r="H938" s="10" t="s">
        <v>140</v>
      </c>
      <c r="I938" s="10" t="s">
        <v>66</v>
      </c>
      <c r="J938" s="10" t="s">
        <v>19</v>
      </c>
      <c r="K938" s="10" t="s">
        <v>19</v>
      </c>
      <c r="L938" s="10" t="s">
        <v>19</v>
      </c>
      <c r="M938" s="12"/>
      <c r="N938" s="10" t="s">
        <v>15</v>
      </c>
      <c r="O938" s="10" t="s">
        <v>2056</v>
      </c>
      <c r="P938" s="25" t="str">
        <f>IFERROR(
IF(OR(O938="anulado",O938="stand by"),CONCATENATE(O938,": ",H938),
IF(OR(YEAR(M938)=2022,YEAR(M938)=2023),CONCATENATE("Se activó en ",YEAR(M938)),
IF(AND(OR(O938="En proceso",O938="facturando"),AND(J938="-",M938="")),"Por revisar",
IF(M938="",IF(J938="NUEVAS",CONCATENATE("Estado: ",O938,", ",J938),
IF(L938=Meses!$A$3,"Por revisar",
IF(H938="","Sin registro","En programación Frcst."))),"En programación")))),
"Error")</f>
        <v>anulado: Desistido</v>
      </c>
      <c r="Q938" s="9" t="str">
        <f t="shared" si="42"/>
        <v/>
      </c>
      <c r="R938" s="25" t="str">
        <f>IF(P938="En programación Frcst.",VLOOKUP(L938,Meses!$A$1:$H$14,3+HLOOKUP(Cronograma!J938,Meses!$D$1:$G$2,2,FALSE),FALSE),
IF(P938="En programación",M938,""))</f>
        <v/>
      </c>
      <c r="S938" s="25" t="str">
        <f t="shared" si="44"/>
        <v/>
      </c>
      <c r="T938" s="21" t="str">
        <f>IFERROR(
(VLOOKUP(MONTH(R938),Meses!$B$3:$C$14,2,FALSE)-DAY(R938))/VLOOKUP(MONTH(R938),Meses!$B$3:$C$14,2,FALSE)*U938,
"")</f>
        <v/>
      </c>
      <c r="U938" s="22">
        <f t="shared" si="43"/>
        <v>7000</v>
      </c>
    </row>
    <row r="939" spans="1:21" ht="31.8" hidden="1" thickBot="1" x14ac:dyDescent="0.6">
      <c r="A939" s="10" t="s">
        <v>1208</v>
      </c>
      <c r="B939" s="10" t="s">
        <v>1209</v>
      </c>
      <c r="C939" s="12"/>
      <c r="D939" s="10" t="s">
        <v>1496</v>
      </c>
      <c r="E939" s="10" t="s">
        <v>14</v>
      </c>
      <c r="F939" s="10">
        <v>1723</v>
      </c>
      <c r="G939" s="10" t="s">
        <v>15</v>
      </c>
      <c r="H939" s="10" t="s">
        <v>2917</v>
      </c>
      <c r="I939" s="10" t="s">
        <v>66</v>
      </c>
      <c r="J939" s="10" t="s">
        <v>292</v>
      </c>
      <c r="K939" s="10" t="s">
        <v>1697</v>
      </c>
      <c r="L939" s="10" t="s">
        <v>1120</v>
      </c>
      <c r="M939" s="12">
        <v>45379</v>
      </c>
      <c r="N939" s="10" t="s">
        <v>15</v>
      </c>
      <c r="O939" s="10" t="s">
        <v>2057</v>
      </c>
      <c r="P939" s="25" t="str">
        <f>IFERROR(
IF(OR(O939="anulado",O939="stand by"),CONCATENATE(O939,": ",H939),
IF(OR(YEAR(M939)=2022,YEAR(M939)=2023),CONCATENATE("Se activó en ",YEAR(M939)),
IF(AND(OR(O939="En proceso",O939="facturando"),AND(J939="-",M939="")),"Por revisar",
IF(M939="",IF(J939="NUEVAS",CONCATENATE("Estado: ",O939,", ",J939),
IF(L939=Meses!$A$3,"Por revisar",
IF(H939="","Sin registro","En programación Frcst."))),"En programación")))),
"Error")</f>
        <v>En programación</v>
      </c>
      <c r="Q939" s="9" t="str">
        <f t="shared" si="42"/>
        <v/>
      </c>
      <c r="R939" s="25">
        <f>IF(P939="En programación Frcst.",VLOOKUP(L939,Meses!$A$1:$H$14,3+HLOOKUP(Cronograma!J939,Meses!$D$1:$G$2,2,FALSE),FALSE),
IF(P939="En programación",M939,""))</f>
        <v>45379</v>
      </c>
      <c r="S939" s="25" t="str">
        <f t="shared" si="44"/>
        <v>2024/3</v>
      </c>
      <c r="T939" s="21">
        <f>IFERROR(
(VLOOKUP(MONTH(R939),Meses!$B$3:$C$14,2,FALSE)-DAY(R939))/VLOOKUP(MONTH(R939),Meses!$B$3:$C$14,2,FALSE)*U939,
"")</f>
        <v>166.74193548387098</v>
      </c>
      <c r="U939" s="22">
        <f t="shared" si="43"/>
        <v>1723</v>
      </c>
    </row>
    <row r="940" spans="1:21" ht="31.8" hidden="1" thickBot="1" x14ac:dyDescent="0.6">
      <c r="A940" s="10" t="s">
        <v>1208</v>
      </c>
      <c r="B940" s="10" t="s">
        <v>1210</v>
      </c>
      <c r="C940" s="12"/>
      <c r="D940" s="10" t="s">
        <v>1496</v>
      </c>
      <c r="E940" s="10" t="s">
        <v>14</v>
      </c>
      <c r="F940" s="10">
        <v>2821</v>
      </c>
      <c r="G940" s="10" t="s">
        <v>15</v>
      </c>
      <c r="H940" s="10" t="s">
        <v>2917</v>
      </c>
      <c r="I940" s="10" t="s">
        <v>66</v>
      </c>
      <c r="J940" s="10" t="s">
        <v>292</v>
      </c>
      <c r="K940" s="10" t="s">
        <v>1697</v>
      </c>
      <c r="L940" s="10" t="s">
        <v>1120</v>
      </c>
      <c r="M940" s="12">
        <v>45379</v>
      </c>
      <c r="N940" s="10" t="s">
        <v>15</v>
      </c>
      <c r="O940" s="10" t="s">
        <v>2057</v>
      </c>
      <c r="P940" s="25" t="str">
        <f>IFERROR(
IF(OR(O940="anulado",O940="stand by"),CONCATENATE(O940,": ",H940),
IF(OR(YEAR(M940)=2022,YEAR(M940)=2023),CONCATENATE("Se activó en ",YEAR(M940)),
IF(AND(OR(O940="En proceso",O940="facturando"),AND(J940="-",M940="")),"Por revisar",
IF(M940="",IF(J940="NUEVAS",CONCATENATE("Estado: ",O940,", ",J940),
IF(L940=Meses!$A$3,"Por revisar",
IF(H940="","Sin registro","En programación Frcst."))),"En programación")))),
"Error")</f>
        <v>En programación</v>
      </c>
      <c r="Q940" s="9" t="str">
        <f t="shared" si="42"/>
        <v/>
      </c>
      <c r="R940" s="25">
        <f>IF(P940="En programación Frcst.",VLOOKUP(L940,Meses!$A$1:$H$14,3+HLOOKUP(Cronograma!J940,Meses!$D$1:$G$2,2,FALSE),FALSE),
IF(P940="En programación",M940,""))</f>
        <v>45379</v>
      </c>
      <c r="S940" s="25" t="str">
        <f t="shared" si="44"/>
        <v>2024/3</v>
      </c>
      <c r="T940" s="21">
        <f>IFERROR(
(VLOOKUP(MONTH(R940),Meses!$B$3:$C$14,2,FALSE)-DAY(R940))/VLOOKUP(MONTH(R940),Meses!$B$3:$C$14,2,FALSE)*U940,
"")</f>
        <v>273</v>
      </c>
      <c r="U940" s="22">
        <f t="shared" si="43"/>
        <v>2821</v>
      </c>
    </row>
    <row r="941" spans="1:21" ht="31.8" hidden="1" thickBot="1" x14ac:dyDescent="0.6">
      <c r="A941" s="10" t="s">
        <v>1208</v>
      </c>
      <c r="B941" s="10" t="s">
        <v>1211</v>
      </c>
      <c r="C941" s="12"/>
      <c r="D941" s="10" t="s">
        <v>1496</v>
      </c>
      <c r="E941" s="10" t="s">
        <v>14</v>
      </c>
      <c r="F941" s="10">
        <v>2168</v>
      </c>
      <c r="G941" s="10" t="s">
        <v>15</v>
      </c>
      <c r="H941" s="10" t="s">
        <v>2917</v>
      </c>
      <c r="I941" s="10" t="s">
        <v>66</v>
      </c>
      <c r="J941" s="10" t="s">
        <v>292</v>
      </c>
      <c r="K941" s="10" t="s">
        <v>1697</v>
      </c>
      <c r="L941" s="10" t="s">
        <v>1120</v>
      </c>
      <c r="M941" s="12">
        <v>45379</v>
      </c>
      <c r="N941" s="10" t="s">
        <v>15</v>
      </c>
      <c r="O941" s="10" t="s">
        <v>2057</v>
      </c>
      <c r="P941" s="25" t="str">
        <f>IFERROR(
IF(OR(O941="anulado",O941="stand by"),CONCATENATE(O941,": ",H941),
IF(OR(YEAR(M941)=2022,YEAR(M941)=2023),CONCATENATE("Se activó en ",YEAR(M941)),
IF(AND(OR(O941="En proceso",O941="facturando"),AND(J941="-",M941="")),"Por revisar",
IF(M941="",IF(J941="NUEVAS",CONCATENATE("Estado: ",O941,", ",J941),
IF(L941=Meses!$A$3,"Por revisar",
IF(H941="","Sin registro","En programación Frcst."))),"En programación")))),
"Error")</f>
        <v>En programación</v>
      </c>
      <c r="Q941" s="9" t="str">
        <f t="shared" si="42"/>
        <v/>
      </c>
      <c r="R941" s="25">
        <f>IF(P941="En programación Frcst.",VLOOKUP(L941,Meses!$A$1:$H$14,3+HLOOKUP(Cronograma!J941,Meses!$D$1:$G$2,2,FALSE),FALSE),
IF(P941="En programación",M941,""))</f>
        <v>45379</v>
      </c>
      <c r="S941" s="25" t="str">
        <f t="shared" si="44"/>
        <v>2024/3</v>
      </c>
      <c r="T941" s="21">
        <f>IFERROR(
(VLOOKUP(MONTH(R941),Meses!$B$3:$C$14,2,FALSE)-DAY(R941))/VLOOKUP(MONTH(R941),Meses!$B$3:$C$14,2,FALSE)*U941,
"")</f>
        <v>209.80645161290323</v>
      </c>
      <c r="U941" s="22">
        <f t="shared" si="43"/>
        <v>2168</v>
      </c>
    </row>
    <row r="942" spans="1:21" ht="31.8" hidden="1" thickBot="1" x14ac:dyDescent="0.6">
      <c r="A942" s="10" t="s">
        <v>1208</v>
      </c>
      <c r="B942" s="10" t="s">
        <v>1212</v>
      </c>
      <c r="C942" s="12"/>
      <c r="D942" s="10" t="s">
        <v>1496</v>
      </c>
      <c r="E942" s="10" t="s">
        <v>14</v>
      </c>
      <c r="F942" s="10">
        <v>1139</v>
      </c>
      <c r="G942" s="10" t="s">
        <v>15</v>
      </c>
      <c r="H942" s="10" t="s">
        <v>2917</v>
      </c>
      <c r="I942" s="10" t="s">
        <v>66</v>
      </c>
      <c r="J942" s="10" t="s">
        <v>292</v>
      </c>
      <c r="K942" s="10" t="s">
        <v>1697</v>
      </c>
      <c r="L942" s="10" t="s">
        <v>1120</v>
      </c>
      <c r="M942" s="12">
        <v>45379</v>
      </c>
      <c r="N942" s="10" t="s">
        <v>15</v>
      </c>
      <c r="O942" s="10" t="s">
        <v>2057</v>
      </c>
      <c r="P942" s="25" t="str">
        <f>IFERROR(
IF(OR(O942="anulado",O942="stand by"),CONCATENATE(O942,": ",H942),
IF(OR(YEAR(M942)=2022,YEAR(M942)=2023),CONCATENATE("Se activó en ",YEAR(M942)),
IF(AND(OR(O942="En proceso",O942="facturando"),AND(J942="-",M942="")),"Por revisar",
IF(M942="",IF(J942="NUEVAS",CONCATENATE("Estado: ",O942,", ",J942),
IF(L942=Meses!$A$3,"Por revisar",
IF(H942="","Sin registro","En programación Frcst."))),"En programación")))),
"Error")</f>
        <v>En programación</v>
      </c>
      <c r="Q942" s="9" t="str">
        <f t="shared" si="42"/>
        <v/>
      </c>
      <c r="R942" s="25">
        <f>IF(P942="En programación Frcst.",VLOOKUP(L942,Meses!$A$1:$H$14,3+HLOOKUP(Cronograma!J942,Meses!$D$1:$G$2,2,FALSE),FALSE),
IF(P942="En programación",M942,""))</f>
        <v>45379</v>
      </c>
      <c r="S942" s="25" t="str">
        <f t="shared" si="44"/>
        <v>2024/3</v>
      </c>
      <c r="T942" s="21">
        <f>IFERROR(
(VLOOKUP(MONTH(R942),Meses!$B$3:$C$14,2,FALSE)-DAY(R942))/VLOOKUP(MONTH(R942),Meses!$B$3:$C$14,2,FALSE)*U942,
"")</f>
        <v>110.2258064516129</v>
      </c>
      <c r="U942" s="22">
        <f t="shared" si="43"/>
        <v>1139</v>
      </c>
    </row>
    <row r="943" spans="1:21" ht="32.4" hidden="1" thickBot="1" x14ac:dyDescent="0.6">
      <c r="A943" s="10" t="s">
        <v>1213</v>
      </c>
      <c r="B943" s="10" t="s">
        <v>1214</v>
      </c>
      <c r="C943" s="12">
        <v>45211</v>
      </c>
      <c r="D943" s="10" t="s">
        <v>862</v>
      </c>
      <c r="E943" s="10" t="s">
        <v>14</v>
      </c>
      <c r="F943" s="10">
        <v>6020</v>
      </c>
      <c r="G943" s="10" t="s">
        <v>15</v>
      </c>
      <c r="H943" s="10" t="s">
        <v>17</v>
      </c>
      <c r="I943" s="10" t="s">
        <v>66</v>
      </c>
      <c r="J943" s="10" t="s">
        <v>19</v>
      </c>
      <c r="K943" s="10" t="s">
        <v>19</v>
      </c>
      <c r="L943" s="10" t="s">
        <v>19</v>
      </c>
      <c r="M943" s="12"/>
      <c r="N943" s="10" t="s">
        <v>20</v>
      </c>
      <c r="O943" s="10" t="s">
        <v>2054</v>
      </c>
      <c r="P943" s="25" t="str">
        <f>IFERROR(
IF(OR(O943="anulado",O943="stand by"),CONCATENATE(O943,": ",H943),
IF(OR(YEAR(M943)=2022,YEAR(M943)=2023),CONCATENATE("Se activó en ",YEAR(M943)),
IF(AND(OR(O943="En proceso",O943="facturando"),AND(J943="-",M943="")),"Por revisar",
IF(M943="",IF(J943="NUEVAS",CONCATENATE("Estado: ",O943,", ",J943),
IF(L943=Meses!$A$3,"Por revisar",
IF(H943="","Sin registro","En programación Frcst."))),"En programación")))),
"Error")</f>
        <v>Por revisar</v>
      </c>
      <c r="Q943" s="9" t="str">
        <f t="shared" si="42"/>
        <v>programación de act. NO, estado: Facturando, Comercializador: DICELER, Etapa: Instalado y Activado</v>
      </c>
      <c r="R943" s="25" t="str">
        <f>IF(P943="En programación Frcst.",VLOOKUP(L943,Meses!$A$1:$H$14,3+HLOOKUP(Cronograma!J943,Meses!$D$1:$G$2,2,FALSE),FALSE),
IF(P943="En programación",M943,""))</f>
        <v/>
      </c>
      <c r="S943" s="25" t="str">
        <f t="shared" si="44"/>
        <v/>
      </c>
      <c r="T943" s="21" t="str">
        <f>IFERROR(
(VLOOKUP(MONTH(R943),Meses!$B$3:$C$14,2,FALSE)-DAY(R943))/VLOOKUP(MONTH(R943),Meses!$B$3:$C$14,2,FALSE)*U943,
"")</f>
        <v/>
      </c>
      <c r="U943" s="22">
        <f t="shared" si="43"/>
        <v>6020</v>
      </c>
    </row>
    <row r="944" spans="1:21" ht="63" hidden="1" thickBot="1" x14ac:dyDescent="0.6">
      <c r="A944" s="10" t="s">
        <v>1215</v>
      </c>
      <c r="B944" s="10" t="s">
        <v>1216</v>
      </c>
      <c r="C944" s="12"/>
      <c r="D944" s="10" t="s">
        <v>1207</v>
      </c>
      <c r="E944" s="10" t="s">
        <v>23</v>
      </c>
      <c r="F944" s="10">
        <v>7300</v>
      </c>
      <c r="G944" s="10" t="s">
        <v>15</v>
      </c>
      <c r="H944" s="10" t="s">
        <v>140</v>
      </c>
      <c r="I944" s="10" t="s">
        <v>66</v>
      </c>
      <c r="J944" s="10" t="s">
        <v>19</v>
      </c>
      <c r="K944" s="10" t="s">
        <v>19</v>
      </c>
      <c r="L944" s="10" t="s">
        <v>19</v>
      </c>
      <c r="M944" s="12"/>
      <c r="N944" s="10" t="s">
        <v>15</v>
      </c>
      <c r="O944" s="10" t="s">
        <v>2056</v>
      </c>
      <c r="P944" s="25" t="str">
        <f>IFERROR(
IF(OR(O944="anulado",O944="stand by"),CONCATENATE(O944,": ",H944),
IF(OR(YEAR(M944)=2022,YEAR(M944)=2023),CONCATENATE("Se activó en ",YEAR(M944)),
IF(AND(OR(O944="En proceso",O944="facturando"),AND(J944="-",M944="")),"Por revisar",
IF(M944="",IF(J944="NUEVAS",CONCATENATE("Estado: ",O944,", ",J944),
IF(L944=Meses!$A$3,"Por revisar",
IF(H944="","Sin registro","En programación Frcst."))),"En programación")))),
"Error")</f>
        <v>anulado: Desistido</v>
      </c>
      <c r="Q944" s="9" t="str">
        <f t="shared" si="42"/>
        <v/>
      </c>
      <c r="R944" s="25" t="str">
        <f>IF(P944="En programación Frcst.",VLOOKUP(L944,Meses!$A$1:$H$14,3+HLOOKUP(Cronograma!J944,Meses!$D$1:$G$2,2,FALSE),FALSE),
IF(P944="En programación",M944,""))</f>
        <v/>
      </c>
      <c r="S944" s="25" t="str">
        <f t="shared" si="44"/>
        <v/>
      </c>
      <c r="T944" s="21" t="str">
        <f>IFERROR(
(VLOOKUP(MONTH(R944),Meses!$B$3:$C$14,2,FALSE)-DAY(R944))/VLOOKUP(MONTH(R944),Meses!$B$3:$C$14,2,FALSE)*U944,
"")</f>
        <v/>
      </c>
      <c r="U944" s="22">
        <f t="shared" si="43"/>
        <v>7300</v>
      </c>
    </row>
    <row r="945" spans="1:21" ht="47.4" hidden="1" thickBot="1" x14ac:dyDescent="0.6">
      <c r="A945" s="10" t="s">
        <v>1217</v>
      </c>
      <c r="B945" s="10" t="s">
        <v>1218</v>
      </c>
      <c r="C945" s="12"/>
      <c r="D945" s="10" t="s">
        <v>14</v>
      </c>
      <c r="E945" s="10" t="s">
        <v>14</v>
      </c>
      <c r="F945" s="10">
        <v>73872</v>
      </c>
      <c r="G945" s="10" t="s">
        <v>15</v>
      </c>
      <c r="H945" s="10" t="s">
        <v>2917</v>
      </c>
      <c r="I945" s="10" t="s">
        <v>18</v>
      </c>
      <c r="J945" s="10" t="s">
        <v>277</v>
      </c>
      <c r="K945" s="10" t="s">
        <v>3327</v>
      </c>
      <c r="L945" s="10" t="s">
        <v>2292</v>
      </c>
      <c r="M945" s="12">
        <v>45400</v>
      </c>
      <c r="N945" s="10" t="s">
        <v>15</v>
      </c>
      <c r="O945" s="10" t="s">
        <v>2057</v>
      </c>
      <c r="P945" s="25" t="str">
        <f>IFERROR(
IF(OR(O945="anulado",O945="stand by"),CONCATENATE(O945,": ",H945),
IF(OR(YEAR(M945)=2022,YEAR(M945)=2023),CONCATENATE("Se activó en ",YEAR(M945)),
IF(AND(OR(O945="En proceso",O945="facturando"),AND(J945="-",M945="")),"Por revisar",
IF(M945="",IF(J945="NUEVAS",CONCATENATE("Estado: ",O945,", ",J945),
IF(L945=Meses!$A$3,"Por revisar",
IF(H945="","Sin registro","En programación Frcst."))),"En programación")))),
"Error")</f>
        <v>En programación</v>
      </c>
      <c r="Q945" s="9" t="str">
        <f t="shared" si="42"/>
        <v/>
      </c>
      <c r="R945" s="25">
        <f>IF(P945="En programación Frcst.",VLOOKUP(L945,Meses!$A$1:$H$14,3+HLOOKUP(Cronograma!J945,Meses!$D$1:$G$2,2,FALSE),FALSE),
IF(P945="En programación",M945,""))</f>
        <v>45400</v>
      </c>
      <c r="S945" s="25" t="str">
        <f t="shared" si="44"/>
        <v>2024/4</v>
      </c>
      <c r="T945" s="21">
        <f>IFERROR(
(VLOOKUP(MONTH(R945),Meses!$B$3:$C$14,2,FALSE)-DAY(R945))/VLOOKUP(MONTH(R945),Meses!$B$3:$C$14,2,FALSE)*U945,
"")</f>
        <v>29548.800000000003</v>
      </c>
      <c r="U945" s="22">
        <f t="shared" si="43"/>
        <v>73872</v>
      </c>
    </row>
    <row r="946" spans="1:21" ht="47.4" hidden="1" thickBot="1" x14ac:dyDescent="0.6">
      <c r="A946" s="10" t="s">
        <v>1217</v>
      </c>
      <c r="B946" s="10" t="s">
        <v>1219</v>
      </c>
      <c r="C946" s="12">
        <v>45351</v>
      </c>
      <c r="D946" s="10" t="s">
        <v>14</v>
      </c>
      <c r="E946" s="10" t="s">
        <v>14</v>
      </c>
      <c r="F946" s="10">
        <v>38685</v>
      </c>
      <c r="G946" s="10" t="s">
        <v>15</v>
      </c>
      <c r="H946" s="10" t="s">
        <v>2406</v>
      </c>
      <c r="I946" s="10" t="s">
        <v>18</v>
      </c>
      <c r="J946" s="10" t="s">
        <v>292</v>
      </c>
      <c r="K946" s="10" t="s">
        <v>1654</v>
      </c>
      <c r="L946" s="10" t="s">
        <v>748</v>
      </c>
      <c r="M946" s="12"/>
      <c r="N946" s="10" t="s">
        <v>15</v>
      </c>
      <c r="O946" s="10" t="s">
        <v>2054</v>
      </c>
      <c r="P946" s="25" t="str">
        <f>IFERROR(
IF(OR(O946="anulado",O946="stand by"),CONCATENATE(O946,": ",H946),
IF(OR(YEAR(M946)=2022,YEAR(M946)=2023),CONCATENATE("Se activó en ",YEAR(M946)),
IF(AND(OR(O946="En proceso",O946="facturando"),AND(J946="-",M946="")),"Por revisar",
IF(M946="",IF(J946="NUEVAS",CONCATENATE("Estado: ",O946,", ",J946),
IF(L946=Meses!$A$3,"Por revisar",
IF(H946="","Sin registro","En programación Frcst."))),"En programación")))),
"Error")</f>
        <v>En programación Frcst.</v>
      </c>
      <c r="Q946" s="9" t="str">
        <f t="shared" si="42"/>
        <v/>
      </c>
      <c r="R946" s="25">
        <f>IF(P946="En programación Frcst.",VLOOKUP(L946,Meses!$A$1:$H$14,3+HLOOKUP(Cronograma!J946,Meses!$D$1:$G$2,2,FALSE),FALSE),
IF(P946="En programación",M946,""))</f>
        <v>45344</v>
      </c>
      <c r="S946" s="25" t="str">
        <f t="shared" si="44"/>
        <v>2024/2</v>
      </c>
      <c r="T946" s="21">
        <f>IFERROR(
(VLOOKUP(MONTH(R946),Meses!$B$3:$C$14,2,FALSE)-DAY(R946))/VLOOKUP(MONTH(R946),Meses!$B$3:$C$14,2,FALSE)*U946,
"")</f>
        <v>9337.7586206896558</v>
      </c>
      <c r="U946" s="22">
        <f t="shared" si="43"/>
        <v>38685</v>
      </c>
    </row>
    <row r="947" spans="1:21" ht="78.599999999999994" hidden="1" thickBot="1" x14ac:dyDescent="0.6">
      <c r="A947" s="10" t="s">
        <v>1220</v>
      </c>
      <c r="B947" s="10" t="s">
        <v>1221</v>
      </c>
      <c r="C947" s="12"/>
      <c r="D947" s="10" t="s">
        <v>1222</v>
      </c>
      <c r="E947" s="10" t="s">
        <v>14</v>
      </c>
      <c r="F947" s="10">
        <v>15353</v>
      </c>
      <c r="G947" s="10" t="s">
        <v>15</v>
      </c>
      <c r="H947" s="10" t="s">
        <v>2917</v>
      </c>
      <c r="I947" s="10" t="s">
        <v>66</v>
      </c>
      <c r="J947" s="10" t="s">
        <v>292</v>
      </c>
      <c r="K947" s="10" t="s">
        <v>1697</v>
      </c>
      <c r="L947" s="10" t="s">
        <v>1120</v>
      </c>
      <c r="M947" s="12">
        <v>45379</v>
      </c>
      <c r="N947" s="10" t="s">
        <v>20</v>
      </c>
      <c r="O947" s="10" t="s">
        <v>2057</v>
      </c>
      <c r="P947" s="25" t="str">
        <f>IFERROR(
IF(OR(O947="anulado",O947="stand by"),CONCATENATE(O947,": ",H947),
IF(OR(YEAR(M947)=2022,YEAR(M947)=2023),CONCATENATE("Se activó en ",YEAR(M947)),
IF(AND(OR(O947="En proceso",O947="facturando"),AND(J947="-",M947="")),"Por revisar",
IF(M947="",IF(J947="NUEVAS",CONCATENATE("Estado: ",O947,", ",J947),
IF(L947=Meses!$A$3,"Por revisar",
IF(H947="","Sin registro","En programación Frcst."))),"En programación")))),
"Error")</f>
        <v>En programación</v>
      </c>
      <c r="Q947" s="9" t="str">
        <f t="shared" si="42"/>
        <v/>
      </c>
      <c r="R947" s="25">
        <f>IF(P947="En programación Frcst.",VLOOKUP(L947,Meses!$A$1:$H$14,3+HLOOKUP(Cronograma!J947,Meses!$D$1:$G$2,2,FALSE),FALSE),
IF(P947="En programación",M947,""))</f>
        <v>45379</v>
      </c>
      <c r="S947" s="25" t="str">
        <f t="shared" si="44"/>
        <v>2024/3</v>
      </c>
      <c r="T947" s="21">
        <f>IFERROR(
(VLOOKUP(MONTH(R947),Meses!$B$3:$C$14,2,FALSE)-DAY(R947))/VLOOKUP(MONTH(R947),Meses!$B$3:$C$14,2,FALSE)*U947,
"")</f>
        <v>1485.7741935483871</v>
      </c>
      <c r="U947" s="22">
        <f t="shared" si="43"/>
        <v>15353</v>
      </c>
    </row>
    <row r="948" spans="1:21" ht="31.8" hidden="1" thickBot="1" x14ac:dyDescent="0.6">
      <c r="A948" s="10" t="s">
        <v>1223</v>
      </c>
      <c r="B948" s="10" t="s">
        <v>1224</v>
      </c>
      <c r="C948" s="12">
        <v>45309</v>
      </c>
      <c r="D948" s="10" t="s">
        <v>14</v>
      </c>
      <c r="E948" s="10" t="s">
        <v>14</v>
      </c>
      <c r="F948" s="10">
        <v>17947</v>
      </c>
      <c r="G948" s="10" t="s">
        <v>15</v>
      </c>
      <c r="H948" s="10" t="s">
        <v>17</v>
      </c>
      <c r="I948" s="10" t="s">
        <v>18</v>
      </c>
      <c r="J948" s="10" t="s">
        <v>277</v>
      </c>
      <c r="K948" s="10" t="s">
        <v>278</v>
      </c>
      <c r="L948" s="10" t="s">
        <v>279</v>
      </c>
      <c r="M948" s="12"/>
      <c r="N948" s="10" t="s">
        <v>15</v>
      </c>
      <c r="O948" s="10" t="s">
        <v>2054</v>
      </c>
      <c r="P948" s="25" t="str">
        <f>IFERROR(
IF(OR(O948="anulado",O948="stand by"),CONCATENATE(O948,": ",H948),
IF(OR(YEAR(M948)=2022,YEAR(M948)=2023),CONCATENATE("Se activó en ",YEAR(M948)),
IF(AND(OR(O948="En proceso",O948="facturando"),AND(J948="-",M948="")),"Por revisar",
IF(M948="",IF(J948="NUEVAS",CONCATENATE("Estado: ",O948,", ",J948),
IF(L948=Meses!$A$3,"Por revisar",
IF(H948="","Sin registro","En programación Frcst."))),"En programación")))),
"Error")</f>
        <v>En programación Frcst.</v>
      </c>
      <c r="Q948" s="9" t="str">
        <f t="shared" si="42"/>
        <v/>
      </c>
      <c r="R948" s="25">
        <f>IF(P948="En programación Frcst.",VLOOKUP(L948,Meses!$A$1:$H$14,3+HLOOKUP(Cronograma!J948,Meses!$D$1:$G$2,2,FALSE),FALSE),
IF(P948="En programación",M948,""))</f>
        <v>45309</v>
      </c>
      <c r="S948" s="25" t="str">
        <f t="shared" si="44"/>
        <v>2024/1</v>
      </c>
      <c r="T948" s="21">
        <f>IFERROR(
(VLOOKUP(MONTH(R948),Meses!$B$3:$C$14,2,FALSE)-DAY(R948))/VLOOKUP(MONTH(R948),Meses!$B$3:$C$14,2,FALSE)*U948,
"")</f>
        <v>7526.1612903225805</v>
      </c>
      <c r="U948" s="22">
        <f t="shared" si="43"/>
        <v>17947</v>
      </c>
    </row>
    <row r="949" spans="1:21" ht="31.8" hidden="1" thickBot="1" x14ac:dyDescent="0.6">
      <c r="A949" s="10" t="s">
        <v>1225</v>
      </c>
      <c r="B949" s="10" t="s">
        <v>1226</v>
      </c>
      <c r="C949" s="12"/>
      <c r="D949" s="10" t="s">
        <v>14</v>
      </c>
      <c r="E949" s="10" t="s">
        <v>14</v>
      </c>
      <c r="F949" s="10">
        <v>4500</v>
      </c>
      <c r="G949" s="10" t="s">
        <v>15</v>
      </c>
      <c r="H949" s="10" t="s">
        <v>2917</v>
      </c>
      <c r="I949" s="10" t="s">
        <v>18</v>
      </c>
      <c r="J949" s="10" t="s">
        <v>277</v>
      </c>
      <c r="K949" s="10" t="s">
        <v>3327</v>
      </c>
      <c r="L949" s="10" t="s">
        <v>2292</v>
      </c>
      <c r="M949" s="12">
        <v>45400</v>
      </c>
      <c r="N949" s="10" t="s">
        <v>15</v>
      </c>
      <c r="O949" s="10" t="s">
        <v>2057</v>
      </c>
      <c r="P949" s="25" t="str">
        <f>IFERROR(
IF(OR(O949="anulado",O949="stand by"),CONCATENATE(O949,": ",H949),
IF(OR(YEAR(M949)=2022,YEAR(M949)=2023),CONCATENATE("Se activó en ",YEAR(M949)),
IF(AND(OR(O949="En proceso",O949="facturando"),AND(J949="-",M949="")),"Por revisar",
IF(M949="",IF(J949="NUEVAS",CONCATENATE("Estado: ",O949,", ",J949),
IF(L949=Meses!$A$3,"Por revisar",
IF(H949="","Sin registro","En programación Frcst."))),"En programación")))),
"Error")</f>
        <v>En programación</v>
      </c>
      <c r="Q949" s="9" t="str">
        <f t="shared" si="42"/>
        <v/>
      </c>
      <c r="R949" s="25">
        <f>IF(P949="En programación Frcst.",VLOOKUP(L949,Meses!$A$1:$H$14,3+HLOOKUP(Cronograma!J949,Meses!$D$1:$G$2,2,FALSE),FALSE),
IF(P949="En programación",M949,""))</f>
        <v>45400</v>
      </c>
      <c r="S949" s="25" t="str">
        <f t="shared" si="44"/>
        <v>2024/4</v>
      </c>
      <c r="T949" s="21">
        <f>IFERROR(
(VLOOKUP(MONTH(R949),Meses!$B$3:$C$14,2,FALSE)-DAY(R949))/VLOOKUP(MONTH(R949),Meses!$B$3:$C$14,2,FALSE)*U949,
"")</f>
        <v>1800</v>
      </c>
      <c r="U949" s="22">
        <f t="shared" si="43"/>
        <v>4500</v>
      </c>
    </row>
    <row r="950" spans="1:21" ht="31.8" hidden="1" thickBot="1" x14ac:dyDescent="0.6">
      <c r="A950" s="10" t="s">
        <v>1227</v>
      </c>
      <c r="B950" s="10" t="s">
        <v>1228</v>
      </c>
      <c r="C950" s="12">
        <v>45302</v>
      </c>
      <c r="D950" s="10" t="s">
        <v>14</v>
      </c>
      <c r="E950" s="10" t="s">
        <v>14</v>
      </c>
      <c r="F950" s="10">
        <v>1576</v>
      </c>
      <c r="G950" s="10" t="s">
        <v>15</v>
      </c>
      <c r="H950" s="10" t="s">
        <v>17</v>
      </c>
      <c r="I950" s="10" t="s">
        <v>18</v>
      </c>
      <c r="J950" s="10" t="s">
        <v>282</v>
      </c>
      <c r="K950" s="10" t="s">
        <v>283</v>
      </c>
      <c r="L950" s="10" t="s">
        <v>279</v>
      </c>
      <c r="M950" s="12"/>
      <c r="N950" s="10" t="s">
        <v>15</v>
      </c>
      <c r="O950" s="10" t="s">
        <v>2054</v>
      </c>
      <c r="P950" s="25" t="str">
        <f>IFERROR(
IF(OR(O950="anulado",O950="stand by"),CONCATENATE(O950,": ",H950),
IF(OR(YEAR(M950)=2022,YEAR(M950)=2023),CONCATENATE("Se activó en ",YEAR(M950)),
IF(AND(OR(O950="En proceso",O950="facturando"),AND(J950="-",M950="")),"Por revisar",
IF(M950="",IF(J950="NUEVAS",CONCATENATE("Estado: ",O950,", ",J950),
IF(L950=Meses!$A$3,"Por revisar",
IF(H950="","Sin registro","En programación Frcst."))),"En programación")))),
"Error")</f>
        <v>En programación Frcst.</v>
      </c>
      <c r="Q950" s="9" t="str">
        <f t="shared" si="42"/>
        <v/>
      </c>
      <c r="R950" s="25">
        <f>IF(P950="En programación Frcst.",VLOOKUP(L950,Meses!$A$1:$H$14,3+HLOOKUP(Cronograma!J950,Meses!$D$1:$G$2,2,FALSE),FALSE),
IF(P950="En programación",M950,""))</f>
        <v>45295</v>
      </c>
      <c r="S950" s="25" t="str">
        <f t="shared" si="44"/>
        <v>2024/1</v>
      </c>
      <c r="T950" s="21">
        <f>IFERROR(
(VLOOKUP(MONTH(R950),Meses!$B$3:$C$14,2,FALSE)-DAY(R950))/VLOOKUP(MONTH(R950),Meses!$B$3:$C$14,2,FALSE)*U950,
"")</f>
        <v>1372.6451612903227</v>
      </c>
      <c r="U950" s="22">
        <f t="shared" si="43"/>
        <v>1576</v>
      </c>
    </row>
    <row r="951" spans="1:21" ht="31.8" hidden="1" thickBot="1" x14ac:dyDescent="0.6">
      <c r="A951" s="10" t="s">
        <v>1227</v>
      </c>
      <c r="B951" s="10" t="s">
        <v>1229</v>
      </c>
      <c r="C951" s="12"/>
      <c r="D951" s="10" t="s">
        <v>14</v>
      </c>
      <c r="E951" s="10" t="s">
        <v>14</v>
      </c>
      <c r="F951" s="10">
        <v>6244</v>
      </c>
      <c r="G951" s="10" t="s">
        <v>15</v>
      </c>
      <c r="H951" s="10" t="s">
        <v>2917</v>
      </c>
      <c r="I951" s="10" t="s">
        <v>18</v>
      </c>
      <c r="J951" s="10" t="s">
        <v>277</v>
      </c>
      <c r="K951" s="10" t="s">
        <v>3327</v>
      </c>
      <c r="L951" s="10" t="s">
        <v>2292</v>
      </c>
      <c r="M951" s="12">
        <v>45400</v>
      </c>
      <c r="N951" s="10" t="s">
        <v>15</v>
      </c>
      <c r="O951" s="10" t="s">
        <v>2057</v>
      </c>
      <c r="P951" s="25" t="str">
        <f>IFERROR(
IF(OR(O951="anulado",O951="stand by"),CONCATENATE(O951,": ",H951),
IF(OR(YEAR(M951)=2022,YEAR(M951)=2023),CONCATENATE("Se activó en ",YEAR(M951)),
IF(AND(OR(O951="En proceso",O951="facturando"),AND(J951="-",M951="")),"Por revisar",
IF(M951="",IF(J951="NUEVAS",CONCATENATE("Estado: ",O951,", ",J951),
IF(L951=Meses!$A$3,"Por revisar",
IF(H951="","Sin registro","En programación Frcst."))),"En programación")))),
"Error")</f>
        <v>En programación</v>
      </c>
      <c r="Q951" s="9" t="str">
        <f t="shared" si="42"/>
        <v/>
      </c>
      <c r="R951" s="25">
        <f>IF(P951="En programación Frcst.",VLOOKUP(L951,Meses!$A$1:$H$14,3+HLOOKUP(Cronograma!J951,Meses!$D$1:$G$2,2,FALSE),FALSE),
IF(P951="En programación",M951,""))</f>
        <v>45400</v>
      </c>
      <c r="S951" s="25" t="str">
        <f t="shared" si="44"/>
        <v>2024/4</v>
      </c>
      <c r="T951" s="21">
        <f>IFERROR(
(VLOOKUP(MONTH(R951),Meses!$B$3:$C$14,2,FALSE)-DAY(R951))/VLOOKUP(MONTH(R951),Meses!$B$3:$C$14,2,FALSE)*U951,
"")</f>
        <v>2497.6000000000004</v>
      </c>
      <c r="U951" s="22">
        <f t="shared" si="43"/>
        <v>6244</v>
      </c>
    </row>
    <row r="952" spans="1:21" ht="31.8" hidden="1" thickBot="1" x14ac:dyDescent="0.6">
      <c r="A952" s="10" t="s">
        <v>1227</v>
      </c>
      <c r="B952" s="10" t="s">
        <v>1230</v>
      </c>
      <c r="C952" s="12">
        <v>45302</v>
      </c>
      <c r="D952" s="10" t="s">
        <v>14</v>
      </c>
      <c r="E952" s="10" t="s">
        <v>14</v>
      </c>
      <c r="F952" s="10">
        <v>916</v>
      </c>
      <c r="G952" s="10" t="s">
        <v>15</v>
      </c>
      <c r="H952" s="10" t="s">
        <v>17</v>
      </c>
      <c r="I952" s="10" t="s">
        <v>18</v>
      </c>
      <c r="J952" s="10" t="s">
        <v>282</v>
      </c>
      <c r="K952" s="10" t="s">
        <v>283</v>
      </c>
      <c r="L952" s="10" t="s">
        <v>279</v>
      </c>
      <c r="M952" s="12"/>
      <c r="N952" s="10" t="s">
        <v>15</v>
      </c>
      <c r="O952" s="10" t="s">
        <v>2054</v>
      </c>
      <c r="P952" s="25" t="str">
        <f>IFERROR(
IF(OR(O952="anulado",O952="stand by"),CONCATENATE(O952,": ",H952),
IF(OR(YEAR(M952)=2022,YEAR(M952)=2023),CONCATENATE("Se activó en ",YEAR(M952)),
IF(AND(OR(O952="En proceso",O952="facturando"),AND(J952="-",M952="")),"Por revisar",
IF(M952="",IF(J952="NUEVAS",CONCATENATE("Estado: ",O952,", ",J952),
IF(L952=Meses!$A$3,"Por revisar",
IF(H952="","Sin registro","En programación Frcst."))),"En programación")))),
"Error")</f>
        <v>En programación Frcst.</v>
      </c>
      <c r="Q952" s="9" t="str">
        <f t="shared" si="42"/>
        <v/>
      </c>
      <c r="R952" s="25">
        <f>IF(P952="En programación Frcst.",VLOOKUP(L952,Meses!$A$1:$H$14,3+HLOOKUP(Cronograma!J952,Meses!$D$1:$G$2,2,FALSE),FALSE),
IF(P952="En programación",M952,""))</f>
        <v>45295</v>
      </c>
      <c r="S952" s="25" t="str">
        <f t="shared" si="44"/>
        <v>2024/1</v>
      </c>
      <c r="T952" s="21">
        <f>IFERROR(
(VLOOKUP(MONTH(R952),Meses!$B$3:$C$14,2,FALSE)-DAY(R952))/VLOOKUP(MONTH(R952),Meses!$B$3:$C$14,2,FALSE)*U952,
"")</f>
        <v>797.80645161290317</v>
      </c>
      <c r="U952" s="22">
        <f t="shared" si="43"/>
        <v>916</v>
      </c>
    </row>
    <row r="953" spans="1:21" ht="31.8" hidden="1" thickBot="1" x14ac:dyDescent="0.6">
      <c r="A953" s="10" t="s">
        <v>1231</v>
      </c>
      <c r="B953" s="10" t="s">
        <v>1232</v>
      </c>
      <c r="C953" s="12">
        <v>45309</v>
      </c>
      <c r="D953" s="10" t="s">
        <v>14</v>
      </c>
      <c r="E953" s="10" t="s">
        <v>14</v>
      </c>
      <c r="F953" s="10">
        <v>400</v>
      </c>
      <c r="G953" s="10" t="s">
        <v>15</v>
      </c>
      <c r="H953" s="10" t="s">
        <v>17</v>
      </c>
      <c r="I953" s="10" t="s">
        <v>18</v>
      </c>
      <c r="J953" s="10" t="s">
        <v>277</v>
      </c>
      <c r="K953" s="10" t="s">
        <v>278</v>
      </c>
      <c r="L953" s="10" t="s">
        <v>279</v>
      </c>
      <c r="M953" s="12"/>
      <c r="N953" s="10" t="s">
        <v>15</v>
      </c>
      <c r="O953" s="10" t="s">
        <v>2054</v>
      </c>
      <c r="P953" s="25" t="str">
        <f>IFERROR(
IF(OR(O953="anulado",O953="stand by"),CONCATENATE(O953,": ",H953),
IF(OR(YEAR(M953)=2022,YEAR(M953)=2023),CONCATENATE("Se activó en ",YEAR(M953)),
IF(AND(OR(O953="En proceso",O953="facturando"),AND(J953="-",M953="")),"Por revisar",
IF(M953="",IF(J953="NUEVAS",CONCATENATE("Estado: ",O953,", ",J953),
IF(L953=Meses!$A$3,"Por revisar",
IF(H953="","Sin registro","En programación Frcst."))),"En programación")))),
"Error")</f>
        <v>En programación Frcst.</v>
      </c>
      <c r="Q953" s="9" t="str">
        <f t="shared" si="42"/>
        <v/>
      </c>
      <c r="R953" s="25">
        <f>IF(P953="En programación Frcst.",VLOOKUP(L953,Meses!$A$1:$H$14,3+HLOOKUP(Cronograma!J953,Meses!$D$1:$G$2,2,FALSE),FALSE),
IF(P953="En programación",M953,""))</f>
        <v>45309</v>
      </c>
      <c r="S953" s="25" t="str">
        <f t="shared" si="44"/>
        <v>2024/1</v>
      </c>
      <c r="T953" s="21">
        <f>IFERROR(
(VLOOKUP(MONTH(R953),Meses!$B$3:$C$14,2,FALSE)-DAY(R953))/VLOOKUP(MONTH(R953),Meses!$B$3:$C$14,2,FALSE)*U953,
"")</f>
        <v>167.74193548387098</v>
      </c>
      <c r="U953" s="22">
        <f t="shared" si="43"/>
        <v>400</v>
      </c>
    </row>
    <row r="954" spans="1:21" ht="31.8" hidden="1" thickBot="1" x14ac:dyDescent="0.6">
      <c r="A954" s="10" t="s">
        <v>1231</v>
      </c>
      <c r="B954" s="10" t="s">
        <v>1233</v>
      </c>
      <c r="C954" s="12">
        <v>45309</v>
      </c>
      <c r="D954" s="10" t="s">
        <v>14</v>
      </c>
      <c r="E954" s="10" t="s">
        <v>14</v>
      </c>
      <c r="F954" s="10">
        <v>5237</v>
      </c>
      <c r="G954" s="10" t="s">
        <v>15</v>
      </c>
      <c r="H954" s="10" t="s">
        <v>17</v>
      </c>
      <c r="I954" s="10" t="s">
        <v>18</v>
      </c>
      <c r="J954" s="10" t="s">
        <v>277</v>
      </c>
      <c r="K954" s="10" t="s">
        <v>278</v>
      </c>
      <c r="L954" s="10" t="s">
        <v>279</v>
      </c>
      <c r="M954" s="12"/>
      <c r="N954" s="10" t="s">
        <v>15</v>
      </c>
      <c r="O954" s="10" t="s">
        <v>2054</v>
      </c>
      <c r="P954" s="25" t="str">
        <f>IFERROR(
IF(OR(O954="anulado",O954="stand by"),CONCATENATE(O954,": ",H954),
IF(OR(YEAR(M954)=2022,YEAR(M954)=2023),CONCATENATE("Se activó en ",YEAR(M954)),
IF(AND(OR(O954="En proceso",O954="facturando"),AND(J954="-",M954="")),"Por revisar",
IF(M954="",IF(J954="NUEVAS",CONCATENATE("Estado: ",O954,", ",J954),
IF(L954=Meses!$A$3,"Por revisar",
IF(H954="","Sin registro","En programación Frcst."))),"En programación")))),
"Error")</f>
        <v>En programación Frcst.</v>
      </c>
      <c r="Q954" s="9" t="str">
        <f t="shared" si="42"/>
        <v/>
      </c>
      <c r="R954" s="25">
        <f>IF(P954="En programación Frcst.",VLOOKUP(L954,Meses!$A$1:$H$14,3+HLOOKUP(Cronograma!J954,Meses!$D$1:$G$2,2,FALSE),FALSE),
IF(P954="En programación",M954,""))</f>
        <v>45309</v>
      </c>
      <c r="S954" s="25" t="str">
        <f t="shared" si="44"/>
        <v>2024/1</v>
      </c>
      <c r="T954" s="21">
        <f>IFERROR(
(VLOOKUP(MONTH(R954),Meses!$B$3:$C$14,2,FALSE)-DAY(R954))/VLOOKUP(MONTH(R954),Meses!$B$3:$C$14,2,FALSE)*U954,
"")</f>
        <v>2196.161290322581</v>
      </c>
      <c r="U954" s="22">
        <f t="shared" si="43"/>
        <v>5237</v>
      </c>
    </row>
    <row r="955" spans="1:21" ht="31.8" hidden="1" thickBot="1" x14ac:dyDescent="0.6">
      <c r="A955" s="10" t="s">
        <v>1231</v>
      </c>
      <c r="B955" s="10" t="s">
        <v>1234</v>
      </c>
      <c r="C955" s="12">
        <v>45309</v>
      </c>
      <c r="D955" s="10" t="s">
        <v>14</v>
      </c>
      <c r="E955" s="10" t="s">
        <v>14</v>
      </c>
      <c r="F955" s="10">
        <v>1129</v>
      </c>
      <c r="G955" s="10" t="s">
        <v>15</v>
      </c>
      <c r="H955" s="10" t="s">
        <v>2406</v>
      </c>
      <c r="I955" s="10" t="s">
        <v>18</v>
      </c>
      <c r="J955" s="10" t="s">
        <v>277</v>
      </c>
      <c r="K955" s="10" t="s">
        <v>278</v>
      </c>
      <c r="L955" s="10" t="s">
        <v>279</v>
      </c>
      <c r="M955" s="12"/>
      <c r="N955" s="10" t="s">
        <v>15</v>
      </c>
      <c r="O955" s="10" t="s">
        <v>2054</v>
      </c>
      <c r="P955" s="25" t="str">
        <f>IFERROR(
IF(OR(O955="anulado",O955="stand by"),CONCATENATE(O955,": ",H955),
IF(OR(YEAR(M955)=2022,YEAR(M955)=2023),CONCATENATE("Se activó en ",YEAR(M955)),
IF(AND(OR(O955="En proceso",O955="facturando"),AND(J955="-",M955="")),"Por revisar",
IF(M955="",IF(J955="NUEVAS",CONCATENATE("Estado: ",O955,", ",J955),
IF(L955=Meses!$A$3,"Por revisar",
IF(H955="","Sin registro","En programación Frcst."))),"En programación")))),
"Error")</f>
        <v>En programación Frcst.</v>
      </c>
      <c r="Q955" s="9" t="str">
        <f t="shared" si="42"/>
        <v/>
      </c>
      <c r="R955" s="25">
        <f>IF(P955="En programación Frcst.",VLOOKUP(L955,Meses!$A$1:$H$14,3+HLOOKUP(Cronograma!J955,Meses!$D$1:$G$2,2,FALSE),FALSE),
IF(P955="En programación",M955,""))</f>
        <v>45309</v>
      </c>
      <c r="S955" s="25" t="str">
        <f t="shared" si="44"/>
        <v>2024/1</v>
      </c>
      <c r="T955" s="21">
        <f>IFERROR(
(VLOOKUP(MONTH(R955),Meses!$B$3:$C$14,2,FALSE)-DAY(R955))/VLOOKUP(MONTH(R955),Meses!$B$3:$C$14,2,FALSE)*U955,
"")</f>
        <v>473.45161290322585</v>
      </c>
      <c r="U955" s="22">
        <f t="shared" si="43"/>
        <v>1129</v>
      </c>
    </row>
    <row r="956" spans="1:21" ht="31.8" hidden="1" thickBot="1" x14ac:dyDescent="0.6">
      <c r="A956" s="10" t="s">
        <v>1231</v>
      </c>
      <c r="B956" s="10" t="s">
        <v>1235</v>
      </c>
      <c r="C956" s="12"/>
      <c r="D956" s="10" t="s">
        <v>14</v>
      </c>
      <c r="E956" s="10" t="s">
        <v>14</v>
      </c>
      <c r="F956" s="10">
        <v>84600</v>
      </c>
      <c r="G956" s="10" t="s">
        <v>15</v>
      </c>
      <c r="H956" s="10" t="s">
        <v>2917</v>
      </c>
      <c r="I956" s="10" t="s">
        <v>18</v>
      </c>
      <c r="J956" s="10" t="s">
        <v>277</v>
      </c>
      <c r="K956" s="10" t="s">
        <v>3310</v>
      </c>
      <c r="L956" s="10" t="s">
        <v>1120</v>
      </c>
      <c r="M956" s="12">
        <v>45372</v>
      </c>
      <c r="N956" s="10" t="s">
        <v>15</v>
      </c>
      <c r="O956" s="10" t="s">
        <v>2057</v>
      </c>
      <c r="P956" s="25" t="str">
        <f>IFERROR(
IF(OR(O956="anulado",O956="stand by"),CONCATENATE(O956,": ",H956),
IF(OR(YEAR(M956)=2022,YEAR(M956)=2023),CONCATENATE("Se activó en ",YEAR(M956)),
IF(AND(OR(O956="En proceso",O956="facturando"),AND(J956="-",M956="")),"Por revisar",
IF(M956="",IF(J956="NUEVAS",CONCATENATE("Estado: ",O956,", ",J956),
IF(L956=Meses!$A$3,"Por revisar",
IF(H956="","Sin registro","En programación Frcst."))),"En programación")))),
"Error")</f>
        <v>En programación</v>
      </c>
      <c r="Q956" s="9" t="str">
        <f t="shared" si="42"/>
        <v/>
      </c>
      <c r="R956" s="25">
        <f>IF(P956="En programación Frcst.",VLOOKUP(L956,Meses!$A$1:$H$14,3+HLOOKUP(Cronograma!J956,Meses!$D$1:$G$2,2,FALSE),FALSE),
IF(P956="En programación",M956,""))</f>
        <v>45372</v>
      </c>
      <c r="S956" s="25" t="str">
        <f t="shared" si="44"/>
        <v>2024/3</v>
      </c>
      <c r="T956" s="21">
        <f>IFERROR(
(VLOOKUP(MONTH(R956),Meses!$B$3:$C$14,2,FALSE)-DAY(R956))/VLOOKUP(MONTH(R956),Meses!$B$3:$C$14,2,FALSE)*U956,
"")</f>
        <v>27290.322580645159</v>
      </c>
      <c r="U956" s="22">
        <f t="shared" si="43"/>
        <v>84600</v>
      </c>
    </row>
    <row r="957" spans="1:21" ht="31.8" hidden="1" thickBot="1" x14ac:dyDescent="0.6">
      <c r="A957" s="10" t="s">
        <v>1231</v>
      </c>
      <c r="B957" s="10" t="s">
        <v>1236</v>
      </c>
      <c r="C957" s="12">
        <v>45309</v>
      </c>
      <c r="D957" s="10" t="s">
        <v>14</v>
      </c>
      <c r="E957" s="10" t="s">
        <v>14</v>
      </c>
      <c r="F957" s="10">
        <v>8600</v>
      </c>
      <c r="G957" s="10" t="s">
        <v>15</v>
      </c>
      <c r="H957" s="10" t="s">
        <v>17</v>
      </c>
      <c r="I957" s="10" t="s">
        <v>18</v>
      </c>
      <c r="J957" s="10" t="s">
        <v>277</v>
      </c>
      <c r="K957" s="10" t="s">
        <v>278</v>
      </c>
      <c r="L957" s="10" t="s">
        <v>279</v>
      </c>
      <c r="M957" s="12"/>
      <c r="N957" s="10" t="s">
        <v>15</v>
      </c>
      <c r="O957" s="10" t="s">
        <v>2054</v>
      </c>
      <c r="P957" s="25" t="str">
        <f>IFERROR(
IF(OR(O957="anulado",O957="stand by"),CONCATENATE(O957,": ",H957),
IF(OR(YEAR(M957)=2022,YEAR(M957)=2023),CONCATENATE("Se activó en ",YEAR(M957)),
IF(AND(OR(O957="En proceso",O957="facturando"),AND(J957="-",M957="")),"Por revisar",
IF(M957="",IF(J957="NUEVAS",CONCATENATE("Estado: ",O957,", ",J957),
IF(L957=Meses!$A$3,"Por revisar",
IF(H957="","Sin registro","En programación Frcst."))),"En programación")))),
"Error")</f>
        <v>En programación Frcst.</v>
      </c>
      <c r="Q957" s="9" t="str">
        <f t="shared" si="42"/>
        <v/>
      </c>
      <c r="R957" s="25">
        <f>IF(P957="En programación Frcst.",VLOOKUP(L957,Meses!$A$1:$H$14,3+HLOOKUP(Cronograma!J957,Meses!$D$1:$G$2,2,FALSE),FALSE),
IF(P957="En programación",M957,""))</f>
        <v>45309</v>
      </c>
      <c r="S957" s="25" t="str">
        <f t="shared" si="44"/>
        <v>2024/1</v>
      </c>
      <c r="T957" s="21">
        <f>IFERROR(
(VLOOKUP(MONTH(R957),Meses!$B$3:$C$14,2,FALSE)-DAY(R957))/VLOOKUP(MONTH(R957),Meses!$B$3:$C$14,2,FALSE)*U957,
"")</f>
        <v>3606.4516129032259</v>
      </c>
      <c r="U957" s="22">
        <f t="shared" si="43"/>
        <v>8600</v>
      </c>
    </row>
    <row r="958" spans="1:21" ht="31.8" hidden="1" thickBot="1" x14ac:dyDescent="0.6">
      <c r="A958" s="10" t="s">
        <v>1231</v>
      </c>
      <c r="B958" s="10" t="s">
        <v>1237</v>
      </c>
      <c r="C958" s="12"/>
      <c r="D958" s="10" t="s">
        <v>14</v>
      </c>
      <c r="E958" s="10" t="s">
        <v>14</v>
      </c>
      <c r="F958" s="10">
        <v>0</v>
      </c>
      <c r="G958" s="10" t="s">
        <v>15</v>
      </c>
      <c r="H958" s="10" t="s">
        <v>2917</v>
      </c>
      <c r="I958" s="10" t="s">
        <v>18</v>
      </c>
      <c r="J958" s="10" t="s">
        <v>277</v>
      </c>
      <c r="K958" s="10" t="s">
        <v>3310</v>
      </c>
      <c r="L958" s="10" t="s">
        <v>1120</v>
      </c>
      <c r="M958" s="12">
        <v>45372</v>
      </c>
      <c r="N958" s="10" t="s">
        <v>15</v>
      </c>
      <c r="O958" s="10" t="s">
        <v>2057</v>
      </c>
      <c r="P958" s="25" t="str">
        <f>IFERROR(
IF(OR(O958="anulado",O958="stand by"),CONCATENATE(O958,": ",H958),
IF(OR(YEAR(M958)=2022,YEAR(M958)=2023),CONCATENATE("Se activó en ",YEAR(M958)),
IF(AND(OR(O958="En proceso",O958="facturando"),AND(J958="-",M958="")),"Por revisar",
IF(M958="",IF(J958="NUEVAS",CONCATENATE("Estado: ",O958,", ",J958),
IF(L958=Meses!$A$3,"Por revisar",
IF(H958="","Sin registro","En programación Frcst."))),"En programación")))),
"Error")</f>
        <v>En programación</v>
      </c>
      <c r="Q958" s="9" t="str">
        <f t="shared" si="42"/>
        <v/>
      </c>
      <c r="R958" s="25">
        <f>IF(P958="En programación Frcst.",VLOOKUP(L958,Meses!$A$1:$H$14,3+HLOOKUP(Cronograma!J958,Meses!$D$1:$G$2,2,FALSE),FALSE),
IF(P958="En programación",M958,""))</f>
        <v>45372</v>
      </c>
      <c r="S958" s="25" t="str">
        <f t="shared" si="44"/>
        <v>2024/3</v>
      </c>
      <c r="T958" s="21">
        <f>IFERROR(
(VLOOKUP(MONTH(R958),Meses!$B$3:$C$14,2,FALSE)-DAY(R958))/VLOOKUP(MONTH(R958),Meses!$B$3:$C$14,2,FALSE)*U958,
"")</f>
        <v>0</v>
      </c>
      <c r="U958" s="22">
        <f t="shared" si="43"/>
        <v>0</v>
      </c>
    </row>
    <row r="959" spans="1:21" ht="31.8" hidden="1" thickBot="1" x14ac:dyDescent="0.6">
      <c r="A959" s="10" t="s">
        <v>1231</v>
      </c>
      <c r="B959" s="10" t="s">
        <v>1238</v>
      </c>
      <c r="C959" s="12">
        <v>45309</v>
      </c>
      <c r="D959" s="10" t="s">
        <v>14</v>
      </c>
      <c r="E959" s="10" t="s">
        <v>14</v>
      </c>
      <c r="F959" s="10">
        <v>6709</v>
      </c>
      <c r="G959" s="10" t="s">
        <v>15</v>
      </c>
      <c r="H959" s="10" t="s">
        <v>17</v>
      </c>
      <c r="I959" s="10" t="s">
        <v>18</v>
      </c>
      <c r="J959" s="10" t="s">
        <v>277</v>
      </c>
      <c r="K959" s="10" t="s">
        <v>278</v>
      </c>
      <c r="L959" s="10" t="s">
        <v>279</v>
      </c>
      <c r="M959" s="12"/>
      <c r="N959" s="10" t="s">
        <v>15</v>
      </c>
      <c r="O959" s="10" t="s">
        <v>2054</v>
      </c>
      <c r="P959" s="25" t="str">
        <f>IFERROR(
IF(OR(O959="anulado",O959="stand by"),CONCATENATE(O959,": ",H959),
IF(OR(YEAR(M959)=2022,YEAR(M959)=2023),CONCATENATE("Se activó en ",YEAR(M959)),
IF(AND(OR(O959="En proceso",O959="facturando"),AND(J959="-",M959="")),"Por revisar",
IF(M959="",IF(J959="NUEVAS",CONCATENATE("Estado: ",O959,", ",J959),
IF(L959=Meses!$A$3,"Por revisar",
IF(H959="","Sin registro","En programación Frcst."))),"En programación")))),
"Error")</f>
        <v>En programación Frcst.</v>
      </c>
      <c r="Q959" s="9" t="str">
        <f t="shared" si="42"/>
        <v/>
      </c>
      <c r="R959" s="25">
        <f>IF(P959="En programación Frcst.",VLOOKUP(L959,Meses!$A$1:$H$14,3+HLOOKUP(Cronograma!J959,Meses!$D$1:$G$2,2,FALSE),FALSE),
IF(P959="En programación",M959,""))</f>
        <v>45309</v>
      </c>
      <c r="S959" s="25" t="str">
        <f t="shared" si="44"/>
        <v>2024/1</v>
      </c>
      <c r="T959" s="21">
        <f>IFERROR(
(VLOOKUP(MONTH(R959),Meses!$B$3:$C$14,2,FALSE)-DAY(R959))/VLOOKUP(MONTH(R959),Meses!$B$3:$C$14,2,FALSE)*U959,
"")</f>
        <v>2813.4516129032259</v>
      </c>
      <c r="U959" s="22">
        <f t="shared" si="43"/>
        <v>6709</v>
      </c>
    </row>
    <row r="960" spans="1:21" ht="31.8" hidden="1" thickBot="1" x14ac:dyDescent="0.6">
      <c r="A960" s="10" t="s">
        <v>1231</v>
      </c>
      <c r="B960" s="10" t="s">
        <v>1239</v>
      </c>
      <c r="C960" s="12">
        <v>45309</v>
      </c>
      <c r="D960" s="10" t="s">
        <v>14</v>
      </c>
      <c r="E960" s="10" t="s">
        <v>14</v>
      </c>
      <c r="F960" s="10">
        <v>7437</v>
      </c>
      <c r="G960" s="10" t="s">
        <v>15</v>
      </c>
      <c r="H960" s="10" t="s">
        <v>17</v>
      </c>
      <c r="I960" s="10" t="s">
        <v>18</v>
      </c>
      <c r="J960" s="10" t="s">
        <v>277</v>
      </c>
      <c r="K960" s="10" t="s">
        <v>278</v>
      </c>
      <c r="L960" s="10" t="s">
        <v>279</v>
      </c>
      <c r="M960" s="12"/>
      <c r="N960" s="10" t="s">
        <v>15</v>
      </c>
      <c r="O960" s="10" t="s">
        <v>2054</v>
      </c>
      <c r="P960" s="25" t="str">
        <f>IFERROR(
IF(OR(O960="anulado",O960="stand by"),CONCATENATE(O960,": ",H960),
IF(OR(YEAR(M960)=2022,YEAR(M960)=2023),CONCATENATE("Se activó en ",YEAR(M960)),
IF(AND(OR(O960="En proceso",O960="facturando"),AND(J960="-",M960="")),"Por revisar",
IF(M960="",IF(J960="NUEVAS",CONCATENATE("Estado: ",O960,", ",J960),
IF(L960=Meses!$A$3,"Por revisar",
IF(H960="","Sin registro","En programación Frcst."))),"En programación")))),
"Error")</f>
        <v>En programación Frcst.</v>
      </c>
      <c r="Q960" s="9" t="str">
        <f t="shared" si="42"/>
        <v/>
      </c>
      <c r="R960" s="25">
        <f>IF(P960="En programación Frcst.",VLOOKUP(L960,Meses!$A$1:$H$14,3+HLOOKUP(Cronograma!J960,Meses!$D$1:$G$2,2,FALSE),FALSE),
IF(P960="En programación",M960,""))</f>
        <v>45309</v>
      </c>
      <c r="S960" s="25" t="str">
        <f t="shared" si="44"/>
        <v>2024/1</v>
      </c>
      <c r="T960" s="21">
        <f>IFERROR(
(VLOOKUP(MONTH(R960),Meses!$B$3:$C$14,2,FALSE)-DAY(R960))/VLOOKUP(MONTH(R960),Meses!$B$3:$C$14,2,FALSE)*U960,
"")</f>
        <v>3118.7419354838712</v>
      </c>
      <c r="U960" s="22">
        <f t="shared" si="43"/>
        <v>7437</v>
      </c>
    </row>
    <row r="961" spans="1:21" ht="31.8" hidden="1" thickBot="1" x14ac:dyDescent="0.6">
      <c r="A961" s="10" t="s">
        <v>1231</v>
      </c>
      <c r="B961" s="10" t="s">
        <v>1240</v>
      </c>
      <c r="C961" s="12">
        <v>45309</v>
      </c>
      <c r="D961" s="10" t="s">
        <v>14</v>
      </c>
      <c r="E961" s="10" t="s">
        <v>14</v>
      </c>
      <c r="F961" s="10">
        <v>3191</v>
      </c>
      <c r="G961" s="10" t="s">
        <v>15</v>
      </c>
      <c r="H961" s="10" t="s">
        <v>17</v>
      </c>
      <c r="I961" s="10" t="s">
        <v>18</v>
      </c>
      <c r="J961" s="10" t="s">
        <v>277</v>
      </c>
      <c r="K961" s="10" t="s">
        <v>278</v>
      </c>
      <c r="L961" s="10" t="s">
        <v>279</v>
      </c>
      <c r="M961" s="12"/>
      <c r="N961" s="10" t="s">
        <v>15</v>
      </c>
      <c r="O961" s="10" t="s">
        <v>2054</v>
      </c>
      <c r="P961" s="25" t="str">
        <f>IFERROR(
IF(OR(O961="anulado",O961="stand by"),CONCATENATE(O961,": ",H961),
IF(OR(YEAR(M961)=2022,YEAR(M961)=2023),CONCATENATE("Se activó en ",YEAR(M961)),
IF(AND(OR(O961="En proceso",O961="facturando"),AND(J961="-",M961="")),"Por revisar",
IF(M961="",IF(J961="NUEVAS",CONCATENATE("Estado: ",O961,", ",J961),
IF(L961=Meses!$A$3,"Por revisar",
IF(H961="","Sin registro","En programación Frcst."))),"En programación")))),
"Error")</f>
        <v>En programación Frcst.</v>
      </c>
      <c r="Q961" s="9" t="str">
        <f t="shared" si="42"/>
        <v/>
      </c>
      <c r="R961" s="25">
        <f>IF(P961="En programación Frcst.",VLOOKUP(L961,Meses!$A$1:$H$14,3+HLOOKUP(Cronograma!J961,Meses!$D$1:$G$2,2,FALSE),FALSE),
IF(P961="En programación",M961,""))</f>
        <v>45309</v>
      </c>
      <c r="S961" s="25" t="str">
        <f t="shared" si="44"/>
        <v>2024/1</v>
      </c>
      <c r="T961" s="21">
        <f>IFERROR(
(VLOOKUP(MONTH(R961),Meses!$B$3:$C$14,2,FALSE)-DAY(R961))/VLOOKUP(MONTH(R961),Meses!$B$3:$C$14,2,FALSE)*U961,
"")</f>
        <v>1338.1612903225807</v>
      </c>
      <c r="U961" s="22">
        <f t="shared" si="43"/>
        <v>3191</v>
      </c>
    </row>
    <row r="962" spans="1:21" ht="31.8" hidden="1" thickBot="1" x14ac:dyDescent="0.6">
      <c r="A962" s="10" t="s">
        <v>1231</v>
      </c>
      <c r="B962" s="10" t="s">
        <v>1241</v>
      </c>
      <c r="C962" s="12"/>
      <c r="D962" s="10" t="s">
        <v>14</v>
      </c>
      <c r="E962" s="10" t="s">
        <v>14</v>
      </c>
      <c r="F962" s="10">
        <v>1790</v>
      </c>
      <c r="G962" s="10" t="s">
        <v>15</v>
      </c>
      <c r="H962" s="10" t="s">
        <v>2917</v>
      </c>
      <c r="I962" s="10" t="s">
        <v>18</v>
      </c>
      <c r="J962" s="10" t="s">
        <v>277</v>
      </c>
      <c r="K962" s="10" t="s">
        <v>3310</v>
      </c>
      <c r="L962" s="10" t="s">
        <v>1120</v>
      </c>
      <c r="M962" s="12">
        <v>45372</v>
      </c>
      <c r="N962" s="10" t="s">
        <v>15</v>
      </c>
      <c r="O962" s="10" t="s">
        <v>2057</v>
      </c>
      <c r="P962" s="25" t="str">
        <f>IFERROR(
IF(OR(O962="anulado",O962="stand by"),CONCATENATE(O962,": ",H962),
IF(OR(YEAR(M962)=2022,YEAR(M962)=2023),CONCATENATE("Se activó en ",YEAR(M962)),
IF(AND(OR(O962="En proceso",O962="facturando"),AND(J962="-",M962="")),"Por revisar",
IF(M962="",IF(J962="NUEVAS",CONCATENATE("Estado: ",O962,", ",J962),
IF(L962=Meses!$A$3,"Por revisar",
IF(H962="","Sin registro","En programación Frcst."))),"En programación")))),
"Error")</f>
        <v>En programación</v>
      </c>
      <c r="Q962" s="9" t="str">
        <f t="shared" ref="Q962:Q1025" si="45">IF(P962="Por revisar",CONCATENATE("programación de act. ",N962,", estado: ",O962,", Comercializador: ",D962,", Etapa: ",H962),"")</f>
        <v/>
      </c>
      <c r="R962" s="25">
        <f>IF(P962="En programación Frcst.",VLOOKUP(L962,Meses!$A$1:$H$14,3+HLOOKUP(Cronograma!J962,Meses!$D$1:$G$2,2,FALSE),FALSE),
IF(P962="En programación",M962,""))</f>
        <v>45372</v>
      </c>
      <c r="S962" s="25" t="str">
        <f t="shared" si="44"/>
        <v>2024/3</v>
      </c>
      <c r="T962" s="21">
        <f>IFERROR(
(VLOOKUP(MONTH(R962),Meses!$B$3:$C$14,2,FALSE)-DAY(R962))/VLOOKUP(MONTH(R962),Meses!$B$3:$C$14,2,FALSE)*U962,
"")</f>
        <v>577.41935483870964</v>
      </c>
      <c r="U962" s="22">
        <f t="shared" ref="U962:U1025" si="46">F962</f>
        <v>1790</v>
      </c>
    </row>
    <row r="963" spans="1:21" ht="31.8" hidden="1" thickBot="1" x14ac:dyDescent="0.6">
      <c r="A963" s="10" t="s">
        <v>1231</v>
      </c>
      <c r="B963" s="10" t="s">
        <v>1242</v>
      </c>
      <c r="C963" s="12">
        <v>45309</v>
      </c>
      <c r="D963" s="10" t="s">
        <v>14</v>
      </c>
      <c r="E963" s="10" t="s">
        <v>14</v>
      </c>
      <c r="F963" s="10">
        <v>45200</v>
      </c>
      <c r="G963" s="10" t="s">
        <v>15</v>
      </c>
      <c r="H963" s="10" t="s">
        <v>17</v>
      </c>
      <c r="I963" s="10" t="s">
        <v>18</v>
      </c>
      <c r="J963" s="10" t="s">
        <v>277</v>
      </c>
      <c r="K963" s="10" t="s">
        <v>278</v>
      </c>
      <c r="L963" s="10" t="s">
        <v>279</v>
      </c>
      <c r="M963" s="12"/>
      <c r="N963" s="10" t="s">
        <v>15</v>
      </c>
      <c r="O963" s="10" t="s">
        <v>2054</v>
      </c>
      <c r="P963" s="25" t="str">
        <f>IFERROR(
IF(OR(O963="anulado",O963="stand by"),CONCATENATE(O963,": ",H963),
IF(OR(YEAR(M963)=2022,YEAR(M963)=2023),CONCATENATE("Se activó en ",YEAR(M963)),
IF(AND(OR(O963="En proceso",O963="facturando"),AND(J963="-",M963="")),"Por revisar",
IF(M963="",IF(J963="NUEVAS",CONCATENATE("Estado: ",O963,", ",J963),
IF(L963=Meses!$A$3,"Por revisar",
IF(H963="","Sin registro","En programación Frcst."))),"En programación")))),
"Error")</f>
        <v>En programación Frcst.</v>
      </c>
      <c r="Q963" s="9" t="str">
        <f t="shared" si="45"/>
        <v/>
      </c>
      <c r="R963" s="25">
        <f>IF(P963="En programación Frcst.",VLOOKUP(L963,Meses!$A$1:$H$14,3+HLOOKUP(Cronograma!J963,Meses!$D$1:$G$2,2,FALSE),FALSE),
IF(P963="En programación",M963,""))</f>
        <v>45309</v>
      </c>
      <c r="S963" s="25" t="str">
        <f t="shared" ref="S963:S1026" si="47">IFERROR(CONCATENATE(YEAR(R963),"/",MONTH(R963)),"")</f>
        <v>2024/1</v>
      </c>
      <c r="T963" s="21">
        <f>IFERROR(
(VLOOKUP(MONTH(R963),Meses!$B$3:$C$14,2,FALSE)-DAY(R963))/VLOOKUP(MONTH(R963),Meses!$B$3:$C$14,2,FALSE)*U963,
"")</f>
        <v>18954.83870967742</v>
      </c>
      <c r="U963" s="22">
        <f t="shared" si="46"/>
        <v>45200</v>
      </c>
    </row>
    <row r="964" spans="1:21" ht="31.8" hidden="1" thickBot="1" x14ac:dyDescent="0.6">
      <c r="A964" s="10" t="s">
        <v>1231</v>
      </c>
      <c r="B964" s="10" t="s">
        <v>1243</v>
      </c>
      <c r="C964" s="12">
        <v>45309</v>
      </c>
      <c r="D964" s="10" t="s">
        <v>14</v>
      </c>
      <c r="E964" s="10" t="s">
        <v>14</v>
      </c>
      <c r="F964" s="10">
        <v>32560</v>
      </c>
      <c r="G964" s="10" t="s">
        <v>15</v>
      </c>
      <c r="H964" s="10" t="s">
        <v>17</v>
      </c>
      <c r="I964" s="10" t="s">
        <v>18</v>
      </c>
      <c r="J964" s="10" t="s">
        <v>277</v>
      </c>
      <c r="K964" s="10" t="s">
        <v>278</v>
      </c>
      <c r="L964" s="10" t="s">
        <v>279</v>
      </c>
      <c r="M964" s="12"/>
      <c r="N964" s="10" t="s">
        <v>15</v>
      </c>
      <c r="O964" s="10" t="s">
        <v>2054</v>
      </c>
      <c r="P964" s="25" t="str">
        <f>IFERROR(
IF(OR(O964="anulado",O964="stand by"),CONCATENATE(O964,": ",H964),
IF(OR(YEAR(M964)=2022,YEAR(M964)=2023),CONCATENATE("Se activó en ",YEAR(M964)),
IF(AND(OR(O964="En proceso",O964="facturando"),AND(J964="-",M964="")),"Por revisar",
IF(M964="",IF(J964="NUEVAS",CONCATENATE("Estado: ",O964,", ",J964),
IF(L964=Meses!$A$3,"Por revisar",
IF(H964="","Sin registro","En programación Frcst."))),"En programación")))),
"Error")</f>
        <v>En programación Frcst.</v>
      </c>
      <c r="Q964" s="9" t="str">
        <f t="shared" si="45"/>
        <v/>
      </c>
      <c r="R964" s="25">
        <f>IF(P964="En programación Frcst.",VLOOKUP(L964,Meses!$A$1:$H$14,3+HLOOKUP(Cronograma!J964,Meses!$D$1:$G$2,2,FALSE),FALSE),
IF(P964="En programación",M964,""))</f>
        <v>45309</v>
      </c>
      <c r="S964" s="25" t="str">
        <f t="shared" si="47"/>
        <v>2024/1</v>
      </c>
      <c r="T964" s="21">
        <f>IFERROR(
(VLOOKUP(MONTH(R964),Meses!$B$3:$C$14,2,FALSE)-DAY(R964))/VLOOKUP(MONTH(R964),Meses!$B$3:$C$14,2,FALSE)*U964,
"")</f>
        <v>13654.193548387097</v>
      </c>
      <c r="U964" s="22">
        <f t="shared" si="46"/>
        <v>32560</v>
      </c>
    </row>
    <row r="965" spans="1:21" ht="31.8" hidden="1" thickBot="1" x14ac:dyDescent="0.6">
      <c r="A965" s="10" t="s">
        <v>1231</v>
      </c>
      <c r="B965" s="10" t="s">
        <v>1244</v>
      </c>
      <c r="C965" s="12"/>
      <c r="D965" s="10" t="s">
        <v>14</v>
      </c>
      <c r="E965" s="10" t="s">
        <v>14</v>
      </c>
      <c r="F965" s="10">
        <v>29600</v>
      </c>
      <c r="G965" s="10" t="s">
        <v>15</v>
      </c>
      <c r="H965" s="10" t="s">
        <v>2916</v>
      </c>
      <c r="I965" s="10" t="s">
        <v>18</v>
      </c>
      <c r="J965" s="10" t="s">
        <v>277</v>
      </c>
      <c r="K965" s="10" t="s">
        <v>3310</v>
      </c>
      <c r="L965" s="10" t="s">
        <v>1120</v>
      </c>
      <c r="M965" s="12">
        <v>45372</v>
      </c>
      <c r="N965" s="10" t="s">
        <v>15</v>
      </c>
      <c r="O965" s="10" t="s">
        <v>2057</v>
      </c>
      <c r="P965" s="25" t="str">
        <f>IFERROR(
IF(OR(O965="anulado",O965="stand by"),CONCATENATE(O965,": ",H965),
IF(OR(YEAR(M965)=2022,YEAR(M965)=2023),CONCATENATE("Se activó en ",YEAR(M965)),
IF(AND(OR(O965="En proceso",O965="facturando"),AND(J965="-",M965="")),"Por revisar",
IF(M965="",IF(J965="NUEVAS",CONCATENATE("Estado: ",O965,", ",J965),
IF(L965=Meses!$A$3,"Por revisar",
IF(H965="","Sin registro","En programación Frcst."))),"En programación")))),
"Error")</f>
        <v>En programación</v>
      </c>
      <c r="Q965" s="9" t="str">
        <f t="shared" si="45"/>
        <v/>
      </c>
      <c r="R965" s="25">
        <f>IF(P965="En programación Frcst.",VLOOKUP(L965,Meses!$A$1:$H$14,3+HLOOKUP(Cronograma!J965,Meses!$D$1:$G$2,2,FALSE),FALSE),
IF(P965="En programación",M965,""))</f>
        <v>45372</v>
      </c>
      <c r="S965" s="25" t="str">
        <f t="shared" si="47"/>
        <v>2024/3</v>
      </c>
      <c r="T965" s="21">
        <f>IFERROR(
(VLOOKUP(MONTH(R965),Meses!$B$3:$C$14,2,FALSE)-DAY(R965))/VLOOKUP(MONTH(R965),Meses!$B$3:$C$14,2,FALSE)*U965,
"")</f>
        <v>9548.3870967741932</v>
      </c>
      <c r="U965" s="22">
        <f t="shared" si="46"/>
        <v>29600</v>
      </c>
    </row>
    <row r="966" spans="1:21" ht="31.8" hidden="1" thickBot="1" x14ac:dyDescent="0.6">
      <c r="A966" s="10" t="s">
        <v>1231</v>
      </c>
      <c r="B966" s="10" t="s">
        <v>1245</v>
      </c>
      <c r="C966" s="12">
        <v>45309</v>
      </c>
      <c r="D966" s="10" t="s">
        <v>14</v>
      </c>
      <c r="E966" s="10" t="s">
        <v>14</v>
      </c>
      <c r="F966" s="10">
        <v>4190</v>
      </c>
      <c r="G966" s="10" t="s">
        <v>15</v>
      </c>
      <c r="H966" s="10" t="s">
        <v>2406</v>
      </c>
      <c r="I966" s="10" t="s">
        <v>18</v>
      </c>
      <c r="J966" s="10" t="s">
        <v>277</v>
      </c>
      <c r="K966" s="10" t="s">
        <v>278</v>
      </c>
      <c r="L966" s="10" t="s">
        <v>279</v>
      </c>
      <c r="M966" s="12"/>
      <c r="N966" s="10" t="s">
        <v>15</v>
      </c>
      <c r="O966" s="10" t="s">
        <v>2054</v>
      </c>
      <c r="P966" s="25" t="str">
        <f>IFERROR(
IF(OR(O966="anulado",O966="stand by"),CONCATENATE(O966,": ",H966),
IF(OR(YEAR(M966)=2022,YEAR(M966)=2023),CONCATENATE("Se activó en ",YEAR(M966)),
IF(AND(OR(O966="En proceso",O966="facturando"),AND(J966="-",M966="")),"Por revisar",
IF(M966="",IF(J966="NUEVAS",CONCATENATE("Estado: ",O966,", ",J966),
IF(L966=Meses!$A$3,"Por revisar",
IF(H966="","Sin registro","En programación Frcst."))),"En programación")))),
"Error")</f>
        <v>En programación Frcst.</v>
      </c>
      <c r="Q966" s="9" t="str">
        <f t="shared" si="45"/>
        <v/>
      </c>
      <c r="R966" s="25">
        <f>IF(P966="En programación Frcst.",VLOOKUP(L966,Meses!$A$1:$H$14,3+HLOOKUP(Cronograma!J966,Meses!$D$1:$G$2,2,FALSE),FALSE),
IF(P966="En programación",M966,""))</f>
        <v>45309</v>
      </c>
      <c r="S966" s="25" t="str">
        <f t="shared" si="47"/>
        <v>2024/1</v>
      </c>
      <c r="T966" s="21">
        <f>IFERROR(
(VLOOKUP(MONTH(R966),Meses!$B$3:$C$14,2,FALSE)-DAY(R966))/VLOOKUP(MONTH(R966),Meses!$B$3:$C$14,2,FALSE)*U966,
"")</f>
        <v>1757.0967741935485</v>
      </c>
      <c r="U966" s="22">
        <f t="shared" si="46"/>
        <v>4190</v>
      </c>
    </row>
    <row r="967" spans="1:21" ht="31.8" hidden="1" thickBot="1" x14ac:dyDescent="0.6">
      <c r="A967" s="10" t="s">
        <v>1231</v>
      </c>
      <c r="B967" s="10" t="s">
        <v>1246</v>
      </c>
      <c r="C967" s="12">
        <v>45316</v>
      </c>
      <c r="D967" s="10" t="s">
        <v>14</v>
      </c>
      <c r="E967" s="10" t="s">
        <v>14</v>
      </c>
      <c r="F967" s="10">
        <v>152525</v>
      </c>
      <c r="G967" s="10" t="s">
        <v>15</v>
      </c>
      <c r="H967" s="10" t="s">
        <v>17</v>
      </c>
      <c r="I967" s="10" t="s">
        <v>15</v>
      </c>
      <c r="J967" s="10" t="s">
        <v>282</v>
      </c>
      <c r="K967" s="10" t="s">
        <v>283</v>
      </c>
      <c r="L967" s="10" t="s">
        <v>279</v>
      </c>
      <c r="M967" s="12"/>
      <c r="N967" s="10" t="s">
        <v>15</v>
      </c>
      <c r="O967" s="10" t="s">
        <v>2054</v>
      </c>
      <c r="P967" s="25" t="str">
        <f>IFERROR(
IF(OR(O967="anulado",O967="stand by"),CONCATENATE(O967,": ",H967),
IF(OR(YEAR(M967)=2022,YEAR(M967)=2023),CONCATENATE("Se activó en ",YEAR(M967)),
IF(AND(OR(O967="En proceso",O967="facturando"),AND(J967="-",M967="")),"Por revisar",
IF(M967="",IF(J967="NUEVAS",CONCATENATE("Estado: ",O967,", ",J967),
IF(L967=Meses!$A$3,"Por revisar",
IF(H967="","Sin registro","En programación Frcst."))),"En programación")))),
"Error")</f>
        <v>En programación Frcst.</v>
      </c>
      <c r="Q967" s="9" t="str">
        <f t="shared" si="45"/>
        <v/>
      </c>
      <c r="R967" s="25">
        <f>IF(P967="En programación Frcst.",VLOOKUP(L967,Meses!$A$1:$H$14,3+HLOOKUP(Cronograma!J967,Meses!$D$1:$G$2,2,FALSE),FALSE),
IF(P967="En programación",M967,""))</f>
        <v>45295</v>
      </c>
      <c r="S967" s="25" t="str">
        <f t="shared" si="47"/>
        <v>2024/1</v>
      </c>
      <c r="T967" s="21">
        <f>IFERROR(
(VLOOKUP(MONTH(R967),Meses!$B$3:$C$14,2,FALSE)-DAY(R967))/VLOOKUP(MONTH(R967),Meses!$B$3:$C$14,2,FALSE)*U967,
"")</f>
        <v>132844.35483870967</v>
      </c>
      <c r="U967" s="22">
        <f t="shared" si="46"/>
        <v>152525</v>
      </c>
    </row>
    <row r="968" spans="1:21" ht="31.8" hidden="1" thickBot="1" x14ac:dyDescent="0.6">
      <c r="A968" s="10" t="s">
        <v>1231</v>
      </c>
      <c r="B968" s="10" t="s">
        <v>1247</v>
      </c>
      <c r="C968" s="12">
        <v>45302</v>
      </c>
      <c r="D968" s="10" t="s">
        <v>14</v>
      </c>
      <c r="E968" s="10" t="s">
        <v>14</v>
      </c>
      <c r="F968" s="10">
        <v>62975</v>
      </c>
      <c r="G968" s="10" t="s">
        <v>15</v>
      </c>
      <c r="H968" s="10" t="s">
        <v>17</v>
      </c>
      <c r="I968" s="10" t="s">
        <v>18</v>
      </c>
      <c r="J968" s="10" t="s">
        <v>143</v>
      </c>
      <c r="K968" s="10" t="s">
        <v>538</v>
      </c>
      <c r="L968" s="10" t="s">
        <v>279</v>
      </c>
      <c r="M968" s="12"/>
      <c r="N968" s="10" t="s">
        <v>15</v>
      </c>
      <c r="O968" s="10" t="s">
        <v>2054</v>
      </c>
      <c r="P968" s="25" t="str">
        <f>IFERROR(
IF(OR(O968="anulado",O968="stand by"),CONCATENATE(O968,": ",H968),
IF(OR(YEAR(M968)=2022,YEAR(M968)=2023),CONCATENATE("Se activó en ",YEAR(M968)),
IF(AND(OR(O968="En proceso",O968="facturando"),AND(J968="-",M968="")),"Por revisar",
IF(M968="",IF(J968="NUEVAS",CONCATENATE("Estado: ",O968,", ",J968),
IF(L968=Meses!$A$3,"Por revisar",
IF(H968="","Sin registro","En programación Frcst."))),"En programación")))),
"Error")</f>
        <v>En programación Frcst.</v>
      </c>
      <c r="Q968" s="9" t="str">
        <f t="shared" si="45"/>
        <v/>
      </c>
      <c r="R968" s="25">
        <f>IF(P968="En programación Frcst.",VLOOKUP(L968,Meses!$A$1:$H$14,3+HLOOKUP(Cronograma!J968,Meses!$D$1:$G$2,2,FALSE),FALSE),
IF(P968="En programación",M968,""))</f>
        <v>45302</v>
      </c>
      <c r="S968" s="25" t="str">
        <f t="shared" si="47"/>
        <v>2024/1</v>
      </c>
      <c r="T968" s="21">
        <f>IFERROR(
(VLOOKUP(MONTH(R968),Meses!$B$3:$C$14,2,FALSE)-DAY(R968))/VLOOKUP(MONTH(R968),Meses!$B$3:$C$14,2,FALSE)*U968,
"")</f>
        <v>40629.032258064515</v>
      </c>
      <c r="U968" s="22">
        <f t="shared" si="46"/>
        <v>62975</v>
      </c>
    </row>
    <row r="969" spans="1:21" ht="32.4" hidden="1" thickBot="1" x14ac:dyDescent="0.6">
      <c r="A969" s="10" t="s">
        <v>1231</v>
      </c>
      <c r="B969" s="10" t="s">
        <v>1248</v>
      </c>
      <c r="C969" s="12">
        <v>45260</v>
      </c>
      <c r="D969" s="10" t="s">
        <v>1249</v>
      </c>
      <c r="E969" s="10" t="s">
        <v>14</v>
      </c>
      <c r="F969" s="10">
        <v>13465</v>
      </c>
      <c r="G969" s="10" t="s">
        <v>15</v>
      </c>
      <c r="H969" s="10" t="s">
        <v>17</v>
      </c>
      <c r="I969" s="10" t="s">
        <v>66</v>
      </c>
      <c r="J969" s="10" t="s">
        <v>282</v>
      </c>
      <c r="K969" s="10" t="s">
        <v>1250</v>
      </c>
      <c r="L969" s="10" t="s">
        <v>145</v>
      </c>
      <c r="M969" s="12"/>
      <c r="N969" s="10" t="s">
        <v>15</v>
      </c>
      <c r="O969" s="10" t="s">
        <v>2054</v>
      </c>
      <c r="P969" s="25" t="str">
        <f>IFERROR(
IF(OR(O969="anulado",O969="stand by"),CONCATENATE(O969,": ",H969),
IF(OR(YEAR(M969)=2022,YEAR(M969)=2023),CONCATENATE("Se activó en ",YEAR(M969)),
IF(AND(OR(O969="En proceso",O969="facturando"),AND(J969="-",M969="")),"Por revisar",
IF(M969="",IF(J969="NUEVAS",CONCATENATE("Estado: ",O969,", ",J969),
IF(L969=Meses!$A$3,"Por revisar",
IF(H969="","Sin registro","En programación Frcst."))),"En programación")))),
"Error")</f>
        <v>Por revisar</v>
      </c>
      <c r="Q969" s="9" t="str">
        <f t="shared" si="45"/>
        <v>programación de act. SI, estado: Facturando, Comercializador: PEESA, Etapa: Instalado y Activado</v>
      </c>
      <c r="R969" s="25" t="str">
        <f>IF(P969="En programación Frcst.",VLOOKUP(L969,Meses!$A$1:$H$14,3+HLOOKUP(Cronograma!J969,Meses!$D$1:$G$2,2,FALSE),FALSE),
IF(P969="En programación",M969,""))</f>
        <v/>
      </c>
      <c r="S969" s="25" t="str">
        <f t="shared" si="47"/>
        <v/>
      </c>
      <c r="T969" s="21" t="str">
        <f>IFERROR(
(VLOOKUP(MONTH(R969),Meses!$B$3:$C$14,2,FALSE)-DAY(R969))/VLOOKUP(MONTH(R969),Meses!$B$3:$C$14,2,FALSE)*U969,
"")</f>
        <v/>
      </c>
      <c r="U969" s="22">
        <f t="shared" si="46"/>
        <v>13465</v>
      </c>
    </row>
    <row r="970" spans="1:21" ht="32.4" hidden="1" thickBot="1" x14ac:dyDescent="0.6">
      <c r="A970" s="10" t="s">
        <v>1231</v>
      </c>
      <c r="B970" s="10" t="s">
        <v>1251</v>
      </c>
      <c r="C970" s="12">
        <v>45260</v>
      </c>
      <c r="D970" s="10" t="s">
        <v>1249</v>
      </c>
      <c r="E970" s="10" t="s">
        <v>14</v>
      </c>
      <c r="F970" s="10">
        <v>18581</v>
      </c>
      <c r="G970" s="10" t="s">
        <v>15</v>
      </c>
      <c r="H970" s="10" t="s">
        <v>17</v>
      </c>
      <c r="I970" s="10" t="s">
        <v>66</v>
      </c>
      <c r="J970" s="10" t="s">
        <v>282</v>
      </c>
      <c r="K970" s="10" t="s">
        <v>1250</v>
      </c>
      <c r="L970" s="10" t="s">
        <v>145</v>
      </c>
      <c r="M970" s="12"/>
      <c r="N970" s="10" t="s">
        <v>15</v>
      </c>
      <c r="O970" s="10" t="s">
        <v>2054</v>
      </c>
      <c r="P970" s="25" t="str">
        <f>IFERROR(
IF(OR(O970="anulado",O970="stand by"),CONCATENATE(O970,": ",H970),
IF(OR(YEAR(M970)=2022,YEAR(M970)=2023),CONCATENATE("Se activó en ",YEAR(M970)),
IF(AND(OR(O970="En proceso",O970="facturando"),AND(J970="-",M970="")),"Por revisar",
IF(M970="",IF(J970="NUEVAS",CONCATENATE("Estado: ",O970,", ",J970),
IF(L970=Meses!$A$3,"Por revisar",
IF(H970="","Sin registro","En programación Frcst."))),"En programación")))),
"Error")</f>
        <v>Por revisar</v>
      </c>
      <c r="Q970" s="9" t="str">
        <f t="shared" si="45"/>
        <v>programación de act. SI, estado: Facturando, Comercializador: PEESA, Etapa: Instalado y Activado</v>
      </c>
      <c r="R970" s="25" t="str">
        <f>IF(P970="En programación Frcst.",VLOOKUP(L970,Meses!$A$1:$H$14,3+HLOOKUP(Cronograma!J970,Meses!$D$1:$G$2,2,FALSE),FALSE),
IF(P970="En programación",M970,""))</f>
        <v/>
      </c>
      <c r="S970" s="25" t="str">
        <f t="shared" si="47"/>
        <v/>
      </c>
      <c r="T970" s="21" t="str">
        <f>IFERROR(
(VLOOKUP(MONTH(R970),Meses!$B$3:$C$14,2,FALSE)-DAY(R970))/VLOOKUP(MONTH(R970),Meses!$B$3:$C$14,2,FALSE)*U970,
"")</f>
        <v/>
      </c>
      <c r="U970" s="22">
        <f t="shared" si="46"/>
        <v>18581</v>
      </c>
    </row>
    <row r="971" spans="1:21" ht="32.4" hidden="1" thickBot="1" x14ac:dyDescent="0.6">
      <c r="A971" s="10" t="s">
        <v>1231</v>
      </c>
      <c r="B971" s="10" t="s">
        <v>1252</v>
      </c>
      <c r="C971" s="12">
        <v>45260</v>
      </c>
      <c r="D971" s="10" t="s">
        <v>1249</v>
      </c>
      <c r="E971" s="10" t="s">
        <v>14</v>
      </c>
      <c r="F971" s="10">
        <v>10112</v>
      </c>
      <c r="G971" s="10" t="s">
        <v>15</v>
      </c>
      <c r="H971" s="10" t="s">
        <v>17</v>
      </c>
      <c r="I971" s="10" t="s">
        <v>66</v>
      </c>
      <c r="J971" s="10" t="s">
        <v>282</v>
      </c>
      <c r="K971" s="10" t="s">
        <v>1250</v>
      </c>
      <c r="L971" s="10" t="s">
        <v>145</v>
      </c>
      <c r="M971" s="12"/>
      <c r="N971" s="10" t="s">
        <v>15</v>
      </c>
      <c r="O971" s="10" t="s">
        <v>2054</v>
      </c>
      <c r="P971" s="25" t="str">
        <f>IFERROR(
IF(OR(O971="anulado",O971="stand by"),CONCATENATE(O971,": ",H971),
IF(OR(YEAR(M971)=2022,YEAR(M971)=2023),CONCATENATE("Se activó en ",YEAR(M971)),
IF(AND(OR(O971="En proceso",O971="facturando"),AND(J971="-",M971="")),"Por revisar",
IF(M971="",IF(J971="NUEVAS",CONCATENATE("Estado: ",O971,", ",J971),
IF(L971=Meses!$A$3,"Por revisar",
IF(H971="","Sin registro","En programación Frcst."))),"En programación")))),
"Error")</f>
        <v>Por revisar</v>
      </c>
      <c r="Q971" s="9" t="str">
        <f t="shared" si="45"/>
        <v>programación de act. SI, estado: Facturando, Comercializador: PEESA, Etapa: Instalado y Activado</v>
      </c>
      <c r="R971" s="25" t="str">
        <f>IF(P971="En programación Frcst.",VLOOKUP(L971,Meses!$A$1:$H$14,3+HLOOKUP(Cronograma!J971,Meses!$D$1:$G$2,2,FALSE),FALSE),
IF(P971="En programación",M971,""))</f>
        <v/>
      </c>
      <c r="S971" s="25" t="str">
        <f t="shared" si="47"/>
        <v/>
      </c>
      <c r="T971" s="21" t="str">
        <f>IFERROR(
(VLOOKUP(MONTH(R971),Meses!$B$3:$C$14,2,FALSE)-DAY(R971))/VLOOKUP(MONTH(R971),Meses!$B$3:$C$14,2,FALSE)*U971,
"")</f>
        <v/>
      </c>
      <c r="U971" s="22">
        <f t="shared" si="46"/>
        <v>10112</v>
      </c>
    </row>
    <row r="972" spans="1:21" ht="32.4" hidden="1" thickBot="1" x14ac:dyDescent="0.6">
      <c r="A972" s="10" t="s">
        <v>1231</v>
      </c>
      <c r="B972" s="10" t="s">
        <v>1253</v>
      </c>
      <c r="C972" s="12">
        <v>45267</v>
      </c>
      <c r="D972" s="10" t="s">
        <v>1249</v>
      </c>
      <c r="E972" s="10" t="s">
        <v>14</v>
      </c>
      <c r="F972" s="10">
        <v>20939</v>
      </c>
      <c r="G972" s="10" t="s">
        <v>15</v>
      </c>
      <c r="H972" s="10" t="s">
        <v>17</v>
      </c>
      <c r="I972" s="10" t="s">
        <v>66</v>
      </c>
      <c r="J972" s="10" t="s">
        <v>282</v>
      </c>
      <c r="K972" s="10" t="s">
        <v>1250</v>
      </c>
      <c r="L972" s="10" t="s">
        <v>145</v>
      </c>
      <c r="M972" s="12"/>
      <c r="N972" s="10" t="s">
        <v>15</v>
      </c>
      <c r="O972" s="10" t="s">
        <v>2054</v>
      </c>
      <c r="P972" s="25" t="str">
        <f>IFERROR(
IF(OR(O972="anulado",O972="stand by"),CONCATENATE(O972,": ",H972),
IF(OR(YEAR(M972)=2022,YEAR(M972)=2023),CONCATENATE("Se activó en ",YEAR(M972)),
IF(AND(OR(O972="En proceso",O972="facturando"),AND(J972="-",M972="")),"Por revisar",
IF(M972="",IF(J972="NUEVAS",CONCATENATE("Estado: ",O972,", ",J972),
IF(L972=Meses!$A$3,"Por revisar",
IF(H972="","Sin registro","En programación Frcst."))),"En programación")))),
"Error")</f>
        <v>Por revisar</v>
      </c>
      <c r="Q972" s="9" t="str">
        <f t="shared" si="45"/>
        <v>programación de act. SI, estado: Facturando, Comercializador: PEESA, Etapa: Instalado y Activado</v>
      </c>
      <c r="R972" s="25" t="str">
        <f>IF(P972="En programación Frcst.",VLOOKUP(L972,Meses!$A$1:$H$14,3+HLOOKUP(Cronograma!J972,Meses!$D$1:$G$2,2,FALSE),FALSE),
IF(P972="En programación",M972,""))</f>
        <v/>
      </c>
      <c r="S972" s="25" t="str">
        <f t="shared" si="47"/>
        <v/>
      </c>
      <c r="T972" s="21" t="str">
        <f>IFERROR(
(VLOOKUP(MONTH(R972),Meses!$B$3:$C$14,2,FALSE)-DAY(R972))/VLOOKUP(MONTH(R972),Meses!$B$3:$C$14,2,FALSE)*U972,
"")</f>
        <v/>
      </c>
      <c r="U972" s="22">
        <f t="shared" si="46"/>
        <v>20939</v>
      </c>
    </row>
    <row r="973" spans="1:21" ht="32.4" hidden="1" thickBot="1" x14ac:dyDescent="0.6">
      <c r="A973" s="10" t="s">
        <v>1231</v>
      </c>
      <c r="B973" s="10" t="s">
        <v>1254</v>
      </c>
      <c r="C973" s="12">
        <v>45267</v>
      </c>
      <c r="D973" s="10" t="s">
        <v>1249</v>
      </c>
      <c r="E973" s="10" t="s">
        <v>14</v>
      </c>
      <c r="F973" s="10">
        <v>38041</v>
      </c>
      <c r="G973" s="10" t="s">
        <v>15</v>
      </c>
      <c r="H973" s="10" t="s">
        <v>17</v>
      </c>
      <c r="I973" s="10" t="s">
        <v>66</v>
      </c>
      <c r="J973" s="10" t="s">
        <v>282</v>
      </c>
      <c r="K973" s="10" t="s">
        <v>1250</v>
      </c>
      <c r="L973" s="10" t="s">
        <v>145</v>
      </c>
      <c r="M973" s="12"/>
      <c r="N973" s="10" t="s">
        <v>15</v>
      </c>
      <c r="O973" s="10" t="s">
        <v>2054</v>
      </c>
      <c r="P973" s="25" t="str">
        <f>IFERROR(
IF(OR(O973="anulado",O973="stand by"),CONCATENATE(O973,": ",H973),
IF(OR(YEAR(M973)=2022,YEAR(M973)=2023),CONCATENATE("Se activó en ",YEAR(M973)),
IF(AND(OR(O973="En proceso",O973="facturando"),AND(J973="-",M973="")),"Por revisar",
IF(M973="",IF(J973="NUEVAS",CONCATENATE("Estado: ",O973,", ",J973),
IF(L973=Meses!$A$3,"Por revisar",
IF(H973="","Sin registro","En programación Frcst."))),"En programación")))),
"Error")</f>
        <v>Por revisar</v>
      </c>
      <c r="Q973" s="9" t="str">
        <f t="shared" si="45"/>
        <v>programación de act. SI, estado: Facturando, Comercializador: PEESA, Etapa: Instalado y Activado</v>
      </c>
      <c r="R973" s="25" t="str">
        <f>IF(P973="En programación Frcst.",VLOOKUP(L973,Meses!$A$1:$H$14,3+HLOOKUP(Cronograma!J973,Meses!$D$1:$G$2,2,FALSE),FALSE),
IF(P973="En programación",M973,""))</f>
        <v/>
      </c>
      <c r="S973" s="25" t="str">
        <f t="shared" si="47"/>
        <v/>
      </c>
      <c r="T973" s="21" t="str">
        <f>IFERROR(
(VLOOKUP(MONTH(R973),Meses!$B$3:$C$14,2,FALSE)-DAY(R973))/VLOOKUP(MONTH(R973),Meses!$B$3:$C$14,2,FALSE)*U973,
"")</f>
        <v/>
      </c>
      <c r="U973" s="22">
        <f t="shared" si="46"/>
        <v>38041</v>
      </c>
    </row>
    <row r="974" spans="1:21" ht="32.4" hidden="1" thickBot="1" x14ac:dyDescent="0.6">
      <c r="A974" s="10" t="s">
        <v>1231</v>
      </c>
      <c r="B974" s="10" t="s">
        <v>1255</v>
      </c>
      <c r="C974" s="12">
        <v>45260</v>
      </c>
      <c r="D974" s="10" t="s">
        <v>1249</v>
      </c>
      <c r="E974" s="10" t="s">
        <v>14</v>
      </c>
      <c r="F974" s="10">
        <v>23847</v>
      </c>
      <c r="G974" s="10" t="s">
        <v>15</v>
      </c>
      <c r="H974" s="10" t="s">
        <v>17</v>
      </c>
      <c r="I974" s="10" t="s">
        <v>66</v>
      </c>
      <c r="J974" s="10" t="s">
        <v>282</v>
      </c>
      <c r="K974" s="10" t="s">
        <v>1250</v>
      </c>
      <c r="L974" s="10" t="s">
        <v>145</v>
      </c>
      <c r="M974" s="12"/>
      <c r="N974" s="10" t="s">
        <v>15</v>
      </c>
      <c r="O974" s="10" t="s">
        <v>2054</v>
      </c>
      <c r="P974" s="25" t="str">
        <f>IFERROR(
IF(OR(O974="anulado",O974="stand by"),CONCATENATE(O974,": ",H974),
IF(OR(YEAR(M974)=2022,YEAR(M974)=2023),CONCATENATE("Se activó en ",YEAR(M974)),
IF(AND(OR(O974="En proceso",O974="facturando"),AND(J974="-",M974="")),"Por revisar",
IF(M974="",IF(J974="NUEVAS",CONCATENATE("Estado: ",O974,", ",J974),
IF(L974=Meses!$A$3,"Por revisar",
IF(H974="","Sin registro","En programación Frcst."))),"En programación")))),
"Error")</f>
        <v>Por revisar</v>
      </c>
      <c r="Q974" s="9" t="str">
        <f t="shared" si="45"/>
        <v>programación de act. SI, estado: Facturando, Comercializador: PEESA, Etapa: Instalado y Activado</v>
      </c>
      <c r="R974" s="25" t="str">
        <f>IF(P974="En programación Frcst.",VLOOKUP(L974,Meses!$A$1:$H$14,3+HLOOKUP(Cronograma!J974,Meses!$D$1:$G$2,2,FALSE),FALSE),
IF(P974="En programación",M974,""))</f>
        <v/>
      </c>
      <c r="S974" s="25" t="str">
        <f t="shared" si="47"/>
        <v/>
      </c>
      <c r="T974" s="21" t="str">
        <f>IFERROR(
(VLOOKUP(MONTH(R974),Meses!$B$3:$C$14,2,FALSE)-DAY(R974))/VLOOKUP(MONTH(R974),Meses!$B$3:$C$14,2,FALSE)*U974,
"")</f>
        <v/>
      </c>
      <c r="U974" s="22">
        <f t="shared" si="46"/>
        <v>23847</v>
      </c>
    </row>
    <row r="975" spans="1:21" ht="32.4" hidden="1" thickBot="1" x14ac:dyDescent="0.6">
      <c r="A975" s="10" t="s">
        <v>1231</v>
      </c>
      <c r="B975" s="10" t="s">
        <v>1256</v>
      </c>
      <c r="C975" s="12">
        <v>45260</v>
      </c>
      <c r="D975" s="10" t="s">
        <v>1249</v>
      </c>
      <c r="E975" s="10" t="s">
        <v>14</v>
      </c>
      <c r="F975" s="10">
        <v>2559</v>
      </c>
      <c r="G975" s="10" t="s">
        <v>15</v>
      </c>
      <c r="H975" s="10" t="s">
        <v>17</v>
      </c>
      <c r="I975" s="10" t="s">
        <v>66</v>
      </c>
      <c r="J975" s="10" t="s">
        <v>282</v>
      </c>
      <c r="K975" s="10" t="s">
        <v>1250</v>
      </c>
      <c r="L975" s="10" t="s">
        <v>145</v>
      </c>
      <c r="M975" s="12"/>
      <c r="N975" s="10" t="s">
        <v>15</v>
      </c>
      <c r="O975" s="10" t="s">
        <v>2054</v>
      </c>
      <c r="P975" s="25" t="str">
        <f>IFERROR(
IF(OR(O975="anulado",O975="stand by"),CONCATENATE(O975,": ",H975),
IF(OR(YEAR(M975)=2022,YEAR(M975)=2023),CONCATENATE("Se activó en ",YEAR(M975)),
IF(AND(OR(O975="En proceso",O975="facturando"),AND(J975="-",M975="")),"Por revisar",
IF(M975="",IF(J975="NUEVAS",CONCATENATE("Estado: ",O975,", ",J975),
IF(L975=Meses!$A$3,"Por revisar",
IF(H975="","Sin registro","En programación Frcst."))),"En programación")))),
"Error")</f>
        <v>Por revisar</v>
      </c>
      <c r="Q975" s="9" t="str">
        <f t="shared" si="45"/>
        <v>programación de act. SI, estado: Facturando, Comercializador: PEESA, Etapa: Instalado y Activado</v>
      </c>
      <c r="R975" s="25" t="str">
        <f>IF(P975="En programación Frcst.",VLOOKUP(L975,Meses!$A$1:$H$14,3+HLOOKUP(Cronograma!J975,Meses!$D$1:$G$2,2,FALSE),FALSE),
IF(P975="En programación",M975,""))</f>
        <v/>
      </c>
      <c r="S975" s="25" t="str">
        <f t="shared" si="47"/>
        <v/>
      </c>
      <c r="T975" s="21" t="str">
        <f>IFERROR(
(VLOOKUP(MONTH(R975),Meses!$B$3:$C$14,2,FALSE)-DAY(R975))/VLOOKUP(MONTH(R975),Meses!$B$3:$C$14,2,FALSE)*U975,
"")</f>
        <v/>
      </c>
      <c r="U975" s="22">
        <f t="shared" si="46"/>
        <v>2559</v>
      </c>
    </row>
    <row r="976" spans="1:21" ht="32.4" hidden="1" thickBot="1" x14ac:dyDescent="0.6">
      <c r="A976" s="10" t="s">
        <v>1231</v>
      </c>
      <c r="B976" s="10" t="s">
        <v>1257</v>
      </c>
      <c r="C976" s="12">
        <v>45267</v>
      </c>
      <c r="D976" s="10" t="s">
        <v>1249</v>
      </c>
      <c r="E976" s="10" t="s">
        <v>14</v>
      </c>
      <c r="F976" s="10">
        <v>34716</v>
      </c>
      <c r="G976" s="10" t="s">
        <v>15</v>
      </c>
      <c r="H976" s="10" t="s">
        <v>17</v>
      </c>
      <c r="I976" s="10" t="s">
        <v>66</v>
      </c>
      <c r="J976" s="10" t="s">
        <v>282</v>
      </c>
      <c r="K976" s="10" t="s">
        <v>1250</v>
      </c>
      <c r="L976" s="10" t="s">
        <v>145</v>
      </c>
      <c r="M976" s="12"/>
      <c r="N976" s="10" t="s">
        <v>15</v>
      </c>
      <c r="O976" s="10" t="s">
        <v>2054</v>
      </c>
      <c r="P976" s="25" t="str">
        <f>IFERROR(
IF(OR(O976="anulado",O976="stand by"),CONCATENATE(O976,": ",H976),
IF(OR(YEAR(M976)=2022,YEAR(M976)=2023),CONCATENATE("Se activó en ",YEAR(M976)),
IF(AND(OR(O976="En proceso",O976="facturando"),AND(J976="-",M976="")),"Por revisar",
IF(M976="",IF(J976="NUEVAS",CONCATENATE("Estado: ",O976,", ",J976),
IF(L976=Meses!$A$3,"Por revisar",
IF(H976="","Sin registro","En programación Frcst."))),"En programación")))),
"Error")</f>
        <v>Por revisar</v>
      </c>
      <c r="Q976" s="9" t="str">
        <f t="shared" si="45"/>
        <v>programación de act. SI, estado: Facturando, Comercializador: PEESA, Etapa: Instalado y Activado</v>
      </c>
      <c r="R976" s="25" t="str">
        <f>IF(P976="En programación Frcst.",VLOOKUP(L976,Meses!$A$1:$H$14,3+HLOOKUP(Cronograma!J976,Meses!$D$1:$G$2,2,FALSE),FALSE),
IF(P976="En programación",M976,""))</f>
        <v/>
      </c>
      <c r="S976" s="25" t="str">
        <f t="shared" si="47"/>
        <v/>
      </c>
      <c r="T976" s="21" t="str">
        <f>IFERROR(
(VLOOKUP(MONTH(R976),Meses!$B$3:$C$14,2,FALSE)-DAY(R976))/VLOOKUP(MONTH(R976),Meses!$B$3:$C$14,2,FALSE)*U976,
"")</f>
        <v/>
      </c>
      <c r="U976" s="22">
        <f t="shared" si="46"/>
        <v>34716</v>
      </c>
    </row>
    <row r="977" spans="1:21" ht="32.4" hidden="1" thickBot="1" x14ac:dyDescent="0.6">
      <c r="A977" s="10" t="s">
        <v>1231</v>
      </c>
      <c r="B977" s="10" t="s">
        <v>1258</v>
      </c>
      <c r="C977" s="12">
        <v>45260</v>
      </c>
      <c r="D977" s="10" t="s">
        <v>1249</v>
      </c>
      <c r="E977" s="10" t="s">
        <v>14</v>
      </c>
      <c r="F977" s="10">
        <v>18334</v>
      </c>
      <c r="G977" s="10" t="s">
        <v>15</v>
      </c>
      <c r="H977" s="10" t="s">
        <v>17</v>
      </c>
      <c r="I977" s="10" t="s">
        <v>66</v>
      </c>
      <c r="J977" s="10" t="s">
        <v>282</v>
      </c>
      <c r="K977" s="10" t="s">
        <v>1250</v>
      </c>
      <c r="L977" s="10" t="s">
        <v>145</v>
      </c>
      <c r="M977" s="12"/>
      <c r="N977" s="10" t="s">
        <v>15</v>
      </c>
      <c r="O977" s="10" t="s">
        <v>2054</v>
      </c>
      <c r="P977" s="25" t="str">
        <f>IFERROR(
IF(OR(O977="anulado",O977="stand by"),CONCATENATE(O977,": ",H977),
IF(OR(YEAR(M977)=2022,YEAR(M977)=2023),CONCATENATE("Se activó en ",YEAR(M977)),
IF(AND(OR(O977="En proceso",O977="facturando"),AND(J977="-",M977="")),"Por revisar",
IF(M977="",IF(J977="NUEVAS",CONCATENATE("Estado: ",O977,", ",J977),
IF(L977=Meses!$A$3,"Por revisar",
IF(H977="","Sin registro","En programación Frcst."))),"En programación")))),
"Error")</f>
        <v>Por revisar</v>
      </c>
      <c r="Q977" s="9" t="str">
        <f t="shared" si="45"/>
        <v>programación de act. SI, estado: Facturando, Comercializador: PEESA, Etapa: Instalado y Activado</v>
      </c>
      <c r="R977" s="25" t="str">
        <f>IF(P977="En programación Frcst.",VLOOKUP(L977,Meses!$A$1:$H$14,3+HLOOKUP(Cronograma!J977,Meses!$D$1:$G$2,2,FALSE),FALSE),
IF(P977="En programación",M977,""))</f>
        <v/>
      </c>
      <c r="S977" s="25" t="str">
        <f t="shared" si="47"/>
        <v/>
      </c>
      <c r="T977" s="21" t="str">
        <f>IFERROR(
(VLOOKUP(MONTH(R977),Meses!$B$3:$C$14,2,FALSE)-DAY(R977))/VLOOKUP(MONTH(R977),Meses!$B$3:$C$14,2,FALSE)*U977,
"")</f>
        <v/>
      </c>
      <c r="U977" s="22">
        <f t="shared" si="46"/>
        <v>18334</v>
      </c>
    </row>
    <row r="978" spans="1:21" ht="32.4" hidden="1" thickBot="1" x14ac:dyDescent="0.6">
      <c r="A978" s="10" t="s">
        <v>1231</v>
      </c>
      <c r="B978" s="10" t="s">
        <v>1259</v>
      </c>
      <c r="C978" s="12">
        <v>45260</v>
      </c>
      <c r="D978" s="10" t="s">
        <v>1249</v>
      </c>
      <c r="E978" s="10" t="s">
        <v>14</v>
      </c>
      <c r="F978" s="10">
        <v>14825</v>
      </c>
      <c r="G978" s="10" t="s">
        <v>15</v>
      </c>
      <c r="H978" s="10" t="s">
        <v>17</v>
      </c>
      <c r="I978" s="10" t="s">
        <v>66</v>
      </c>
      <c r="J978" s="10" t="s">
        <v>282</v>
      </c>
      <c r="K978" s="10" t="s">
        <v>1250</v>
      </c>
      <c r="L978" s="10" t="s">
        <v>145</v>
      </c>
      <c r="M978" s="12"/>
      <c r="N978" s="10" t="s">
        <v>15</v>
      </c>
      <c r="O978" s="10" t="s">
        <v>2054</v>
      </c>
      <c r="P978" s="25" t="str">
        <f>IFERROR(
IF(OR(O978="anulado",O978="stand by"),CONCATENATE(O978,": ",H978),
IF(OR(YEAR(M978)=2022,YEAR(M978)=2023),CONCATENATE("Se activó en ",YEAR(M978)),
IF(AND(OR(O978="En proceso",O978="facturando"),AND(J978="-",M978="")),"Por revisar",
IF(M978="",IF(J978="NUEVAS",CONCATENATE("Estado: ",O978,", ",J978),
IF(L978=Meses!$A$3,"Por revisar",
IF(H978="","Sin registro","En programación Frcst."))),"En programación")))),
"Error")</f>
        <v>Por revisar</v>
      </c>
      <c r="Q978" s="9" t="str">
        <f t="shared" si="45"/>
        <v>programación de act. SI, estado: Facturando, Comercializador: PEESA, Etapa: Instalado y Activado</v>
      </c>
      <c r="R978" s="25" t="str">
        <f>IF(P978="En programación Frcst.",VLOOKUP(L978,Meses!$A$1:$H$14,3+HLOOKUP(Cronograma!J978,Meses!$D$1:$G$2,2,FALSE),FALSE),
IF(P978="En programación",M978,""))</f>
        <v/>
      </c>
      <c r="S978" s="25" t="str">
        <f t="shared" si="47"/>
        <v/>
      </c>
      <c r="T978" s="21" t="str">
        <f>IFERROR(
(VLOOKUP(MONTH(R978),Meses!$B$3:$C$14,2,FALSE)-DAY(R978))/VLOOKUP(MONTH(R978),Meses!$B$3:$C$14,2,FALSE)*U978,
"")</f>
        <v/>
      </c>
      <c r="U978" s="22">
        <f t="shared" si="46"/>
        <v>14825</v>
      </c>
    </row>
    <row r="979" spans="1:21" ht="32.4" hidden="1" thickBot="1" x14ac:dyDescent="0.6">
      <c r="A979" s="10" t="s">
        <v>1231</v>
      </c>
      <c r="B979" s="10" t="s">
        <v>1260</v>
      </c>
      <c r="C979" s="12">
        <v>45267</v>
      </c>
      <c r="D979" s="10" t="s">
        <v>1249</v>
      </c>
      <c r="E979" s="10" t="s">
        <v>14</v>
      </c>
      <c r="F979" s="10">
        <v>20948</v>
      </c>
      <c r="G979" s="10" t="s">
        <v>15</v>
      </c>
      <c r="H979" s="10" t="s">
        <v>17</v>
      </c>
      <c r="I979" s="10" t="s">
        <v>66</v>
      </c>
      <c r="J979" s="10" t="s">
        <v>282</v>
      </c>
      <c r="K979" s="10" t="s">
        <v>1250</v>
      </c>
      <c r="L979" s="10" t="s">
        <v>145</v>
      </c>
      <c r="M979" s="12"/>
      <c r="N979" s="10" t="s">
        <v>15</v>
      </c>
      <c r="O979" s="10" t="s">
        <v>2054</v>
      </c>
      <c r="P979" s="25" t="str">
        <f>IFERROR(
IF(OR(O979="anulado",O979="stand by"),CONCATENATE(O979,": ",H979),
IF(OR(YEAR(M979)=2022,YEAR(M979)=2023),CONCATENATE("Se activó en ",YEAR(M979)),
IF(AND(OR(O979="En proceso",O979="facturando"),AND(J979="-",M979="")),"Por revisar",
IF(M979="",IF(J979="NUEVAS",CONCATENATE("Estado: ",O979,", ",J979),
IF(L979=Meses!$A$3,"Por revisar",
IF(H979="","Sin registro","En programación Frcst."))),"En programación")))),
"Error")</f>
        <v>Por revisar</v>
      </c>
      <c r="Q979" s="9" t="str">
        <f t="shared" si="45"/>
        <v>programación de act. SI, estado: Facturando, Comercializador: PEESA, Etapa: Instalado y Activado</v>
      </c>
      <c r="R979" s="25" t="str">
        <f>IF(P979="En programación Frcst.",VLOOKUP(L979,Meses!$A$1:$H$14,3+HLOOKUP(Cronograma!J979,Meses!$D$1:$G$2,2,FALSE),FALSE),
IF(P979="En programación",M979,""))</f>
        <v/>
      </c>
      <c r="S979" s="25" t="str">
        <f t="shared" si="47"/>
        <v/>
      </c>
      <c r="T979" s="21" t="str">
        <f>IFERROR(
(VLOOKUP(MONTH(R979),Meses!$B$3:$C$14,2,FALSE)-DAY(R979))/VLOOKUP(MONTH(R979),Meses!$B$3:$C$14,2,FALSE)*U979,
"")</f>
        <v/>
      </c>
      <c r="U979" s="22">
        <f t="shared" si="46"/>
        <v>20948</v>
      </c>
    </row>
    <row r="980" spans="1:21" ht="32.4" hidden="1" thickBot="1" x14ac:dyDescent="0.6">
      <c r="A980" s="10" t="s">
        <v>1231</v>
      </c>
      <c r="B980" s="10" t="s">
        <v>1261</v>
      </c>
      <c r="C980" s="12">
        <v>45267</v>
      </c>
      <c r="D980" s="10" t="s">
        <v>1249</v>
      </c>
      <c r="E980" s="10" t="s">
        <v>14</v>
      </c>
      <c r="F980" s="10">
        <v>32848</v>
      </c>
      <c r="G980" s="10" t="s">
        <v>15</v>
      </c>
      <c r="H980" s="10" t="s">
        <v>17</v>
      </c>
      <c r="I980" s="10" t="s">
        <v>66</v>
      </c>
      <c r="J980" s="10" t="s">
        <v>282</v>
      </c>
      <c r="K980" s="10" t="s">
        <v>1250</v>
      </c>
      <c r="L980" s="10" t="s">
        <v>145</v>
      </c>
      <c r="M980" s="12"/>
      <c r="N980" s="10" t="s">
        <v>15</v>
      </c>
      <c r="O980" s="10" t="s">
        <v>2054</v>
      </c>
      <c r="P980" s="25" t="str">
        <f>IFERROR(
IF(OR(O980="anulado",O980="stand by"),CONCATENATE(O980,": ",H980),
IF(OR(YEAR(M980)=2022,YEAR(M980)=2023),CONCATENATE("Se activó en ",YEAR(M980)),
IF(AND(OR(O980="En proceso",O980="facturando"),AND(J980="-",M980="")),"Por revisar",
IF(M980="",IF(J980="NUEVAS",CONCATENATE("Estado: ",O980,", ",J980),
IF(L980=Meses!$A$3,"Por revisar",
IF(H980="","Sin registro","En programación Frcst."))),"En programación")))),
"Error")</f>
        <v>Por revisar</v>
      </c>
      <c r="Q980" s="9" t="str">
        <f t="shared" si="45"/>
        <v>programación de act. SI, estado: Facturando, Comercializador: PEESA, Etapa: Instalado y Activado</v>
      </c>
      <c r="R980" s="25" t="str">
        <f>IF(P980="En programación Frcst.",VLOOKUP(L980,Meses!$A$1:$H$14,3+HLOOKUP(Cronograma!J980,Meses!$D$1:$G$2,2,FALSE),FALSE),
IF(P980="En programación",M980,""))</f>
        <v/>
      </c>
      <c r="S980" s="25" t="str">
        <f t="shared" si="47"/>
        <v/>
      </c>
      <c r="T980" s="21" t="str">
        <f>IFERROR(
(VLOOKUP(MONTH(R980),Meses!$B$3:$C$14,2,FALSE)-DAY(R980))/VLOOKUP(MONTH(R980),Meses!$B$3:$C$14,2,FALSE)*U980,
"")</f>
        <v/>
      </c>
      <c r="U980" s="22">
        <f t="shared" si="46"/>
        <v>32848</v>
      </c>
    </row>
    <row r="981" spans="1:21" ht="32.4" hidden="1" thickBot="1" x14ac:dyDescent="0.6">
      <c r="A981" s="10" t="s">
        <v>1231</v>
      </c>
      <c r="B981" s="10" t="s">
        <v>1262</v>
      </c>
      <c r="C981" s="12">
        <v>45267</v>
      </c>
      <c r="D981" s="10" t="s">
        <v>1249</v>
      </c>
      <c r="E981" s="10" t="s">
        <v>14</v>
      </c>
      <c r="F981" s="10">
        <v>298542</v>
      </c>
      <c r="G981" s="10" t="s">
        <v>15</v>
      </c>
      <c r="H981" s="10" t="s">
        <v>17</v>
      </c>
      <c r="I981" s="10" t="s">
        <v>66</v>
      </c>
      <c r="J981" s="10" t="s">
        <v>143</v>
      </c>
      <c r="K981" s="10" t="s">
        <v>144</v>
      </c>
      <c r="L981" s="10" t="s">
        <v>145</v>
      </c>
      <c r="M981" s="12"/>
      <c r="N981" s="10" t="s">
        <v>15</v>
      </c>
      <c r="O981" s="10" t="s">
        <v>2054</v>
      </c>
      <c r="P981" s="25" t="str">
        <f>IFERROR(
IF(OR(O981="anulado",O981="stand by"),CONCATENATE(O981,": ",H981),
IF(OR(YEAR(M981)=2022,YEAR(M981)=2023),CONCATENATE("Se activó en ",YEAR(M981)),
IF(AND(OR(O981="En proceso",O981="facturando"),AND(J981="-",M981="")),"Por revisar",
IF(M981="",IF(J981="NUEVAS",CONCATENATE("Estado: ",O981,", ",J981),
IF(L981=Meses!$A$3,"Por revisar",
IF(H981="","Sin registro","En programación Frcst."))),"En programación")))),
"Error")</f>
        <v>Por revisar</v>
      </c>
      <c r="Q981" s="9" t="str">
        <f t="shared" si="45"/>
        <v>programación de act. SI, estado: Facturando, Comercializador: PEESA, Etapa: Instalado y Activado</v>
      </c>
      <c r="R981" s="25" t="str">
        <f>IF(P981="En programación Frcst.",VLOOKUP(L981,Meses!$A$1:$H$14,3+HLOOKUP(Cronograma!J981,Meses!$D$1:$G$2,2,FALSE),FALSE),
IF(P981="En programación",M981,""))</f>
        <v/>
      </c>
      <c r="S981" s="25" t="str">
        <f t="shared" si="47"/>
        <v/>
      </c>
      <c r="T981" s="21" t="str">
        <f>IFERROR(
(VLOOKUP(MONTH(R981),Meses!$B$3:$C$14,2,FALSE)-DAY(R981))/VLOOKUP(MONTH(R981),Meses!$B$3:$C$14,2,FALSE)*U981,
"")</f>
        <v/>
      </c>
      <c r="U981" s="22">
        <f t="shared" si="46"/>
        <v>298542</v>
      </c>
    </row>
    <row r="982" spans="1:21" ht="31.8" hidden="1" thickBot="1" x14ac:dyDescent="0.6">
      <c r="A982" s="10" t="s">
        <v>1231</v>
      </c>
      <c r="B982" s="10" t="s">
        <v>1263</v>
      </c>
      <c r="C982" s="12"/>
      <c r="D982" s="10" t="s">
        <v>14</v>
      </c>
      <c r="E982" s="10" t="s">
        <v>14</v>
      </c>
      <c r="F982" s="10">
        <v>5221</v>
      </c>
      <c r="G982" s="10" t="s">
        <v>15</v>
      </c>
      <c r="H982" s="10" t="s">
        <v>2917</v>
      </c>
      <c r="I982" s="10" t="s">
        <v>18</v>
      </c>
      <c r="J982" s="10" t="s">
        <v>277</v>
      </c>
      <c r="K982" s="10" t="s">
        <v>3310</v>
      </c>
      <c r="L982" s="10" t="s">
        <v>1120</v>
      </c>
      <c r="M982" s="12">
        <v>45372</v>
      </c>
      <c r="N982" s="10" t="s">
        <v>15</v>
      </c>
      <c r="O982" s="10" t="s">
        <v>2057</v>
      </c>
      <c r="P982" s="25" t="str">
        <f>IFERROR(
IF(OR(O982="anulado",O982="stand by"),CONCATENATE(O982,": ",H982),
IF(OR(YEAR(M982)=2022,YEAR(M982)=2023),CONCATENATE("Se activó en ",YEAR(M982)),
IF(AND(OR(O982="En proceso",O982="facturando"),AND(J982="-",M982="")),"Por revisar",
IF(M982="",IF(J982="NUEVAS",CONCATENATE("Estado: ",O982,", ",J982),
IF(L982=Meses!$A$3,"Por revisar",
IF(H982="","Sin registro","En programación Frcst."))),"En programación")))),
"Error")</f>
        <v>En programación</v>
      </c>
      <c r="Q982" s="9" t="str">
        <f t="shared" si="45"/>
        <v/>
      </c>
      <c r="R982" s="25">
        <f>IF(P982="En programación Frcst.",VLOOKUP(L982,Meses!$A$1:$H$14,3+HLOOKUP(Cronograma!J982,Meses!$D$1:$G$2,2,FALSE),FALSE),
IF(P982="En programación",M982,""))</f>
        <v>45372</v>
      </c>
      <c r="S982" s="25" t="str">
        <f t="shared" si="47"/>
        <v>2024/3</v>
      </c>
      <c r="T982" s="21">
        <f>IFERROR(
(VLOOKUP(MONTH(R982),Meses!$B$3:$C$14,2,FALSE)-DAY(R982))/VLOOKUP(MONTH(R982),Meses!$B$3:$C$14,2,FALSE)*U982,
"")</f>
        <v>1684.1935483870968</v>
      </c>
      <c r="U982" s="22">
        <f t="shared" si="46"/>
        <v>5221</v>
      </c>
    </row>
    <row r="983" spans="1:21" ht="31.8" hidden="1" thickBot="1" x14ac:dyDescent="0.6">
      <c r="A983" s="10" t="s">
        <v>1231</v>
      </c>
      <c r="B983" s="10" t="s">
        <v>1264</v>
      </c>
      <c r="C983" s="12"/>
      <c r="D983" s="10" t="s">
        <v>14</v>
      </c>
      <c r="E983" s="10" t="s">
        <v>14</v>
      </c>
      <c r="F983" s="10">
        <v>9040</v>
      </c>
      <c r="G983" s="10" t="s">
        <v>15</v>
      </c>
      <c r="H983" s="10" t="s">
        <v>2917</v>
      </c>
      <c r="I983" s="10" t="s">
        <v>18</v>
      </c>
      <c r="J983" s="10" t="s">
        <v>277</v>
      </c>
      <c r="K983" s="10" t="s">
        <v>3310</v>
      </c>
      <c r="L983" s="10" t="s">
        <v>1120</v>
      </c>
      <c r="M983" s="12">
        <v>45372</v>
      </c>
      <c r="N983" s="10" t="s">
        <v>15</v>
      </c>
      <c r="O983" s="10" t="s">
        <v>2057</v>
      </c>
      <c r="P983" s="25" t="str">
        <f>IFERROR(
IF(OR(O983="anulado",O983="stand by"),CONCATENATE(O983,": ",H983),
IF(OR(YEAR(M983)=2022,YEAR(M983)=2023),CONCATENATE("Se activó en ",YEAR(M983)),
IF(AND(OR(O983="En proceso",O983="facturando"),AND(J983="-",M983="")),"Por revisar",
IF(M983="",IF(J983="NUEVAS",CONCATENATE("Estado: ",O983,", ",J983),
IF(L983=Meses!$A$3,"Por revisar",
IF(H983="","Sin registro","En programación Frcst."))),"En programación")))),
"Error")</f>
        <v>En programación</v>
      </c>
      <c r="Q983" s="9" t="str">
        <f t="shared" si="45"/>
        <v/>
      </c>
      <c r="R983" s="25">
        <f>IF(P983="En programación Frcst.",VLOOKUP(L983,Meses!$A$1:$H$14,3+HLOOKUP(Cronograma!J983,Meses!$D$1:$G$2,2,FALSE),FALSE),
IF(P983="En programación",M983,""))</f>
        <v>45372</v>
      </c>
      <c r="S983" s="25" t="str">
        <f t="shared" si="47"/>
        <v>2024/3</v>
      </c>
      <c r="T983" s="21">
        <f>IFERROR(
(VLOOKUP(MONTH(R983),Meses!$B$3:$C$14,2,FALSE)-DAY(R983))/VLOOKUP(MONTH(R983),Meses!$B$3:$C$14,2,FALSE)*U983,
"")</f>
        <v>2916.1290322580644</v>
      </c>
      <c r="U983" s="22">
        <f t="shared" si="46"/>
        <v>9040</v>
      </c>
    </row>
    <row r="984" spans="1:21" ht="31.8" hidden="1" thickBot="1" x14ac:dyDescent="0.6">
      <c r="A984" s="10" t="s">
        <v>1231</v>
      </c>
      <c r="B984" s="10" t="s">
        <v>1265</v>
      </c>
      <c r="C984" s="12"/>
      <c r="D984" s="10" t="s">
        <v>14</v>
      </c>
      <c r="E984" s="10" t="s">
        <v>14</v>
      </c>
      <c r="F984" s="10">
        <v>1343</v>
      </c>
      <c r="G984" s="10" t="s">
        <v>15</v>
      </c>
      <c r="H984" s="10" t="s">
        <v>2917</v>
      </c>
      <c r="I984" s="10" t="s">
        <v>18</v>
      </c>
      <c r="J984" s="10" t="s">
        <v>277</v>
      </c>
      <c r="K984" s="10" t="s">
        <v>3310</v>
      </c>
      <c r="L984" s="10" t="s">
        <v>1120</v>
      </c>
      <c r="M984" s="12">
        <v>45372</v>
      </c>
      <c r="N984" s="10" t="s">
        <v>15</v>
      </c>
      <c r="O984" s="10" t="s">
        <v>2057</v>
      </c>
      <c r="P984" s="25" t="str">
        <f>IFERROR(
IF(OR(O984="anulado",O984="stand by"),CONCATENATE(O984,": ",H984),
IF(OR(YEAR(M984)=2022,YEAR(M984)=2023),CONCATENATE("Se activó en ",YEAR(M984)),
IF(AND(OR(O984="En proceso",O984="facturando"),AND(J984="-",M984="")),"Por revisar",
IF(M984="",IF(J984="NUEVAS",CONCATENATE("Estado: ",O984,", ",J984),
IF(L984=Meses!$A$3,"Por revisar",
IF(H984="","Sin registro","En programación Frcst."))),"En programación")))),
"Error")</f>
        <v>En programación</v>
      </c>
      <c r="Q984" s="9" t="str">
        <f t="shared" si="45"/>
        <v/>
      </c>
      <c r="R984" s="25">
        <f>IF(P984="En programación Frcst.",VLOOKUP(L984,Meses!$A$1:$H$14,3+HLOOKUP(Cronograma!J984,Meses!$D$1:$G$2,2,FALSE),FALSE),
IF(P984="En programación",M984,""))</f>
        <v>45372</v>
      </c>
      <c r="S984" s="25" t="str">
        <f t="shared" si="47"/>
        <v>2024/3</v>
      </c>
      <c r="T984" s="21">
        <f>IFERROR(
(VLOOKUP(MONTH(R984),Meses!$B$3:$C$14,2,FALSE)-DAY(R984))/VLOOKUP(MONTH(R984),Meses!$B$3:$C$14,2,FALSE)*U984,
"")</f>
        <v>433.22580645161287</v>
      </c>
      <c r="U984" s="22">
        <f t="shared" si="46"/>
        <v>1343</v>
      </c>
    </row>
    <row r="985" spans="1:21" ht="31.8" hidden="1" thickBot="1" x14ac:dyDescent="0.6">
      <c r="A985" s="10" t="s">
        <v>1231</v>
      </c>
      <c r="B985" s="10" t="s">
        <v>1266</v>
      </c>
      <c r="C985" s="12">
        <v>45309</v>
      </c>
      <c r="D985" s="10" t="s">
        <v>14</v>
      </c>
      <c r="E985" s="10" t="s">
        <v>14</v>
      </c>
      <c r="F985" s="10">
        <v>69</v>
      </c>
      <c r="G985" s="10" t="s">
        <v>15</v>
      </c>
      <c r="H985" s="10" t="s">
        <v>2406</v>
      </c>
      <c r="I985" s="10" t="s">
        <v>18</v>
      </c>
      <c r="J985" s="10" t="s">
        <v>277</v>
      </c>
      <c r="K985" s="10" t="s">
        <v>278</v>
      </c>
      <c r="L985" s="10" t="s">
        <v>279</v>
      </c>
      <c r="M985" s="12"/>
      <c r="N985" s="10" t="s">
        <v>15</v>
      </c>
      <c r="O985" s="10" t="s">
        <v>2054</v>
      </c>
      <c r="P985" s="25" t="str">
        <f>IFERROR(
IF(OR(O985="anulado",O985="stand by"),CONCATENATE(O985,": ",H985),
IF(OR(YEAR(M985)=2022,YEAR(M985)=2023),CONCATENATE("Se activó en ",YEAR(M985)),
IF(AND(OR(O985="En proceso",O985="facturando"),AND(J985="-",M985="")),"Por revisar",
IF(M985="",IF(J985="NUEVAS",CONCATENATE("Estado: ",O985,", ",J985),
IF(L985=Meses!$A$3,"Por revisar",
IF(H985="","Sin registro","En programación Frcst."))),"En programación")))),
"Error")</f>
        <v>En programación Frcst.</v>
      </c>
      <c r="Q985" s="9" t="str">
        <f t="shared" si="45"/>
        <v/>
      </c>
      <c r="R985" s="25">
        <f>IF(P985="En programación Frcst.",VLOOKUP(L985,Meses!$A$1:$H$14,3+HLOOKUP(Cronograma!J985,Meses!$D$1:$G$2,2,FALSE),FALSE),
IF(P985="En programación",M985,""))</f>
        <v>45309</v>
      </c>
      <c r="S985" s="25" t="str">
        <f t="shared" si="47"/>
        <v>2024/1</v>
      </c>
      <c r="T985" s="21">
        <f>IFERROR(
(VLOOKUP(MONTH(R985),Meses!$B$3:$C$14,2,FALSE)-DAY(R985))/VLOOKUP(MONTH(R985),Meses!$B$3:$C$14,2,FALSE)*U985,
"")</f>
        <v>28.935483870967744</v>
      </c>
      <c r="U985" s="22">
        <f t="shared" si="46"/>
        <v>69</v>
      </c>
    </row>
    <row r="986" spans="1:21" ht="31.8" hidden="1" thickBot="1" x14ac:dyDescent="0.6">
      <c r="A986" s="10" t="s">
        <v>1231</v>
      </c>
      <c r="B986" s="10" t="s">
        <v>1267</v>
      </c>
      <c r="C986" s="12">
        <v>45309</v>
      </c>
      <c r="D986" s="10" t="s">
        <v>14</v>
      </c>
      <c r="E986" s="10" t="s">
        <v>14</v>
      </c>
      <c r="F986" s="10">
        <v>1323</v>
      </c>
      <c r="G986" s="10" t="s">
        <v>15</v>
      </c>
      <c r="H986" s="10" t="s">
        <v>2406</v>
      </c>
      <c r="I986" s="10" t="s">
        <v>18</v>
      </c>
      <c r="J986" s="10" t="s">
        <v>277</v>
      </c>
      <c r="K986" s="10" t="s">
        <v>278</v>
      </c>
      <c r="L986" s="10" t="s">
        <v>279</v>
      </c>
      <c r="M986" s="12"/>
      <c r="N986" s="10" t="s">
        <v>15</v>
      </c>
      <c r="O986" s="10" t="s">
        <v>2054</v>
      </c>
      <c r="P986" s="25" t="str">
        <f>IFERROR(
IF(OR(O986="anulado",O986="stand by"),CONCATENATE(O986,": ",H986),
IF(OR(YEAR(M986)=2022,YEAR(M986)=2023),CONCATENATE("Se activó en ",YEAR(M986)),
IF(AND(OR(O986="En proceso",O986="facturando"),AND(J986="-",M986="")),"Por revisar",
IF(M986="",IF(J986="NUEVAS",CONCATENATE("Estado: ",O986,", ",J986),
IF(L986=Meses!$A$3,"Por revisar",
IF(H986="","Sin registro","En programación Frcst."))),"En programación")))),
"Error")</f>
        <v>En programación Frcst.</v>
      </c>
      <c r="Q986" s="9" t="str">
        <f t="shared" si="45"/>
        <v/>
      </c>
      <c r="R986" s="25">
        <f>IF(P986="En programación Frcst.",VLOOKUP(L986,Meses!$A$1:$H$14,3+HLOOKUP(Cronograma!J986,Meses!$D$1:$G$2,2,FALSE),FALSE),
IF(P986="En programación",M986,""))</f>
        <v>45309</v>
      </c>
      <c r="S986" s="25" t="str">
        <f t="shared" si="47"/>
        <v>2024/1</v>
      </c>
      <c r="T986" s="21">
        <f>IFERROR(
(VLOOKUP(MONTH(R986),Meses!$B$3:$C$14,2,FALSE)-DAY(R986))/VLOOKUP(MONTH(R986),Meses!$B$3:$C$14,2,FALSE)*U986,
"")</f>
        <v>554.80645161290329</v>
      </c>
      <c r="U986" s="22">
        <f t="shared" si="46"/>
        <v>1323</v>
      </c>
    </row>
    <row r="987" spans="1:21" ht="31.8" hidden="1" thickBot="1" x14ac:dyDescent="0.6">
      <c r="A987" s="10" t="s">
        <v>1231</v>
      </c>
      <c r="B987" s="10" t="s">
        <v>1268</v>
      </c>
      <c r="C987" s="12">
        <v>45309</v>
      </c>
      <c r="D987" s="10" t="s">
        <v>14</v>
      </c>
      <c r="E987" s="10" t="s">
        <v>14</v>
      </c>
      <c r="F987" s="10">
        <v>4630</v>
      </c>
      <c r="G987" s="10" t="s">
        <v>15</v>
      </c>
      <c r="H987" s="10" t="s">
        <v>2406</v>
      </c>
      <c r="I987" s="10" t="s">
        <v>18</v>
      </c>
      <c r="J987" s="10" t="s">
        <v>277</v>
      </c>
      <c r="K987" s="10" t="s">
        <v>278</v>
      </c>
      <c r="L987" s="10" t="s">
        <v>279</v>
      </c>
      <c r="M987" s="12"/>
      <c r="N987" s="10" t="s">
        <v>15</v>
      </c>
      <c r="O987" s="10" t="s">
        <v>2054</v>
      </c>
      <c r="P987" s="25" t="str">
        <f>IFERROR(
IF(OR(O987="anulado",O987="stand by"),CONCATENATE(O987,": ",H987),
IF(OR(YEAR(M987)=2022,YEAR(M987)=2023),CONCATENATE("Se activó en ",YEAR(M987)),
IF(AND(OR(O987="En proceso",O987="facturando"),AND(J987="-",M987="")),"Por revisar",
IF(M987="",IF(J987="NUEVAS",CONCATENATE("Estado: ",O987,", ",J987),
IF(L987=Meses!$A$3,"Por revisar",
IF(H987="","Sin registro","En programación Frcst."))),"En programación")))),
"Error")</f>
        <v>En programación Frcst.</v>
      </c>
      <c r="Q987" s="9" t="str">
        <f t="shared" si="45"/>
        <v/>
      </c>
      <c r="R987" s="25">
        <f>IF(P987="En programación Frcst.",VLOOKUP(L987,Meses!$A$1:$H$14,3+HLOOKUP(Cronograma!J987,Meses!$D$1:$G$2,2,FALSE),FALSE),
IF(P987="En programación",M987,""))</f>
        <v>45309</v>
      </c>
      <c r="S987" s="25" t="str">
        <f t="shared" si="47"/>
        <v>2024/1</v>
      </c>
      <c r="T987" s="21">
        <f>IFERROR(
(VLOOKUP(MONTH(R987),Meses!$B$3:$C$14,2,FALSE)-DAY(R987))/VLOOKUP(MONTH(R987),Meses!$B$3:$C$14,2,FALSE)*U987,
"")</f>
        <v>1941.6129032258066</v>
      </c>
      <c r="U987" s="22">
        <f t="shared" si="46"/>
        <v>4630</v>
      </c>
    </row>
    <row r="988" spans="1:21" ht="31.8" hidden="1" thickBot="1" x14ac:dyDescent="0.6">
      <c r="A988" s="10" t="s">
        <v>1231</v>
      </c>
      <c r="B988" s="10" t="s">
        <v>1269</v>
      </c>
      <c r="C988" s="12">
        <v>45309</v>
      </c>
      <c r="D988" s="10" t="s">
        <v>14</v>
      </c>
      <c r="E988" s="10" t="s">
        <v>14</v>
      </c>
      <c r="F988" s="10">
        <v>20480</v>
      </c>
      <c r="G988" s="10" t="s">
        <v>15</v>
      </c>
      <c r="H988" s="10" t="s">
        <v>2406</v>
      </c>
      <c r="I988" s="10" t="s">
        <v>18</v>
      </c>
      <c r="J988" s="10" t="s">
        <v>277</v>
      </c>
      <c r="K988" s="10" t="s">
        <v>278</v>
      </c>
      <c r="L988" s="10" t="s">
        <v>279</v>
      </c>
      <c r="M988" s="12"/>
      <c r="N988" s="10" t="s">
        <v>15</v>
      </c>
      <c r="O988" s="10" t="s">
        <v>2054</v>
      </c>
      <c r="P988" s="25" t="str">
        <f>IFERROR(
IF(OR(O988="anulado",O988="stand by"),CONCATENATE(O988,": ",H988),
IF(OR(YEAR(M988)=2022,YEAR(M988)=2023),CONCATENATE("Se activó en ",YEAR(M988)),
IF(AND(OR(O988="En proceso",O988="facturando"),AND(J988="-",M988="")),"Por revisar",
IF(M988="",IF(J988="NUEVAS",CONCATENATE("Estado: ",O988,", ",J988),
IF(L988=Meses!$A$3,"Por revisar",
IF(H988="","Sin registro","En programación Frcst."))),"En programación")))),
"Error")</f>
        <v>En programación Frcst.</v>
      </c>
      <c r="Q988" s="9" t="str">
        <f t="shared" si="45"/>
        <v/>
      </c>
      <c r="R988" s="25">
        <f>IF(P988="En programación Frcst.",VLOOKUP(L988,Meses!$A$1:$H$14,3+HLOOKUP(Cronograma!J988,Meses!$D$1:$G$2,2,FALSE),FALSE),
IF(P988="En programación",M988,""))</f>
        <v>45309</v>
      </c>
      <c r="S988" s="25" t="str">
        <f t="shared" si="47"/>
        <v>2024/1</v>
      </c>
      <c r="T988" s="21">
        <f>IFERROR(
(VLOOKUP(MONTH(R988),Meses!$B$3:$C$14,2,FALSE)-DAY(R988))/VLOOKUP(MONTH(R988),Meses!$B$3:$C$14,2,FALSE)*U988,
"")</f>
        <v>8588.3870967741932</v>
      </c>
      <c r="U988" s="22">
        <f t="shared" si="46"/>
        <v>20480</v>
      </c>
    </row>
    <row r="989" spans="1:21" ht="32.4" hidden="1" thickBot="1" x14ac:dyDescent="0.6">
      <c r="A989" s="10" t="s">
        <v>1270</v>
      </c>
      <c r="B989" s="10" t="s">
        <v>1271</v>
      </c>
      <c r="C989" s="12">
        <v>45204</v>
      </c>
      <c r="D989" s="10" t="s">
        <v>862</v>
      </c>
      <c r="E989" s="10" t="s">
        <v>14</v>
      </c>
      <c r="F989" s="10">
        <v>14310</v>
      </c>
      <c r="G989" s="10" t="s">
        <v>15</v>
      </c>
      <c r="H989" s="10" t="s">
        <v>17</v>
      </c>
      <c r="I989" s="10" t="s">
        <v>66</v>
      </c>
      <c r="J989" s="10" t="s">
        <v>19</v>
      </c>
      <c r="K989" s="10" t="s">
        <v>19</v>
      </c>
      <c r="L989" s="10" t="s">
        <v>19</v>
      </c>
      <c r="M989" s="12"/>
      <c r="N989" s="10" t="s">
        <v>20</v>
      </c>
      <c r="O989" s="10" t="s">
        <v>2054</v>
      </c>
      <c r="P989" s="25" t="str">
        <f>IFERROR(
IF(OR(O989="anulado",O989="stand by"),CONCATENATE(O989,": ",H989),
IF(OR(YEAR(M989)=2022,YEAR(M989)=2023),CONCATENATE("Se activó en ",YEAR(M989)),
IF(AND(OR(O989="En proceso",O989="facturando"),AND(J989="-",M989="")),"Por revisar",
IF(M989="",IF(J989="NUEVAS",CONCATENATE("Estado: ",O989,", ",J989),
IF(L989=Meses!$A$3,"Por revisar",
IF(H989="","Sin registro","En programación Frcst."))),"En programación")))),
"Error")</f>
        <v>Por revisar</v>
      </c>
      <c r="Q989" s="9" t="str">
        <f t="shared" si="45"/>
        <v>programación de act. NO, estado: Facturando, Comercializador: DICELER, Etapa: Instalado y Activado</v>
      </c>
      <c r="R989" s="25" t="str">
        <f>IF(P989="En programación Frcst.",VLOOKUP(L989,Meses!$A$1:$H$14,3+HLOOKUP(Cronograma!J989,Meses!$D$1:$G$2,2,FALSE),FALSE),
IF(P989="En programación",M989,""))</f>
        <v/>
      </c>
      <c r="S989" s="25" t="str">
        <f t="shared" si="47"/>
        <v/>
      </c>
      <c r="T989" s="21" t="str">
        <f>IFERROR(
(VLOOKUP(MONTH(R989),Meses!$B$3:$C$14,2,FALSE)-DAY(R989))/VLOOKUP(MONTH(R989),Meses!$B$3:$C$14,2,FALSE)*U989,
"")</f>
        <v/>
      </c>
      <c r="U989" s="22">
        <f t="shared" si="46"/>
        <v>14310</v>
      </c>
    </row>
    <row r="990" spans="1:21" ht="63" hidden="1" thickBot="1" x14ac:dyDescent="0.6">
      <c r="A990" s="10" t="s">
        <v>1272</v>
      </c>
      <c r="B990" s="10" t="s">
        <v>1273</v>
      </c>
      <c r="C990" s="12">
        <v>45295</v>
      </c>
      <c r="D990" s="10" t="s">
        <v>171</v>
      </c>
      <c r="E990" s="10" t="s">
        <v>291</v>
      </c>
      <c r="F990" s="10">
        <v>3420</v>
      </c>
      <c r="G990" s="10" t="s">
        <v>15</v>
      </c>
      <c r="H990" s="10" t="s">
        <v>17</v>
      </c>
      <c r="I990" s="10" t="s">
        <v>66</v>
      </c>
      <c r="J990" s="10" t="s">
        <v>292</v>
      </c>
      <c r="K990" s="10" t="s">
        <v>945</v>
      </c>
      <c r="L990" s="10" t="s">
        <v>145</v>
      </c>
      <c r="M990" s="12"/>
      <c r="N990" s="10" t="s">
        <v>15</v>
      </c>
      <c r="O990" s="10" t="s">
        <v>2054</v>
      </c>
      <c r="P990" s="25" t="str">
        <f>IFERROR(
IF(OR(O990="anulado",O990="stand by"),CONCATENATE(O990,": ",H990),
IF(OR(YEAR(M990)=2022,YEAR(M990)=2023),CONCATENATE("Se activó en ",YEAR(M990)),
IF(AND(OR(O990="En proceso",O990="facturando"),AND(J990="-",M990="")),"Por revisar",
IF(M990="",IF(J990="NUEVAS",CONCATENATE("Estado: ",O990,", ",J990),
IF(L990=Meses!$A$3,"Por revisar",
IF(H990="","Sin registro","En programación Frcst."))),"En programación")))),
"Error")</f>
        <v>Por revisar</v>
      </c>
      <c r="Q990" s="9" t="str">
        <f t="shared" si="45"/>
        <v>programación de act. SI, estado: Facturando, Comercializador: VATIA, Etapa: Instalado y Activado</v>
      </c>
      <c r="R990" s="25" t="str">
        <f>IF(P990="En programación Frcst.",VLOOKUP(L990,Meses!$A$1:$H$14,3+HLOOKUP(Cronograma!J990,Meses!$D$1:$G$2,2,FALSE),FALSE),
IF(P990="En programación",M990,""))</f>
        <v/>
      </c>
      <c r="S990" s="25" t="str">
        <f t="shared" si="47"/>
        <v/>
      </c>
      <c r="T990" s="21" t="str">
        <f>IFERROR(
(VLOOKUP(MONTH(R990),Meses!$B$3:$C$14,2,FALSE)-DAY(R990))/VLOOKUP(MONTH(R990),Meses!$B$3:$C$14,2,FALSE)*U990,
"")</f>
        <v/>
      </c>
      <c r="U990" s="22">
        <f t="shared" si="46"/>
        <v>3420</v>
      </c>
    </row>
    <row r="991" spans="1:21" ht="32.4" hidden="1" thickBot="1" x14ac:dyDescent="0.6">
      <c r="A991" s="10" t="s">
        <v>1274</v>
      </c>
      <c r="B991" s="10" t="s">
        <v>1275</v>
      </c>
      <c r="C991" s="12">
        <v>45211</v>
      </c>
      <c r="D991" s="10" t="s">
        <v>862</v>
      </c>
      <c r="E991" s="10" t="s">
        <v>14</v>
      </c>
      <c r="F991" s="10">
        <v>9000</v>
      </c>
      <c r="G991" s="10" t="s">
        <v>15</v>
      </c>
      <c r="H991" s="10" t="s">
        <v>17</v>
      </c>
      <c r="I991" s="10" t="s">
        <v>66</v>
      </c>
      <c r="J991" s="10" t="s">
        <v>19</v>
      </c>
      <c r="K991" s="10" t="s">
        <v>19</v>
      </c>
      <c r="L991" s="10" t="s">
        <v>19</v>
      </c>
      <c r="M991" s="12"/>
      <c r="N991" s="10" t="s">
        <v>20</v>
      </c>
      <c r="O991" s="10" t="s">
        <v>2054</v>
      </c>
      <c r="P991" s="25" t="str">
        <f>IFERROR(
IF(OR(O991="anulado",O991="stand by"),CONCATENATE(O991,": ",H991),
IF(OR(YEAR(M991)=2022,YEAR(M991)=2023),CONCATENATE("Se activó en ",YEAR(M991)),
IF(AND(OR(O991="En proceso",O991="facturando"),AND(J991="-",M991="")),"Por revisar",
IF(M991="",IF(J991="NUEVAS",CONCATENATE("Estado: ",O991,", ",J991),
IF(L991=Meses!$A$3,"Por revisar",
IF(H991="","Sin registro","En programación Frcst."))),"En programación")))),
"Error")</f>
        <v>Por revisar</v>
      </c>
      <c r="Q991" s="9" t="str">
        <f t="shared" si="45"/>
        <v>programación de act. NO, estado: Facturando, Comercializador: DICELER, Etapa: Instalado y Activado</v>
      </c>
      <c r="R991" s="25" t="str">
        <f>IF(P991="En programación Frcst.",VLOOKUP(L991,Meses!$A$1:$H$14,3+HLOOKUP(Cronograma!J991,Meses!$D$1:$G$2,2,FALSE),FALSE),
IF(P991="En programación",M991,""))</f>
        <v/>
      </c>
      <c r="S991" s="25" t="str">
        <f t="shared" si="47"/>
        <v/>
      </c>
      <c r="T991" s="21" t="str">
        <f>IFERROR(
(VLOOKUP(MONTH(R991),Meses!$B$3:$C$14,2,FALSE)-DAY(R991))/VLOOKUP(MONTH(R991),Meses!$B$3:$C$14,2,FALSE)*U991,
"")</f>
        <v/>
      </c>
      <c r="U991" s="22">
        <f t="shared" si="46"/>
        <v>9000</v>
      </c>
    </row>
    <row r="992" spans="1:21" ht="31.8" hidden="1" thickBot="1" x14ac:dyDescent="0.6">
      <c r="A992" s="10" t="s">
        <v>1276</v>
      </c>
      <c r="B992" s="10" t="s">
        <v>1277</v>
      </c>
      <c r="C992" s="12"/>
      <c r="D992" s="10" t="s">
        <v>300</v>
      </c>
      <c r="E992" s="10" t="s">
        <v>300</v>
      </c>
      <c r="F992" s="10">
        <v>3660</v>
      </c>
      <c r="G992" s="10" t="s">
        <v>15</v>
      </c>
      <c r="H992" s="10" t="s">
        <v>140</v>
      </c>
      <c r="I992" s="10" t="s">
        <v>43</v>
      </c>
      <c r="J992" s="10" t="s">
        <v>143</v>
      </c>
      <c r="K992" s="10" t="s">
        <v>2895</v>
      </c>
      <c r="L992" s="10" t="s">
        <v>2292</v>
      </c>
      <c r="M992" s="12">
        <v>45400</v>
      </c>
      <c r="N992" s="10" t="s">
        <v>15</v>
      </c>
      <c r="O992" s="10" t="s">
        <v>2056</v>
      </c>
      <c r="P992" s="25" t="str">
        <f>IFERROR(
IF(OR(O992="anulado",O992="stand by"),CONCATENATE(O992,": ",H992),
IF(OR(YEAR(M992)=2022,YEAR(M992)=2023),CONCATENATE("Se activó en ",YEAR(M992)),
IF(AND(OR(O992="En proceso",O992="facturando"),AND(J992="-",M992="")),"Por revisar",
IF(M992="",IF(J992="NUEVAS",CONCATENATE("Estado: ",O992,", ",J992),
IF(L992=Meses!$A$3,"Por revisar",
IF(H992="","Sin registro","En programación Frcst."))),"En programación")))),
"Error")</f>
        <v>anulado: Desistido</v>
      </c>
      <c r="Q992" s="9" t="str">
        <f t="shared" si="45"/>
        <v/>
      </c>
      <c r="R992" s="25" t="str">
        <f>IF(P992="En programación Frcst.",VLOOKUP(L992,Meses!$A$1:$H$14,3+HLOOKUP(Cronograma!J992,Meses!$D$1:$G$2,2,FALSE),FALSE),
IF(P992="En programación",M992,""))</f>
        <v/>
      </c>
      <c r="S992" s="25" t="str">
        <f t="shared" si="47"/>
        <v/>
      </c>
      <c r="T992" s="21" t="str">
        <f>IFERROR(
(VLOOKUP(MONTH(R992),Meses!$B$3:$C$14,2,FALSE)-DAY(R992))/VLOOKUP(MONTH(R992),Meses!$B$3:$C$14,2,FALSE)*U992,
"")</f>
        <v/>
      </c>
      <c r="U992" s="22">
        <f t="shared" si="46"/>
        <v>3660</v>
      </c>
    </row>
    <row r="993" spans="1:21" ht="31.8" hidden="1" thickBot="1" x14ac:dyDescent="0.6">
      <c r="A993" s="10" t="s">
        <v>1276</v>
      </c>
      <c r="B993" s="10" t="s">
        <v>1278</v>
      </c>
      <c r="C993" s="12"/>
      <c r="D993" s="10" t="s">
        <v>300</v>
      </c>
      <c r="E993" s="10" t="s">
        <v>300</v>
      </c>
      <c r="F993" s="10">
        <v>15520</v>
      </c>
      <c r="G993" s="10" t="s">
        <v>15</v>
      </c>
      <c r="H993" s="10" t="s">
        <v>140</v>
      </c>
      <c r="I993" s="10" t="s">
        <v>43</v>
      </c>
      <c r="J993" s="10" t="s">
        <v>143</v>
      </c>
      <c r="K993" s="10" t="s">
        <v>2895</v>
      </c>
      <c r="L993" s="10" t="s">
        <v>2292</v>
      </c>
      <c r="M993" s="12">
        <v>45400</v>
      </c>
      <c r="N993" s="10" t="s">
        <v>15</v>
      </c>
      <c r="O993" s="10" t="s">
        <v>2056</v>
      </c>
      <c r="P993" s="25" t="str">
        <f>IFERROR(
IF(OR(O993="anulado",O993="stand by"),CONCATENATE(O993,": ",H993),
IF(OR(YEAR(M993)=2022,YEAR(M993)=2023),CONCATENATE("Se activó en ",YEAR(M993)),
IF(AND(OR(O993="En proceso",O993="facturando"),AND(J993="-",M993="")),"Por revisar",
IF(M993="",IF(J993="NUEVAS",CONCATENATE("Estado: ",O993,", ",J993),
IF(L993=Meses!$A$3,"Por revisar",
IF(H993="","Sin registro","En programación Frcst."))),"En programación")))),
"Error")</f>
        <v>anulado: Desistido</v>
      </c>
      <c r="Q993" s="9" t="str">
        <f t="shared" si="45"/>
        <v/>
      </c>
      <c r="R993" s="25" t="str">
        <f>IF(P993="En programación Frcst.",VLOOKUP(L993,Meses!$A$1:$H$14,3+HLOOKUP(Cronograma!J993,Meses!$D$1:$G$2,2,FALSE),FALSE),
IF(P993="En programación",M993,""))</f>
        <v/>
      </c>
      <c r="S993" s="25" t="str">
        <f t="shared" si="47"/>
        <v/>
      </c>
      <c r="T993" s="21" t="str">
        <f>IFERROR(
(VLOOKUP(MONTH(R993),Meses!$B$3:$C$14,2,FALSE)-DAY(R993))/VLOOKUP(MONTH(R993),Meses!$B$3:$C$14,2,FALSE)*U993,
"")</f>
        <v/>
      </c>
      <c r="U993" s="22">
        <f t="shared" si="46"/>
        <v>15520</v>
      </c>
    </row>
    <row r="994" spans="1:21" ht="31.8" hidden="1" thickBot="1" x14ac:dyDescent="0.6">
      <c r="A994" s="10" t="s">
        <v>1276</v>
      </c>
      <c r="B994" s="10" t="s">
        <v>1279</v>
      </c>
      <c r="C994" s="12"/>
      <c r="D994" s="10" t="s">
        <v>300</v>
      </c>
      <c r="E994" s="10" t="s">
        <v>300</v>
      </c>
      <c r="F994" s="10">
        <v>15180</v>
      </c>
      <c r="G994" s="10" t="s">
        <v>15</v>
      </c>
      <c r="H994" s="10" t="s">
        <v>140</v>
      </c>
      <c r="I994" s="10" t="s">
        <v>43</v>
      </c>
      <c r="J994" s="10" t="s">
        <v>143</v>
      </c>
      <c r="K994" s="10" t="s">
        <v>2895</v>
      </c>
      <c r="L994" s="10" t="s">
        <v>2292</v>
      </c>
      <c r="M994" s="12">
        <v>45400</v>
      </c>
      <c r="N994" s="10" t="s">
        <v>15</v>
      </c>
      <c r="O994" s="10" t="s">
        <v>2056</v>
      </c>
      <c r="P994" s="25" t="str">
        <f>IFERROR(
IF(OR(O994="anulado",O994="stand by"),CONCATENATE(O994,": ",H994),
IF(OR(YEAR(M994)=2022,YEAR(M994)=2023),CONCATENATE("Se activó en ",YEAR(M994)),
IF(AND(OR(O994="En proceso",O994="facturando"),AND(J994="-",M994="")),"Por revisar",
IF(M994="",IF(J994="NUEVAS",CONCATENATE("Estado: ",O994,", ",J994),
IF(L994=Meses!$A$3,"Por revisar",
IF(H994="","Sin registro","En programación Frcst."))),"En programación")))),
"Error")</f>
        <v>anulado: Desistido</v>
      </c>
      <c r="Q994" s="9" t="str">
        <f t="shared" si="45"/>
        <v/>
      </c>
      <c r="R994" s="25" t="str">
        <f>IF(P994="En programación Frcst.",VLOOKUP(L994,Meses!$A$1:$H$14,3+HLOOKUP(Cronograma!J994,Meses!$D$1:$G$2,2,FALSE),FALSE),
IF(P994="En programación",M994,""))</f>
        <v/>
      </c>
      <c r="S994" s="25" t="str">
        <f t="shared" si="47"/>
        <v/>
      </c>
      <c r="T994" s="21" t="str">
        <f>IFERROR(
(VLOOKUP(MONTH(R994),Meses!$B$3:$C$14,2,FALSE)-DAY(R994))/VLOOKUP(MONTH(R994),Meses!$B$3:$C$14,2,FALSE)*U994,
"")</f>
        <v/>
      </c>
      <c r="U994" s="22">
        <f t="shared" si="46"/>
        <v>15180</v>
      </c>
    </row>
    <row r="995" spans="1:21" ht="31.8" hidden="1" thickBot="1" x14ac:dyDescent="0.6">
      <c r="A995" s="10" t="s">
        <v>1280</v>
      </c>
      <c r="B995" s="10" t="s">
        <v>1281</v>
      </c>
      <c r="C995" s="12"/>
      <c r="D995" s="10" t="s">
        <v>14</v>
      </c>
      <c r="E995" s="10" t="s">
        <v>14</v>
      </c>
      <c r="F995" s="10">
        <v>11160</v>
      </c>
      <c r="G995" s="10" t="s">
        <v>15</v>
      </c>
      <c r="H995" s="10" t="s">
        <v>2916</v>
      </c>
      <c r="I995" s="10" t="s">
        <v>18</v>
      </c>
      <c r="J995" s="10" t="s">
        <v>277</v>
      </c>
      <c r="K995" s="10" t="s">
        <v>3327</v>
      </c>
      <c r="L995" s="10" t="s">
        <v>2292</v>
      </c>
      <c r="M995" s="12">
        <v>45400</v>
      </c>
      <c r="N995" s="10" t="s">
        <v>15</v>
      </c>
      <c r="O995" s="10" t="s">
        <v>2057</v>
      </c>
      <c r="P995" s="25" t="str">
        <f>IFERROR(
IF(OR(O995="anulado",O995="stand by"),CONCATENATE(O995,": ",H995),
IF(OR(YEAR(M995)=2022,YEAR(M995)=2023),CONCATENATE("Se activó en ",YEAR(M995)),
IF(AND(OR(O995="En proceso",O995="facturando"),AND(J995="-",M995="")),"Por revisar",
IF(M995="",IF(J995="NUEVAS",CONCATENATE("Estado: ",O995,", ",J995),
IF(L995=Meses!$A$3,"Por revisar",
IF(H995="","Sin registro","En programación Frcst."))),"En programación")))),
"Error")</f>
        <v>En programación</v>
      </c>
      <c r="Q995" s="9" t="str">
        <f t="shared" si="45"/>
        <v/>
      </c>
      <c r="R995" s="25">
        <f>IF(P995="En programación Frcst.",VLOOKUP(L995,Meses!$A$1:$H$14,3+HLOOKUP(Cronograma!J995,Meses!$D$1:$G$2,2,FALSE),FALSE),
IF(P995="En programación",M995,""))</f>
        <v>45400</v>
      </c>
      <c r="S995" s="25" t="str">
        <f t="shared" si="47"/>
        <v>2024/4</v>
      </c>
      <c r="T995" s="21">
        <f>IFERROR(
(VLOOKUP(MONTH(R995),Meses!$B$3:$C$14,2,FALSE)-DAY(R995))/VLOOKUP(MONTH(R995),Meses!$B$3:$C$14,2,FALSE)*U995,
"")</f>
        <v>4464</v>
      </c>
      <c r="U995" s="22">
        <f t="shared" si="46"/>
        <v>11160</v>
      </c>
    </row>
    <row r="996" spans="1:21" ht="47.4" hidden="1" thickBot="1" x14ac:dyDescent="0.6">
      <c r="A996" s="10" t="s">
        <v>1282</v>
      </c>
      <c r="B996" s="10" t="s">
        <v>1283</v>
      </c>
      <c r="C996" s="12"/>
      <c r="D996" s="10" t="s">
        <v>289</v>
      </c>
      <c r="E996" s="10" t="s">
        <v>289</v>
      </c>
      <c r="F996" s="10">
        <v>15000</v>
      </c>
      <c r="G996" s="10" t="s">
        <v>15</v>
      </c>
      <c r="H996" s="10" t="s">
        <v>2916</v>
      </c>
      <c r="I996" s="10" t="s">
        <v>18</v>
      </c>
      <c r="J996" s="10" t="s">
        <v>143</v>
      </c>
      <c r="K996" s="10" t="s">
        <v>1697</v>
      </c>
      <c r="L996" s="10" t="s">
        <v>1120</v>
      </c>
      <c r="M996" s="12">
        <v>45365</v>
      </c>
      <c r="N996" s="10" t="s">
        <v>15</v>
      </c>
      <c r="O996" s="10" t="s">
        <v>2057</v>
      </c>
      <c r="P996" s="25" t="str">
        <f>IFERROR(
IF(OR(O996="anulado",O996="stand by"),CONCATENATE(O996,": ",H996),
IF(OR(YEAR(M996)=2022,YEAR(M996)=2023),CONCATENATE("Se activó en ",YEAR(M996)),
IF(AND(OR(O996="En proceso",O996="facturando"),AND(J996="-",M996="")),"Por revisar",
IF(M996="",IF(J996="NUEVAS",CONCATENATE("Estado: ",O996,", ",J996),
IF(L996=Meses!$A$3,"Por revisar",
IF(H996="","Sin registro","En programación Frcst."))),"En programación")))),
"Error")</f>
        <v>En programación</v>
      </c>
      <c r="Q996" s="9" t="str">
        <f t="shared" si="45"/>
        <v/>
      </c>
      <c r="R996" s="25">
        <f>IF(P996="En programación Frcst.",VLOOKUP(L996,Meses!$A$1:$H$14,3+HLOOKUP(Cronograma!J996,Meses!$D$1:$G$2,2,FALSE),FALSE),
IF(P996="En programación",M996,""))</f>
        <v>45365</v>
      </c>
      <c r="S996" s="25" t="str">
        <f t="shared" si="47"/>
        <v>2024/3</v>
      </c>
      <c r="T996" s="21">
        <f>IFERROR(
(VLOOKUP(MONTH(R996),Meses!$B$3:$C$14,2,FALSE)-DAY(R996))/VLOOKUP(MONTH(R996),Meses!$B$3:$C$14,2,FALSE)*U996,
"")</f>
        <v>8225.8064516129034</v>
      </c>
      <c r="U996" s="22">
        <f t="shared" si="46"/>
        <v>15000</v>
      </c>
    </row>
    <row r="997" spans="1:21" ht="47.4" hidden="1" thickBot="1" x14ac:dyDescent="0.6">
      <c r="A997" s="10" t="s">
        <v>1284</v>
      </c>
      <c r="B997" s="10" t="s">
        <v>1285</v>
      </c>
      <c r="C997" s="12">
        <v>45211</v>
      </c>
      <c r="D997" s="10" t="s">
        <v>862</v>
      </c>
      <c r="E997" s="10" t="s">
        <v>287</v>
      </c>
      <c r="F997" s="10">
        <v>25000</v>
      </c>
      <c r="G997" s="10" t="s">
        <v>15</v>
      </c>
      <c r="H997" s="10" t="s">
        <v>17</v>
      </c>
      <c r="I997" s="10" t="s">
        <v>66</v>
      </c>
      <c r="J997" s="10" t="s">
        <v>19</v>
      </c>
      <c r="K997" s="10" t="s">
        <v>19</v>
      </c>
      <c r="L997" s="10" t="s">
        <v>19</v>
      </c>
      <c r="M997" s="12"/>
      <c r="N997" s="10" t="s">
        <v>20</v>
      </c>
      <c r="O997" s="10" t="s">
        <v>2054</v>
      </c>
      <c r="P997" s="25" t="str">
        <f>IFERROR(
IF(OR(O997="anulado",O997="stand by"),CONCATENATE(O997,": ",H997),
IF(OR(YEAR(M997)=2022,YEAR(M997)=2023),CONCATENATE("Se activó en ",YEAR(M997)),
IF(AND(OR(O997="En proceso",O997="facturando"),AND(J997="-",M997="")),"Por revisar",
IF(M997="",IF(J997="NUEVAS",CONCATENATE("Estado: ",O997,", ",J997),
IF(L997=Meses!$A$3,"Por revisar",
IF(H997="","Sin registro","En programación Frcst."))),"En programación")))),
"Error")</f>
        <v>Por revisar</v>
      </c>
      <c r="Q997" s="9" t="str">
        <f t="shared" si="45"/>
        <v>programación de act. NO, estado: Facturando, Comercializador: DICELER, Etapa: Instalado y Activado</v>
      </c>
      <c r="R997" s="25" t="str">
        <f>IF(P997="En programación Frcst.",VLOOKUP(L997,Meses!$A$1:$H$14,3+HLOOKUP(Cronograma!J997,Meses!$D$1:$G$2,2,FALSE),FALSE),
IF(P997="En programación",M997,""))</f>
        <v/>
      </c>
      <c r="S997" s="25" t="str">
        <f t="shared" si="47"/>
        <v/>
      </c>
      <c r="T997" s="21" t="str">
        <f>IFERROR(
(VLOOKUP(MONTH(R997),Meses!$B$3:$C$14,2,FALSE)-DAY(R997))/VLOOKUP(MONTH(R997),Meses!$B$3:$C$14,2,FALSE)*U997,
"")</f>
        <v/>
      </c>
      <c r="U997" s="22">
        <f t="shared" si="46"/>
        <v>25000</v>
      </c>
    </row>
    <row r="998" spans="1:21" ht="63" hidden="1" thickBot="1" x14ac:dyDescent="0.6">
      <c r="A998" s="10" t="s">
        <v>1286</v>
      </c>
      <c r="B998" s="10" t="s">
        <v>1287</v>
      </c>
      <c r="C998" s="12"/>
      <c r="D998" s="10" t="s">
        <v>14</v>
      </c>
      <c r="E998" s="10" t="s">
        <v>14</v>
      </c>
      <c r="F998" s="10">
        <v>5880</v>
      </c>
      <c r="G998" s="10" t="s">
        <v>15</v>
      </c>
      <c r="H998" s="10" t="s">
        <v>140</v>
      </c>
      <c r="I998" s="10" t="s">
        <v>18</v>
      </c>
      <c r="J998" s="10" t="s">
        <v>19</v>
      </c>
      <c r="K998" s="10" t="s">
        <v>19</v>
      </c>
      <c r="L998" s="10" t="s">
        <v>19</v>
      </c>
      <c r="M998" s="12"/>
      <c r="N998" s="10" t="s">
        <v>15</v>
      </c>
      <c r="O998" s="10" t="s">
        <v>2056</v>
      </c>
      <c r="P998" s="25" t="str">
        <f>IFERROR(
IF(OR(O998="anulado",O998="stand by"),CONCATENATE(O998,": ",H998),
IF(OR(YEAR(M998)=2022,YEAR(M998)=2023),CONCATENATE("Se activó en ",YEAR(M998)),
IF(AND(OR(O998="En proceso",O998="facturando"),AND(J998="-",M998="")),"Por revisar",
IF(M998="",IF(J998="NUEVAS",CONCATENATE("Estado: ",O998,", ",J998),
IF(L998=Meses!$A$3,"Por revisar",
IF(H998="","Sin registro","En programación Frcst."))),"En programación")))),
"Error")</f>
        <v>anulado: Desistido</v>
      </c>
      <c r="Q998" s="9" t="str">
        <f t="shared" si="45"/>
        <v/>
      </c>
      <c r="R998" s="25" t="str">
        <f>IF(P998="En programación Frcst.",VLOOKUP(L998,Meses!$A$1:$H$14,3+HLOOKUP(Cronograma!J998,Meses!$D$1:$G$2,2,FALSE),FALSE),
IF(P998="En programación",M998,""))</f>
        <v/>
      </c>
      <c r="S998" s="25" t="str">
        <f t="shared" si="47"/>
        <v/>
      </c>
      <c r="T998" s="21" t="str">
        <f>IFERROR(
(VLOOKUP(MONTH(R998),Meses!$B$3:$C$14,2,FALSE)-DAY(R998))/VLOOKUP(MONTH(R998),Meses!$B$3:$C$14,2,FALSE)*U998,
"")</f>
        <v/>
      </c>
      <c r="U998" s="22">
        <f t="shared" si="46"/>
        <v>5880</v>
      </c>
    </row>
    <row r="999" spans="1:21" ht="63" hidden="1" thickBot="1" x14ac:dyDescent="0.6">
      <c r="A999" s="10" t="s">
        <v>1288</v>
      </c>
      <c r="B999" s="10" t="s">
        <v>1289</v>
      </c>
      <c r="C999" s="12"/>
      <c r="D999" s="10" t="s">
        <v>14</v>
      </c>
      <c r="E999" s="10" t="s">
        <v>14</v>
      </c>
      <c r="F999" s="10">
        <v>11976</v>
      </c>
      <c r="G999" s="10" t="s">
        <v>15</v>
      </c>
      <c r="H999" s="10" t="s">
        <v>2917</v>
      </c>
      <c r="I999" s="10" t="s">
        <v>18</v>
      </c>
      <c r="J999" s="10" t="s">
        <v>277</v>
      </c>
      <c r="K999" s="10" t="s">
        <v>3327</v>
      </c>
      <c r="L999" s="10" t="s">
        <v>2292</v>
      </c>
      <c r="M999" s="12">
        <v>45400</v>
      </c>
      <c r="N999" s="10" t="s">
        <v>15</v>
      </c>
      <c r="O999" s="10" t="s">
        <v>2057</v>
      </c>
      <c r="P999" s="25" t="str">
        <f>IFERROR(
IF(OR(O999="anulado",O999="stand by"),CONCATENATE(O999,": ",H999),
IF(OR(YEAR(M999)=2022,YEAR(M999)=2023),CONCATENATE("Se activó en ",YEAR(M999)),
IF(AND(OR(O999="En proceso",O999="facturando"),AND(J999="-",M999="")),"Por revisar",
IF(M999="",IF(J999="NUEVAS",CONCATENATE("Estado: ",O999,", ",J999),
IF(L999=Meses!$A$3,"Por revisar",
IF(H999="","Sin registro","En programación Frcst."))),"En programación")))),
"Error")</f>
        <v>En programación</v>
      </c>
      <c r="Q999" s="9" t="str">
        <f t="shared" si="45"/>
        <v/>
      </c>
      <c r="R999" s="25">
        <f>IF(P999="En programación Frcst.",VLOOKUP(L999,Meses!$A$1:$H$14,3+HLOOKUP(Cronograma!J999,Meses!$D$1:$G$2,2,FALSE),FALSE),
IF(P999="En programación",M999,""))</f>
        <v>45400</v>
      </c>
      <c r="S999" s="25" t="str">
        <f t="shared" si="47"/>
        <v>2024/4</v>
      </c>
      <c r="T999" s="21">
        <f>IFERROR(
(VLOOKUP(MONTH(R999),Meses!$B$3:$C$14,2,FALSE)-DAY(R999))/VLOOKUP(MONTH(R999),Meses!$B$3:$C$14,2,FALSE)*U999,
"")</f>
        <v>4790.4000000000005</v>
      </c>
      <c r="U999" s="22">
        <f t="shared" si="46"/>
        <v>11976</v>
      </c>
    </row>
    <row r="1000" spans="1:21" ht="63" hidden="1" thickBot="1" x14ac:dyDescent="0.6">
      <c r="A1000" s="10" t="s">
        <v>1288</v>
      </c>
      <c r="B1000" s="10" t="s">
        <v>1290</v>
      </c>
      <c r="C1000" s="12"/>
      <c r="D1000" s="10" t="s">
        <v>14</v>
      </c>
      <c r="E1000" s="10" t="s">
        <v>14</v>
      </c>
      <c r="F1000" s="10">
        <v>23272</v>
      </c>
      <c r="G1000" s="10" t="s">
        <v>15</v>
      </c>
      <c r="H1000" s="10" t="s">
        <v>2917</v>
      </c>
      <c r="I1000" s="10" t="s">
        <v>18</v>
      </c>
      <c r="J1000" s="10" t="s">
        <v>277</v>
      </c>
      <c r="K1000" s="10" t="s">
        <v>3327</v>
      </c>
      <c r="L1000" s="10" t="s">
        <v>2292</v>
      </c>
      <c r="M1000" s="12">
        <v>45400</v>
      </c>
      <c r="N1000" s="10" t="s">
        <v>15</v>
      </c>
      <c r="O1000" s="10" t="s">
        <v>2057</v>
      </c>
      <c r="P1000" s="25" t="str">
        <f>IFERROR(
IF(OR(O1000="anulado",O1000="stand by"),CONCATENATE(O1000,": ",H1000),
IF(OR(YEAR(M1000)=2022,YEAR(M1000)=2023),CONCATENATE("Se activó en ",YEAR(M1000)),
IF(AND(OR(O1000="En proceso",O1000="facturando"),AND(J1000="-",M1000="")),"Por revisar",
IF(M1000="",IF(J1000="NUEVAS",CONCATENATE("Estado: ",O1000,", ",J1000),
IF(L1000=Meses!$A$3,"Por revisar",
IF(H1000="","Sin registro","En programación Frcst."))),"En programación")))),
"Error")</f>
        <v>En programación</v>
      </c>
      <c r="Q1000" s="9" t="str">
        <f t="shared" si="45"/>
        <v/>
      </c>
      <c r="R1000" s="25">
        <f>IF(P1000="En programación Frcst.",VLOOKUP(L1000,Meses!$A$1:$H$14,3+HLOOKUP(Cronograma!J1000,Meses!$D$1:$G$2,2,FALSE),FALSE),
IF(P1000="En programación",M1000,""))</f>
        <v>45400</v>
      </c>
      <c r="S1000" s="25" t="str">
        <f t="shared" si="47"/>
        <v>2024/4</v>
      </c>
      <c r="T1000" s="21">
        <f>IFERROR(
(VLOOKUP(MONTH(R1000),Meses!$B$3:$C$14,2,FALSE)-DAY(R1000))/VLOOKUP(MONTH(R1000),Meses!$B$3:$C$14,2,FALSE)*U1000,
"")</f>
        <v>9308.8000000000011</v>
      </c>
      <c r="U1000" s="22">
        <f t="shared" si="46"/>
        <v>23272</v>
      </c>
    </row>
    <row r="1001" spans="1:21" ht="63" hidden="1" thickBot="1" x14ac:dyDescent="0.6">
      <c r="A1001" s="10" t="s">
        <v>1288</v>
      </c>
      <c r="B1001" s="10" t="s">
        <v>1291</v>
      </c>
      <c r="C1001" s="12"/>
      <c r="D1001" s="10" t="s">
        <v>14</v>
      </c>
      <c r="E1001" s="10" t="s">
        <v>14</v>
      </c>
      <c r="F1001" s="10">
        <v>11226</v>
      </c>
      <c r="G1001" s="10" t="s">
        <v>15</v>
      </c>
      <c r="H1001" s="10" t="s">
        <v>2917</v>
      </c>
      <c r="I1001" s="10" t="s">
        <v>18</v>
      </c>
      <c r="J1001" s="10" t="s">
        <v>277</v>
      </c>
      <c r="K1001" s="10" t="s">
        <v>3327</v>
      </c>
      <c r="L1001" s="10" t="s">
        <v>2292</v>
      </c>
      <c r="M1001" s="12">
        <v>45400</v>
      </c>
      <c r="N1001" s="10" t="s">
        <v>15</v>
      </c>
      <c r="O1001" s="10" t="s">
        <v>2057</v>
      </c>
      <c r="P1001" s="25" t="str">
        <f>IFERROR(
IF(OR(O1001="anulado",O1001="stand by"),CONCATENATE(O1001,": ",H1001),
IF(OR(YEAR(M1001)=2022,YEAR(M1001)=2023),CONCATENATE("Se activó en ",YEAR(M1001)),
IF(AND(OR(O1001="En proceso",O1001="facturando"),AND(J1001="-",M1001="")),"Por revisar",
IF(M1001="",IF(J1001="NUEVAS",CONCATENATE("Estado: ",O1001,", ",J1001),
IF(L1001=Meses!$A$3,"Por revisar",
IF(H1001="","Sin registro","En programación Frcst."))),"En programación")))),
"Error")</f>
        <v>En programación</v>
      </c>
      <c r="Q1001" s="9" t="str">
        <f t="shared" si="45"/>
        <v/>
      </c>
      <c r="R1001" s="25">
        <f>IF(P1001="En programación Frcst.",VLOOKUP(L1001,Meses!$A$1:$H$14,3+HLOOKUP(Cronograma!J1001,Meses!$D$1:$G$2,2,FALSE),FALSE),
IF(P1001="En programación",M1001,""))</f>
        <v>45400</v>
      </c>
      <c r="S1001" s="25" t="str">
        <f t="shared" si="47"/>
        <v>2024/4</v>
      </c>
      <c r="T1001" s="21">
        <f>IFERROR(
(VLOOKUP(MONTH(R1001),Meses!$B$3:$C$14,2,FALSE)-DAY(R1001))/VLOOKUP(MONTH(R1001),Meses!$B$3:$C$14,2,FALSE)*U1001,
"")</f>
        <v>4490.4000000000005</v>
      </c>
      <c r="U1001" s="22">
        <f t="shared" si="46"/>
        <v>11226</v>
      </c>
    </row>
    <row r="1002" spans="1:21" ht="63" hidden="1" thickBot="1" x14ac:dyDescent="0.6">
      <c r="A1002" s="10" t="s">
        <v>1292</v>
      </c>
      <c r="B1002" s="10" t="s">
        <v>1293</v>
      </c>
      <c r="C1002" s="12"/>
      <c r="D1002" s="10" t="s">
        <v>289</v>
      </c>
      <c r="E1002" s="10" t="s">
        <v>289</v>
      </c>
      <c r="F1002" s="10">
        <v>0</v>
      </c>
      <c r="G1002" s="10" t="s">
        <v>15</v>
      </c>
      <c r="H1002" s="10" t="s">
        <v>140</v>
      </c>
      <c r="I1002" s="10" t="s">
        <v>18</v>
      </c>
      <c r="J1002" s="10" t="s">
        <v>19</v>
      </c>
      <c r="K1002" s="10" t="s">
        <v>19</v>
      </c>
      <c r="L1002" s="10" t="s">
        <v>19</v>
      </c>
      <c r="M1002" s="12"/>
      <c r="N1002" s="10" t="s">
        <v>15</v>
      </c>
      <c r="O1002" s="10" t="s">
        <v>2056</v>
      </c>
      <c r="P1002" s="25" t="str">
        <f>IFERROR(
IF(OR(O1002="anulado",O1002="stand by"),CONCATENATE(O1002,": ",H1002),
IF(OR(YEAR(M1002)=2022,YEAR(M1002)=2023),CONCATENATE("Se activó en ",YEAR(M1002)),
IF(AND(OR(O1002="En proceso",O1002="facturando"),AND(J1002="-",M1002="")),"Por revisar",
IF(M1002="",IF(J1002="NUEVAS",CONCATENATE("Estado: ",O1002,", ",J1002),
IF(L1002=Meses!$A$3,"Por revisar",
IF(H1002="","Sin registro","En programación Frcst."))),"En programación")))),
"Error")</f>
        <v>anulado: Desistido</v>
      </c>
      <c r="Q1002" s="9" t="str">
        <f t="shared" si="45"/>
        <v/>
      </c>
      <c r="R1002" s="25" t="str">
        <f>IF(P1002="En programación Frcst.",VLOOKUP(L1002,Meses!$A$1:$H$14,3+HLOOKUP(Cronograma!J1002,Meses!$D$1:$G$2,2,FALSE),FALSE),
IF(P1002="En programación",M1002,""))</f>
        <v/>
      </c>
      <c r="S1002" s="25" t="str">
        <f t="shared" si="47"/>
        <v/>
      </c>
      <c r="T1002" s="21" t="str">
        <f>IFERROR(
(VLOOKUP(MONTH(R1002),Meses!$B$3:$C$14,2,FALSE)-DAY(R1002))/VLOOKUP(MONTH(R1002),Meses!$B$3:$C$14,2,FALSE)*U1002,
"")</f>
        <v/>
      </c>
      <c r="U1002" s="22">
        <f t="shared" si="46"/>
        <v>0</v>
      </c>
    </row>
    <row r="1003" spans="1:21" ht="63" hidden="1" thickBot="1" x14ac:dyDescent="0.6">
      <c r="A1003" s="10" t="s">
        <v>1292</v>
      </c>
      <c r="B1003" s="10" t="s">
        <v>1294</v>
      </c>
      <c r="C1003" s="12"/>
      <c r="D1003" s="10" t="s">
        <v>23</v>
      </c>
      <c r="E1003" s="10" t="s">
        <v>23</v>
      </c>
      <c r="F1003" s="10">
        <v>0</v>
      </c>
      <c r="G1003" s="10" t="s">
        <v>15</v>
      </c>
      <c r="H1003" s="10" t="s">
        <v>2917</v>
      </c>
      <c r="I1003" s="10" t="s">
        <v>18</v>
      </c>
      <c r="J1003" s="10" t="s">
        <v>282</v>
      </c>
      <c r="K1003" s="10" t="s">
        <v>1119</v>
      </c>
      <c r="L1003" s="10" t="s">
        <v>1120</v>
      </c>
      <c r="M1003" s="12">
        <v>45358</v>
      </c>
      <c r="N1003" s="10" t="s">
        <v>15</v>
      </c>
      <c r="O1003" s="10" t="s">
        <v>2057</v>
      </c>
      <c r="P1003" s="25" t="str">
        <f>IFERROR(
IF(OR(O1003="anulado",O1003="stand by"),CONCATENATE(O1003,": ",H1003),
IF(OR(YEAR(M1003)=2022,YEAR(M1003)=2023),CONCATENATE("Se activó en ",YEAR(M1003)),
IF(AND(OR(O1003="En proceso",O1003="facturando"),AND(J1003="-",M1003="")),"Por revisar",
IF(M1003="",IF(J1003="NUEVAS",CONCATENATE("Estado: ",O1003,", ",J1003),
IF(L1003=Meses!$A$3,"Por revisar",
IF(H1003="","Sin registro","En programación Frcst."))),"En programación")))),
"Error")</f>
        <v>En programación</v>
      </c>
      <c r="Q1003" s="9" t="str">
        <f t="shared" si="45"/>
        <v/>
      </c>
      <c r="R1003" s="25">
        <f>IF(P1003="En programación Frcst.",VLOOKUP(L1003,Meses!$A$1:$H$14,3+HLOOKUP(Cronograma!J1003,Meses!$D$1:$G$2,2,FALSE),FALSE),
IF(P1003="En programación",M1003,""))</f>
        <v>45358</v>
      </c>
      <c r="S1003" s="25" t="str">
        <f t="shared" si="47"/>
        <v>2024/3</v>
      </c>
      <c r="T1003" s="21">
        <f>IFERROR(
(VLOOKUP(MONTH(R1003),Meses!$B$3:$C$14,2,FALSE)-DAY(R1003))/VLOOKUP(MONTH(R1003),Meses!$B$3:$C$14,2,FALSE)*U1003,
"")</f>
        <v>0</v>
      </c>
      <c r="U1003" s="22">
        <f t="shared" si="46"/>
        <v>0</v>
      </c>
    </row>
    <row r="1004" spans="1:21" ht="63" hidden="1" thickBot="1" x14ac:dyDescent="0.6">
      <c r="A1004" s="10" t="s">
        <v>1292</v>
      </c>
      <c r="B1004" s="10" t="s">
        <v>1295</v>
      </c>
      <c r="C1004" s="12"/>
      <c r="D1004" s="10" t="s">
        <v>23</v>
      </c>
      <c r="E1004" s="10" t="s">
        <v>23</v>
      </c>
      <c r="F1004" s="10">
        <v>12</v>
      </c>
      <c r="G1004" s="10" t="s">
        <v>15</v>
      </c>
      <c r="H1004" s="10" t="s">
        <v>2917</v>
      </c>
      <c r="I1004" s="10" t="s">
        <v>18</v>
      </c>
      <c r="J1004" s="10" t="s">
        <v>282</v>
      </c>
      <c r="K1004" s="10" t="s">
        <v>1119</v>
      </c>
      <c r="L1004" s="10" t="s">
        <v>1120</v>
      </c>
      <c r="M1004" s="12">
        <v>45358</v>
      </c>
      <c r="N1004" s="10" t="s">
        <v>15</v>
      </c>
      <c r="O1004" s="10" t="s">
        <v>2057</v>
      </c>
      <c r="P1004" s="25" t="str">
        <f>IFERROR(
IF(OR(O1004="anulado",O1004="stand by"),CONCATENATE(O1004,": ",H1004),
IF(OR(YEAR(M1004)=2022,YEAR(M1004)=2023),CONCATENATE("Se activó en ",YEAR(M1004)),
IF(AND(OR(O1004="En proceso",O1004="facturando"),AND(J1004="-",M1004="")),"Por revisar",
IF(M1004="",IF(J1004="NUEVAS",CONCATENATE("Estado: ",O1004,", ",J1004),
IF(L1004=Meses!$A$3,"Por revisar",
IF(H1004="","Sin registro","En programación Frcst."))),"En programación")))),
"Error")</f>
        <v>En programación</v>
      </c>
      <c r="Q1004" s="9" t="str">
        <f t="shared" si="45"/>
        <v/>
      </c>
      <c r="R1004" s="25">
        <f>IF(P1004="En programación Frcst.",VLOOKUP(L1004,Meses!$A$1:$H$14,3+HLOOKUP(Cronograma!J1004,Meses!$D$1:$G$2,2,FALSE),FALSE),
IF(P1004="En programación",M1004,""))</f>
        <v>45358</v>
      </c>
      <c r="S1004" s="25" t="str">
        <f t="shared" si="47"/>
        <v>2024/3</v>
      </c>
      <c r="T1004" s="21">
        <f>IFERROR(
(VLOOKUP(MONTH(R1004),Meses!$B$3:$C$14,2,FALSE)-DAY(R1004))/VLOOKUP(MONTH(R1004),Meses!$B$3:$C$14,2,FALSE)*U1004,
"")</f>
        <v>9.2903225806451601</v>
      </c>
      <c r="U1004" s="22">
        <f t="shared" si="46"/>
        <v>12</v>
      </c>
    </row>
    <row r="1005" spans="1:21" ht="63" hidden="1" thickBot="1" x14ac:dyDescent="0.6">
      <c r="A1005" s="10" t="s">
        <v>1292</v>
      </c>
      <c r="B1005" s="10" t="s">
        <v>1296</v>
      </c>
      <c r="C1005" s="12"/>
      <c r="D1005" s="10" t="s">
        <v>23</v>
      </c>
      <c r="E1005" s="10" t="s">
        <v>23</v>
      </c>
      <c r="F1005" s="10">
        <v>66</v>
      </c>
      <c r="G1005" s="10" t="s">
        <v>15</v>
      </c>
      <c r="H1005" s="10" t="s">
        <v>2917</v>
      </c>
      <c r="I1005" s="10" t="s">
        <v>43</v>
      </c>
      <c r="J1005" s="10" t="s">
        <v>143</v>
      </c>
      <c r="K1005" s="10" t="s">
        <v>2895</v>
      </c>
      <c r="L1005" s="10" t="s">
        <v>2292</v>
      </c>
      <c r="M1005" s="12">
        <v>45400</v>
      </c>
      <c r="N1005" s="10" t="s">
        <v>15</v>
      </c>
      <c r="O1005" s="10" t="s">
        <v>2057</v>
      </c>
      <c r="P1005" s="25" t="str">
        <f>IFERROR(
IF(OR(O1005="anulado",O1005="stand by"),CONCATENATE(O1005,": ",H1005),
IF(OR(YEAR(M1005)=2022,YEAR(M1005)=2023),CONCATENATE("Se activó en ",YEAR(M1005)),
IF(AND(OR(O1005="En proceso",O1005="facturando"),AND(J1005="-",M1005="")),"Por revisar",
IF(M1005="",IF(J1005="NUEVAS",CONCATENATE("Estado: ",O1005,", ",J1005),
IF(L1005=Meses!$A$3,"Por revisar",
IF(H1005="","Sin registro","En programación Frcst."))),"En programación")))),
"Error")</f>
        <v>En programación</v>
      </c>
      <c r="Q1005" s="9" t="str">
        <f t="shared" si="45"/>
        <v/>
      </c>
      <c r="R1005" s="25">
        <f>IF(P1005="En programación Frcst.",VLOOKUP(L1005,Meses!$A$1:$H$14,3+HLOOKUP(Cronograma!J1005,Meses!$D$1:$G$2,2,FALSE),FALSE),
IF(P1005="En programación",M1005,""))</f>
        <v>45400</v>
      </c>
      <c r="S1005" s="25" t="str">
        <f t="shared" si="47"/>
        <v>2024/4</v>
      </c>
      <c r="T1005" s="21">
        <f>IFERROR(
(VLOOKUP(MONTH(R1005),Meses!$B$3:$C$14,2,FALSE)-DAY(R1005))/VLOOKUP(MONTH(R1005),Meses!$B$3:$C$14,2,FALSE)*U1005,
"")</f>
        <v>26.400000000000002</v>
      </c>
      <c r="U1005" s="22">
        <f t="shared" si="46"/>
        <v>66</v>
      </c>
    </row>
    <row r="1006" spans="1:21" ht="63" hidden="1" thickBot="1" x14ac:dyDescent="0.6">
      <c r="A1006" s="10" t="s">
        <v>1292</v>
      </c>
      <c r="B1006" s="10" t="s">
        <v>1297</v>
      </c>
      <c r="C1006" s="12"/>
      <c r="D1006" s="10" t="s">
        <v>23</v>
      </c>
      <c r="E1006" s="10" t="s">
        <v>289</v>
      </c>
      <c r="F1006" s="10">
        <v>320</v>
      </c>
      <c r="G1006" s="10" t="s">
        <v>15</v>
      </c>
      <c r="H1006" s="10" t="s">
        <v>2917</v>
      </c>
      <c r="I1006" s="10" t="s">
        <v>18</v>
      </c>
      <c r="J1006" s="10" t="s">
        <v>282</v>
      </c>
      <c r="K1006" s="10" t="s">
        <v>1119</v>
      </c>
      <c r="L1006" s="10" t="s">
        <v>1120</v>
      </c>
      <c r="M1006" s="12">
        <v>45358</v>
      </c>
      <c r="N1006" s="10" t="s">
        <v>15</v>
      </c>
      <c r="O1006" s="10" t="s">
        <v>2057</v>
      </c>
      <c r="P1006" s="25" t="str">
        <f>IFERROR(
IF(OR(O1006="anulado",O1006="stand by"),CONCATENATE(O1006,": ",H1006),
IF(OR(YEAR(M1006)=2022,YEAR(M1006)=2023),CONCATENATE("Se activó en ",YEAR(M1006)),
IF(AND(OR(O1006="En proceso",O1006="facturando"),AND(J1006="-",M1006="")),"Por revisar",
IF(M1006="",IF(J1006="NUEVAS",CONCATENATE("Estado: ",O1006,", ",J1006),
IF(L1006=Meses!$A$3,"Por revisar",
IF(H1006="","Sin registro","En programación Frcst."))),"En programación")))),
"Error")</f>
        <v>En programación</v>
      </c>
      <c r="Q1006" s="9" t="str">
        <f t="shared" si="45"/>
        <v/>
      </c>
      <c r="R1006" s="25">
        <f>IF(P1006="En programación Frcst.",VLOOKUP(L1006,Meses!$A$1:$H$14,3+HLOOKUP(Cronograma!J1006,Meses!$D$1:$G$2,2,FALSE),FALSE),
IF(P1006="En programación",M1006,""))</f>
        <v>45358</v>
      </c>
      <c r="S1006" s="25" t="str">
        <f t="shared" si="47"/>
        <v>2024/3</v>
      </c>
      <c r="T1006" s="21">
        <f>IFERROR(
(VLOOKUP(MONTH(R1006),Meses!$B$3:$C$14,2,FALSE)-DAY(R1006))/VLOOKUP(MONTH(R1006),Meses!$B$3:$C$14,2,FALSE)*U1006,
"")</f>
        <v>247.74193548387098</v>
      </c>
      <c r="U1006" s="22">
        <f t="shared" si="46"/>
        <v>320</v>
      </c>
    </row>
    <row r="1007" spans="1:21" ht="63" hidden="1" thickBot="1" x14ac:dyDescent="0.6">
      <c r="A1007" s="10" t="s">
        <v>1292</v>
      </c>
      <c r="B1007" s="10" t="s">
        <v>1298</v>
      </c>
      <c r="C1007" s="12">
        <v>45316</v>
      </c>
      <c r="D1007" s="10" t="s">
        <v>23</v>
      </c>
      <c r="E1007" s="10" t="s">
        <v>23</v>
      </c>
      <c r="F1007" s="10">
        <v>4527</v>
      </c>
      <c r="G1007" s="10" t="s">
        <v>15</v>
      </c>
      <c r="H1007" s="10" t="s">
        <v>17</v>
      </c>
      <c r="I1007" s="10" t="s">
        <v>18</v>
      </c>
      <c r="J1007" s="10" t="s">
        <v>292</v>
      </c>
      <c r="K1007" s="10" t="s">
        <v>293</v>
      </c>
      <c r="L1007" s="10" t="s">
        <v>279</v>
      </c>
      <c r="M1007" s="12"/>
      <c r="N1007" s="10" t="s">
        <v>15</v>
      </c>
      <c r="O1007" s="10" t="s">
        <v>2054</v>
      </c>
      <c r="P1007" s="25" t="str">
        <f>IFERROR(
IF(OR(O1007="anulado",O1007="stand by"),CONCATENATE(O1007,": ",H1007),
IF(OR(YEAR(M1007)=2022,YEAR(M1007)=2023),CONCATENATE("Se activó en ",YEAR(M1007)),
IF(AND(OR(O1007="En proceso",O1007="facturando"),AND(J1007="-",M1007="")),"Por revisar",
IF(M1007="",IF(J1007="NUEVAS",CONCATENATE("Estado: ",O1007,", ",J1007),
IF(L1007=Meses!$A$3,"Por revisar",
IF(H1007="","Sin registro","En programación Frcst."))),"En programación")))),
"Error")</f>
        <v>En programación Frcst.</v>
      </c>
      <c r="Q1007" s="9" t="str">
        <f t="shared" si="45"/>
        <v/>
      </c>
      <c r="R1007" s="25">
        <f>IF(P1007="En programación Frcst.",VLOOKUP(L1007,Meses!$A$1:$H$14,3+HLOOKUP(Cronograma!J1007,Meses!$D$1:$G$2,2,FALSE),FALSE),
IF(P1007="En programación",M1007,""))</f>
        <v>45316</v>
      </c>
      <c r="S1007" s="25" t="str">
        <f t="shared" si="47"/>
        <v>2024/1</v>
      </c>
      <c r="T1007" s="21">
        <f>IFERROR(
(VLOOKUP(MONTH(R1007),Meses!$B$3:$C$14,2,FALSE)-DAY(R1007))/VLOOKUP(MONTH(R1007),Meses!$B$3:$C$14,2,FALSE)*U1007,
"")</f>
        <v>876.19354838709671</v>
      </c>
      <c r="U1007" s="22">
        <f t="shared" si="46"/>
        <v>4527</v>
      </c>
    </row>
    <row r="1008" spans="1:21" ht="63" hidden="1" thickBot="1" x14ac:dyDescent="0.6">
      <c r="A1008" s="10" t="s">
        <v>1292</v>
      </c>
      <c r="B1008" s="10" t="s">
        <v>1299</v>
      </c>
      <c r="C1008" s="12">
        <v>45316</v>
      </c>
      <c r="D1008" s="10" t="s">
        <v>23</v>
      </c>
      <c r="E1008" s="10" t="s">
        <v>23</v>
      </c>
      <c r="F1008" s="10">
        <v>527</v>
      </c>
      <c r="G1008" s="10" t="s">
        <v>15</v>
      </c>
      <c r="H1008" s="10" t="s">
        <v>17</v>
      </c>
      <c r="I1008" s="10" t="s">
        <v>18</v>
      </c>
      <c r="J1008" s="10" t="s">
        <v>292</v>
      </c>
      <c r="K1008" s="10" t="s">
        <v>293</v>
      </c>
      <c r="L1008" s="10" t="s">
        <v>279</v>
      </c>
      <c r="M1008" s="12"/>
      <c r="N1008" s="10" t="s">
        <v>15</v>
      </c>
      <c r="O1008" s="10" t="s">
        <v>2054</v>
      </c>
      <c r="P1008" s="25" t="str">
        <f>IFERROR(
IF(OR(O1008="anulado",O1008="stand by"),CONCATENATE(O1008,": ",H1008),
IF(OR(YEAR(M1008)=2022,YEAR(M1008)=2023),CONCATENATE("Se activó en ",YEAR(M1008)),
IF(AND(OR(O1008="En proceso",O1008="facturando"),AND(J1008="-",M1008="")),"Por revisar",
IF(M1008="",IF(J1008="NUEVAS",CONCATENATE("Estado: ",O1008,", ",J1008),
IF(L1008=Meses!$A$3,"Por revisar",
IF(H1008="","Sin registro","En programación Frcst."))),"En programación")))),
"Error")</f>
        <v>En programación Frcst.</v>
      </c>
      <c r="Q1008" s="9" t="str">
        <f t="shared" si="45"/>
        <v/>
      </c>
      <c r="R1008" s="25">
        <f>IF(P1008="En programación Frcst.",VLOOKUP(L1008,Meses!$A$1:$H$14,3+HLOOKUP(Cronograma!J1008,Meses!$D$1:$G$2,2,FALSE),FALSE),
IF(P1008="En programación",M1008,""))</f>
        <v>45316</v>
      </c>
      <c r="S1008" s="25" t="str">
        <f t="shared" si="47"/>
        <v>2024/1</v>
      </c>
      <c r="T1008" s="21">
        <f>IFERROR(
(VLOOKUP(MONTH(R1008),Meses!$B$3:$C$14,2,FALSE)-DAY(R1008))/VLOOKUP(MONTH(R1008),Meses!$B$3:$C$14,2,FALSE)*U1008,
"")</f>
        <v>102</v>
      </c>
      <c r="U1008" s="22">
        <f t="shared" si="46"/>
        <v>527</v>
      </c>
    </row>
    <row r="1009" spans="1:21" ht="63" hidden="1" thickBot="1" x14ac:dyDescent="0.6">
      <c r="A1009" s="10" t="s">
        <v>1292</v>
      </c>
      <c r="B1009" s="10" t="s">
        <v>1300</v>
      </c>
      <c r="C1009" s="12">
        <v>45316</v>
      </c>
      <c r="D1009" s="10" t="s">
        <v>23</v>
      </c>
      <c r="E1009" s="10" t="s">
        <v>23</v>
      </c>
      <c r="F1009" s="10">
        <v>61578</v>
      </c>
      <c r="G1009" s="10" t="s">
        <v>15</v>
      </c>
      <c r="H1009" s="10" t="s">
        <v>2406</v>
      </c>
      <c r="I1009" s="10" t="s">
        <v>18</v>
      </c>
      <c r="J1009" s="10" t="s">
        <v>292</v>
      </c>
      <c r="K1009" s="10" t="s">
        <v>293</v>
      </c>
      <c r="L1009" s="10" t="s">
        <v>279</v>
      </c>
      <c r="M1009" s="12"/>
      <c r="N1009" s="10" t="s">
        <v>15</v>
      </c>
      <c r="O1009" s="10" t="s">
        <v>2054</v>
      </c>
      <c r="P1009" s="25" t="str">
        <f>IFERROR(
IF(OR(O1009="anulado",O1009="stand by"),CONCATENATE(O1009,": ",H1009),
IF(OR(YEAR(M1009)=2022,YEAR(M1009)=2023),CONCATENATE("Se activó en ",YEAR(M1009)),
IF(AND(OR(O1009="En proceso",O1009="facturando"),AND(J1009="-",M1009="")),"Por revisar",
IF(M1009="",IF(J1009="NUEVAS",CONCATENATE("Estado: ",O1009,", ",J1009),
IF(L1009=Meses!$A$3,"Por revisar",
IF(H1009="","Sin registro","En programación Frcst."))),"En programación")))),
"Error")</f>
        <v>En programación Frcst.</v>
      </c>
      <c r="Q1009" s="9" t="str">
        <f t="shared" si="45"/>
        <v/>
      </c>
      <c r="R1009" s="25">
        <f>IF(P1009="En programación Frcst.",VLOOKUP(L1009,Meses!$A$1:$H$14,3+HLOOKUP(Cronograma!J1009,Meses!$D$1:$G$2,2,FALSE),FALSE),
IF(P1009="En programación",M1009,""))</f>
        <v>45316</v>
      </c>
      <c r="S1009" s="25" t="str">
        <f t="shared" si="47"/>
        <v>2024/1</v>
      </c>
      <c r="T1009" s="21">
        <f>IFERROR(
(VLOOKUP(MONTH(R1009),Meses!$B$3:$C$14,2,FALSE)-DAY(R1009))/VLOOKUP(MONTH(R1009),Meses!$B$3:$C$14,2,FALSE)*U1009,
"")</f>
        <v>11918.322580645161</v>
      </c>
      <c r="U1009" s="22">
        <f t="shared" si="46"/>
        <v>61578</v>
      </c>
    </row>
    <row r="1010" spans="1:21" ht="63" hidden="1" thickBot="1" x14ac:dyDescent="0.6">
      <c r="A1010" s="10" t="s">
        <v>1292</v>
      </c>
      <c r="B1010" s="10" t="s">
        <v>1301</v>
      </c>
      <c r="C1010" s="12">
        <v>45316</v>
      </c>
      <c r="D1010" s="10" t="s">
        <v>23</v>
      </c>
      <c r="E1010" s="10" t="s">
        <v>23</v>
      </c>
      <c r="F1010" s="10">
        <v>3940</v>
      </c>
      <c r="G1010" s="10" t="s">
        <v>15</v>
      </c>
      <c r="H1010" s="10" t="s">
        <v>17</v>
      </c>
      <c r="I1010" s="10" t="s">
        <v>18</v>
      </c>
      <c r="J1010" s="10" t="s">
        <v>292</v>
      </c>
      <c r="K1010" s="10" t="s">
        <v>293</v>
      </c>
      <c r="L1010" s="10" t="s">
        <v>279</v>
      </c>
      <c r="M1010" s="12"/>
      <c r="N1010" s="10" t="s">
        <v>15</v>
      </c>
      <c r="O1010" s="10" t="s">
        <v>2054</v>
      </c>
      <c r="P1010" s="25" t="str">
        <f>IFERROR(
IF(OR(O1010="anulado",O1010="stand by"),CONCATENATE(O1010,": ",H1010),
IF(OR(YEAR(M1010)=2022,YEAR(M1010)=2023),CONCATENATE("Se activó en ",YEAR(M1010)),
IF(AND(OR(O1010="En proceso",O1010="facturando"),AND(J1010="-",M1010="")),"Por revisar",
IF(M1010="",IF(J1010="NUEVAS",CONCATENATE("Estado: ",O1010,", ",J1010),
IF(L1010=Meses!$A$3,"Por revisar",
IF(H1010="","Sin registro","En programación Frcst."))),"En programación")))),
"Error")</f>
        <v>En programación Frcst.</v>
      </c>
      <c r="Q1010" s="9" t="str">
        <f t="shared" si="45"/>
        <v/>
      </c>
      <c r="R1010" s="25">
        <f>IF(P1010="En programación Frcst.",VLOOKUP(L1010,Meses!$A$1:$H$14,3+HLOOKUP(Cronograma!J1010,Meses!$D$1:$G$2,2,FALSE),FALSE),
IF(P1010="En programación",M1010,""))</f>
        <v>45316</v>
      </c>
      <c r="S1010" s="25" t="str">
        <f t="shared" si="47"/>
        <v>2024/1</v>
      </c>
      <c r="T1010" s="21">
        <f>IFERROR(
(VLOOKUP(MONTH(R1010),Meses!$B$3:$C$14,2,FALSE)-DAY(R1010))/VLOOKUP(MONTH(R1010),Meses!$B$3:$C$14,2,FALSE)*U1010,
"")</f>
        <v>762.58064516129025</v>
      </c>
      <c r="U1010" s="22">
        <f t="shared" si="46"/>
        <v>3940</v>
      </c>
    </row>
    <row r="1011" spans="1:21" ht="63" hidden="1" thickBot="1" x14ac:dyDescent="0.6">
      <c r="A1011" s="10" t="s">
        <v>1292</v>
      </c>
      <c r="B1011" s="10" t="s">
        <v>1302</v>
      </c>
      <c r="C1011" s="12">
        <v>45316</v>
      </c>
      <c r="D1011" s="10" t="s">
        <v>23</v>
      </c>
      <c r="E1011" s="10" t="s">
        <v>23</v>
      </c>
      <c r="F1011" s="10">
        <v>3600</v>
      </c>
      <c r="G1011" s="10" t="s">
        <v>15</v>
      </c>
      <c r="H1011" s="10" t="s">
        <v>17</v>
      </c>
      <c r="I1011" s="10" t="s">
        <v>18</v>
      </c>
      <c r="J1011" s="10" t="s">
        <v>292</v>
      </c>
      <c r="K1011" s="10" t="s">
        <v>293</v>
      </c>
      <c r="L1011" s="10" t="s">
        <v>279</v>
      </c>
      <c r="M1011" s="12"/>
      <c r="N1011" s="10" t="s">
        <v>15</v>
      </c>
      <c r="O1011" s="10" t="s">
        <v>2054</v>
      </c>
      <c r="P1011" s="25" t="str">
        <f>IFERROR(
IF(OR(O1011="anulado",O1011="stand by"),CONCATENATE(O1011,": ",H1011),
IF(OR(YEAR(M1011)=2022,YEAR(M1011)=2023),CONCATENATE("Se activó en ",YEAR(M1011)),
IF(AND(OR(O1011="En proceso",O1011="facturando"),AND(J1011="-",M1011="")),"Por revisar",
IF(M1011="",IF(J1011="NUEVAS",CONCATENATE("Estado: ",O1011,", ",J1011),
IF(L1011=Meses!$A$3,"Por revisar",
IF(H1011="","Sin registro","En programación Frcst."))),"En programación")))),
"Error")</f>
        <v>En programación Frcst.</v>
      </c>
      <c r="Q1011" s="9" t="str">
        <f t="shared" si="45"/>
        <v/>
      </c>
      <c r="R1011" s="25">
        <f>IF(P1011="En programación Frcst.",VLOOKUP(L1011,Meses!$A$1:$H$14,3+HLOOKUP(Cronograma!J1011,Meses!$D$1:$G$2,2,FALSE),FALSE),
IF(P1011="En programación",M1011,""))</f>
        <v>45316</v>
      </c>
      <c r="S1011" s="25" t="str">
        <f t="shared" si="47"/>
        <v>2024/1</v>
      </c>
      <c r="T1011" s="21">
        <f>IFERROR(
(VLOOKUP(MONTH(R1011),Meses!$B$3:$C$14,2,FALSE)-DAY(R1011))/VLOOKUP(MONTH(R1011),Meses!$B$3:$C$14,2,FALSE)*U1011,
"")</f>
        <v>696.77419354838707</v>
      </c>
      <c r="U1011" s="22">
        <f t="shared" si="46"/>
        <v>3600</v>
      </c>
    </row>
    <row r="1012" spans="1:21" ht="63" hidden="1" thickBot="1" x14ac:dyDescent="0.6">
      <c r="A1012" s="10" t="s">
        <v>1292</v>
      </c>
      <c r="B1012" s="10" t="s">
        <v>1303</v>
      </c>
      <c r="C1012" s="12">
        <v>45316</v>
      </c>
      <c r="D1012" s="10" t="s">
        <v>23</v>
      </c>
      <c r="E1012" s="10" t="s">
        <v>23</v>
      </c>
      <c r="F1012" s="10">
        <v>360</v>
      </c>
      <c r="G1012" s="10" t="s">
        <v>15</v>
      </c>
      <c r="H1012" s="10" t="s">
        <v>17</v>
      </c>
      <c r="I1012" s="10" t="s">
        <v>18</v>
      </c>
      <c r="J1012" s="10" t="s">
        <v>292</v>
      </c>
      <c r="K1012" s="10" t="s">
        <v>293</v>
      </c>
      <c r="L1012" s="10" t="s">
        <v>279</v>
      </c>
      <c r="M1012" s="12"/>
      <c r="N1012" s="10" t="s">
        <v>15</v>
      </c>
      <c r="O1012" s="10" t="s">
        <v>2054</v>
      </c>
      <c r="P1012" s="25" t="str">
        <f>IFERROR(
IF(OR(O1012="anulado",O1012="stand by"),CONCATENATE(O1012,": ",H1012),
IF(OR(YEAR(M1012)=2022,YEAR(M1012)=2023),CONCATENATE("Se activó en ",YEAR(M1012)),
IF(AND(OR(O1012="En proceso",O1012="facturando"),AND(J1012="-",M1012="")),"Por revisar",
IF(M1012="",IF(J1012="NUEVAS",CONCATENATE("Estado: ",O1012,", ",J1012),
IF(L1012=Meses!$A$3,"Por revisar",
IF(H1012="","Sin registro","En programación Frcst."))),"En programación")))),
"Error")</f>
        <v>En programación Frcst.</v>
      </c>
      <c r="Q1012" s="9" t="str">
        <f t="shared" si="45"/>
        <v/>
      </c>
      <c r="R1012" s="25">
        <f>IF(P1012="En programación Frcst.",VLOOKUP(L1012,Meses!$A$1:$H$14,3+HLOOKUP(Cronograma!J1012,Meses!$D$1:$G$2,2,FALSE),FALSE),
IF(P1012="En programación",M1012,""))</f>
        <v>45316</v>
      </c>
      <c r="S1012" s="25" t="str">
        <f t="shared" si="47"/>
        <v>2024/1</v>
      </c>
      <c r="T1012" s="21">
        <f>IFERROR(
(VLOOKUP(MONTH(R1012),Meses!$B$3:$C$14,2,FALSE)-DAY(R1012))/VLOOKUP(MONTH(R1012),Meses!$B$3:$C$14,2,FALSE)*U1012,
"")</f>
        <v>69.677419354838705</v>
      </c>
      <c r="U1012" s="22">
        <f t="shared" si="46"/>
        <v>360</v>
      </c>
    </row>
    <row r="1013" spans="1:21" ht="63" hidden="1" thickBot="1" x14ac:dyDescent="0.6">
      <c r="A1013" s="10" t="s">
        <v>1292</v>
      </c>
      <c r="B1013" s="10" t="s">
        <v>1304</v>
      </c>
      <c r="C1013" s="12"/>
      <c r="D1013" s="10" t="s">
        <v>23</v>
      </c>
      <c r="E1013" s="10" t="s">
        <v>23</v>
      </c>
      <c r="F1013" s="10">
        <v>960</v>
      </c>
      <c r="G1013" s="10" t="s">
        <v>15</v>
      </c>
      <c r="H1013" s="10" t="s">
        <v>2917</v>
      </c>
      <c r="I1013" s="10" t="s">
        <v>18</v>
      </c>
      <c r="J1013" s="10" t="s">
        <v>282</v>
      </c>
      <c r="K1013" s="10" t="s">
        <v>1119</v>
      </c>
      <c r="L1013" s="10" t="s">
        <v>1120</v>
      </c>
      <c r="M1013" s="12">
        <v>45358</v>
      </c>
      <c r="N1013" s="10" t="s">
        <v>15</v>
      </c>
      <c r="O1013" s="10" t="s">
        <v>2057</v>
      </c>
      <c r="P1013" s="25" t="str">
        <f>IFERROR(
IF(OR(O1013="anulado",O1013="stand by"),CONCATENATE(O1013,": ",H1013),
IF(OR(YEAR(M1013)=2022,YEAR(M1013)=2023),CONCATENATE("Se activó en ",YEAR(M1013)),
IF(AND(OR(O1013="En proceso",O1013="facturando"),AND(J1013="-",M1013="")),"Por revisar",
IF(M1013="",IF(J1013="NUEVAS",CONCATENATE("Estado: ",O1013,", ",J1013),
IF(L1013=Meses!$A$3,"Por revisar",
IF(H1013="","Sin registro","En programación Frcst."))),"En programación")))),
"Error")</f>
        <v>En programación</v>
      </c>
      <c r="Q1013" s="9" t="str">
        <f t="shared" si="45"/>
        <v/>
      </c>
      <c r="R1013" s="25">
        <f>IF(P1013="En programación Frcst.",VLOOKUP(L1013,Meses!$A$1:$H$14,3+HLOOKUP(Cronograma!J1013,Meses!$D$1:$G$2,2,FALSE),FALSE),
IF(P1013="En programación",M1013,""))</f>
        <v>45358</v>
      </c>
      <c r="S1013" s="25" t="str">
        <f t="shared" si="47"/>
        <v>2024/3</v>
      </c>
      <c r="T1013" s="21">
        <f>IFERROR(
(VLOOKUP(MONTH(R1013),Meses!$B$3:$C$14,2,FALSE)-DAY(R1013))/VLOOKUP(MONTH(R1013),Meses!$B$3:$C$14,2,FALSE)*U1013,
"")</f>
        <v>743.22580645161293</v>
      </c>
      <c r="U1013" s="22">
        <f t="shared" si="46"/>
        <v>960</v>
      </c>
    </row>
    <row r="1014" spans="1:21" ht="63" hidden="1" thickBot="1" x14ac:dyDescent="0.6">
      <c r="A1014" s="10" t="s">
        <v>1292</v>
      </c>
      <c r="B1014" s="10" t="s">
        <v>1305</v>
      </c>
      <c r="C1014" s="12">
        <v>45316</v>
      </c>
      <c r="D1014" s="10" t="s">
        <v>23</v>
      </c>
      <c r="E1014" s="10" t="s">
        <v>23</v>
      </c>
      <c r="F1014" s="10">
        <v>990</v>
      </c>
      <c r="G1014" s="10" t="s">
        <v>15</v>
      </c>
      <c r="H1014" s="10" t="s">
        <v>17</v>
      </c>
      <c r="I1014" s="10" t="s">
        <v>18</v>
      </c>
      <c r="J1014" s="10" t="s">
        <v>292</v>
      </c>
      <c r="K1014" s="10" t="s">
        <v>293</v>
      </c>
      <c r="L1014" s="10" t="s">
        <v>279</v>
      </c>
      <c r="M1014" s="12"/>
      <c r="N1014" s="10" t="s">
        <v>15</v>
      </c>
      <c r="O1014" s="10" t="s">
        <v>2054</v>
      </c>
      <c r="P1014" s="25" t="str">
        <f>IFERROR(
IF(OR(O1014="anulado",O1014="stand by"),CONCATENATE(O1014,": ",H1014),
IF(OR(YEAR(M1014)=2022,YEAR(M1014)=2023),CONCATENATE("Se activó en ",YEAR(M1014)),
IF(AND(OR(O1014="En proceso",O1014="facturando"),AND(J1014="-",M1014="")),"Por revisar",
IF(M1014="",IF(J1014="NUEVAS",CONCATENATE("Estado: ",O1014,", ",J1014),
IF(L1014=Meses!$A$3,"Por revisar",
IF(H1014="","Sin registro","En programación Frcst."))),"En programación")))),
"Error")</f>
        <v>En programación Frcst.</v>
      </c>
      <c r="Q1014" s="9" t="str">
        <f t="shared" si="45"/>
        <v/>
      </c>
      <c r="R1014" s="25">
        <f>IF(P1014="En programación Frcst.",VLOOKUP(L1014,Meses!$A$1:$H$14,3+HLOOKUP(Cronograma!J1014,Meses!$D$1:$G$2,2,FALSE),FALSE),
IF(P1014="En programación",M1014,""))</f>
        <v>45316</v>
      </c>
      <c r="S1014" s="25" t="str">
        <f t="shared" si="47"/>
        <v>2024/1</v>
      </c>
      <c r="T1014" s="21">
        <f>IFERROR(
(VLOOKUP(MONTH(R1014),Meses!$B$3:$C$14,2,FALSE)-DAY(R1014))/VLOOKUP(MONTH(R1014),Meses!$B$3:$C$14,2,FALSE)*U1014,
"")</f>
        <v>191.61290322580643</v>
      </c>
      <c r="U1014" s="22">
        <f t="shared" si="46"/>
        <v>990</v>
      </c>
    </row>
    <row r="1015" spans="1:21" ht="63" hidden="1" thickBot="1" x14ac:dyDescent="0.6">
      <c r="A1015" s="10" t="s">
        <v>1292</v>
      </c>
      <c r="B1015" s="10" t="s">
        <v>1306</v>
      </c>
      <c r="C1015" s="12"/>
      <c r="D1015" s="10" t="s">
        <v>23</v>
      </c>
      <c r="E1015" s="10" t="s">
        <v>23</v>
      </c>
      <c r="F1015" s="10">
        <v>4380</v>
      </c>
      <c r="G1015" s="10" t="s">
        <v>15</v>
      </c>
      <c r="H1015" s="10" t="s">
        <v>2917</v>
      </c>
      <c r="I1015" s="10" t="s">
        <v>18</v>
      </c>
      <c r="J1015" s="10" t="s">
        <v>282</v>
      </c>
      <c r="K1015" s="10" t="s">
        <v>1119</v>
      </c>
      <c r="L1015" s="10" t="s">
        <v>1120</v>
      </c>
      <c r="M1015" s="12">
        <v>45358</v>
      </c>
      <c r="N1015" s="10" t="s">
        <v>15</v>
      </c>
      <c r="O1015" s="10" t="s">
        <v>2057</v>
      </c>
      <c r="P1015" s="25" t="str">
        <f>IFERROR(
IF(OR(O1015="anulado",O1015="stand by"),CONCATENATE(O1015,": ",H1015),
IF(OR(YEAR(M1015)=2022,YEAR(M1015)=2023),CONCATENATE("Se activó en ",YEAR(M1015)),
IF(AND(OR(O1015="En proceso",O1015="facturando"),AND(J1015="-",M1015="")),"Por revisar",
IF(M1015="",IF(J1015="NUEVAS",CONCATENATE("Estado: ",O1015,", ",J1015),
IF(L1015=Meses!$A$3,"Por revisar",
IF(H1015="","Sin registro","En programación Frcst."))),"En programación")))),
"Error")</f>
        <v>En programación</v>
      </c>
      <c r="Q1015" s="9" t="str">
        <f t="shared" si="45"/>
        <v/>
      </c>
      <c r="R1015" s="25">
        <f>IF(P1015="En programación Frcst.",VLOOKUP(L1015,Meses!$A$1:$H$14,3+HLOOKUP(Cronograma!J1015,Meses!$D$1:$G$2,2,FALSE),FALSE),
IF(P1015="En programación",M1015,""))</f>
        <v>45358</v>
      </c>
      <c r="S1015" s="25" t="str">
        <f t="shared" si="47"/>
        <v>2024/3</v>
      </c>
      <c r="T1015" s="21">
        <f>IFERROR(
(VLOOKUP(MONTH(R1015),Meses!$B$3:$C$14,2,FALSE)-DAY(R1015))/VLOOKUP(MONTH(R1015),Meses!$B$3:$C$14,2,FALSE)*U1015,
"")</f>
        <v>3390.9677419354839</v>
      </c>
      <c r="U1015" s="22">
        <f t="shared" si="46"/>
        <v>4380</v>
      </c>
    </row>
    <row r="1016" spans="1:21" ht="63" hidden="1" thickBot="1" x14ac:dyDescent="0.6">
      <c r="A1016" s="10" t="s">
        <v>1292</v>
      </c>
      <c r="B1016" s="10" t="s">
        <v>1307</v>
      </c>
      <c r="C1016" s="12"/>
      <c r="D1016" s="10" t="s">
        <v>23</v>
      </c>
      <c r="E1016" s="10" t="s">
        <v>23</v>
      </c>
      <c r="F1016" s="10">
        <v>5070</v>
      </c>
      <c r="G1016" s="10" t="s">
        <v>15</v>
      </c>
      <c r="H1016" s="10" t="s">
        <v>2917</v>
      </c>
      <c r="I1016" s="10" t="s">
        <v>18</v>
      </c>
      <c r="J1016" s="10" t="s">
        <v>282</v>
      </c>
      <c r="K1016" s="10" t="s">
        <v>1119</v>
      </c>
      <c r="L1016" s="10" t="s">
        <v>1120</v>
      </c>
      <c r="M1016" s="12">
        <v>45358</v>
      </c>
      <c r="N1016" s="10" t="s">
        <v>15</v>
      </c>
      <c r="O1016" s="10" t="s">
        <v>2057</v>
      </c>
      <c r="P1016" s="25" t="str">
        <f>IFERROR(
IF(OR(O1016="anulado",O1016="stand by"),CONCATENATE(O1016,": ",H1016),
IF(OR(YEAR(M1016)=2022,YEAR(M1016)=2023),CONCATENATE("Se activó en ",YEAR(M1016)),
IF(AND(OR(O1016="En proceso",O1016="facturando"),AND(J1016="-",M1016="")),"Por revisar",
IF(M1016="",IF(J1016="NUEVAS",CONCATENATE("Estado: ",O1016,", ",J1016),
IF(L1016=Meses!$A$3,"Por revisar",
IF(H1016="","Sin registro","En programación Frcst."))),"En programación")))),
"Error")</f>
        <v>En programación</v>
      </c>
      <c r="Q1016" s="9" t="str">
        <f t="shared" si="45"/>
        <v/>
      </c>
      <c r="R1016" s="25">
        <f>IF(P1016="En programación Frcst.",VLOOKUP(L1016,Meses!$A$1:$H$14,3+HLOOKUP(Cronograma!J1016,Meses!$D$1:$G$2,2,FALSE),FALSE),
IF(P1016="En programación",M1016,""))</f>
        <v>45358</v>
      </c>
      <c r="S1016" s="25" t="str">
        <f t="shared" si="47"/>
        <v>2024/3</v>
      </c>
      <c r="T1016" s="21">
        <f>IFERROR(
(VLOOKUP(MONTH(R1016),Meses!$B$3:$C$14,2,FALSE)-DAY(R1016))/VLOOKUP(MONTH(R1016),Meses!$B$3:$C$14,2,FALSE)*U1016,
"")</f>
        <v>3925.1612903225805</v>
      </c>
      <c r="U1016" s="22">
        <f t="shared" si="46"/>
        <v>5070</v>
      </c>
    </row>
    <row r="1017" spans="1:21" ht="63" hidden="1" thickBot="1" x14ac:dyDescent="0.6">
      <c r="A1017" s="10" t="s">
        <v>1292</v>
      </c>
      <c r="B1017" s="10" t="s">
        <v>1308</v>
      </c>
      <c r="C1017" s="12">
        <v>45316</v>
      </c>
      <c r="D1017" s="10" t="s">
        <v>23</v>
      </c>
      <c r="E1017" s="10" t="s">
        <v>23</v>
      </c>
      <c r="F1017" s="10">
        <v>826</v>
      </c>
      <c r="G1017" s="10" t="s">
        <v>15</v>
      </c>
      <c r="H1017" s="10" t="s">
        <v>17</v>
      </c>
      <c r="I1017" s="10" t="s">
        <v>18</v>
      </c>
      <c r="J1017" s="10" t="s">
        <v>292</v>
      </c>
      <c r="K1017" s="10" t="s">
        <v>293</v>
      </c>
      <c r="L1017" s="10" t="s">
        <v>279</v>
      </c>
      <c r="M1017" s="12"/>
      <c r="N1017" s="10" t="s">
        <v>15</v>
      </c>
      <c r="O1017" s="10" t="s">
        <v>2054</v>
      </c>
      <c r="P1017" s="25" t="str">
        <f>IFERROR(
IF(OR(O1017="anulado",O1017="stand by"),CONCATENATE(O1017,": ",H1017),
IF(OR(YEAR(M1017)=2022,YEAR(M1017)=2023),CONCATENATE("Se activó en ",YEAR(M1017)),
IF(AND(OR(O1017="En proceso",O1017="facturando"),AND(J1017="-",M1017="")),"Por revisar",
IF(M1017="",IF(J1017="NUEVAS",CONCATENATE("Estado: ",O1017,", ",J1017),
IF(L1017=Meses!$A$3,"Por revisar",
IF(H1017="","Sin registro","En programación Frcst."))),"En programación")))),
"Error")</f>
        <v>En programación Frcst.</v>
      </c>
      <c r="Q1017" s="9" t="str">
        <f t="shared" si="45"/>
        <v/>
      </c>
      <c r="R1017" s="25">
        <f>IF(P1017="En programación Frcst.",VLOOKUP(L1017,Meses!$A$1:$H$14,3+HLOOKUP(Cronograma!J1017,Meses!$D$1:$G$2,2,FALSE),FALSE),
IF(P1017="En programación",M1017,""))</f>
        <v>45316</v>
      </c>
      <c r="S1017" s="25" t="str">
        <f t="shared" si="47"/>
        <v>2024/1</v>
      </c>
      <c r="T1017" s="21">
        <f>IFERROR(
(VLOOKUP(MONTH(R1017),Meses!$B$3:$C$14,2,FALSE)-DAY(R1017))/VLOOKUP(MONTH(R1017),Meses!$B$3:$C$14,2,FALSE)*U1017,
"")</f>
        <v>159.87096774193549</v>
      </c>
      <c r="U1017" s="22">
        <f t="shared" si="46"/>
        <v>826</v>
      </c>
    </row>
    <row r="1018" spans="1:21" ht="63" hidden="1" thickBot="1" x14ac:dyDescent="0.6">
      <c r="A1018" s="10" t="s">
        <v>1292</v>
      </c>
      <c r="B1018" s="10" t="s">
        <v>1309</v>
      </c>
      <c r="C1018" s="12">
        <v>45316</v>
      </c>
      <c r="D1018" s="10" t="s">
        <v>23</v>
      </c>
      <c r="E1018" s="10" t="s">
        <v>23</v>
      </c>
      <c r="F1018" s="10">
        <v>23200</v>
      </c>
      <c r="G1018" s="10" t="s">
        <v>15</v>
      </c>
      <c r="H1018" s="10" t="s">
        <v>17</v>
      </c>
      <c r="I1018" s="10" t="s">
        <v>18</v>
      </c>
      <c r="J1018" s="10" t="s">
        <v>292</v>
      </c>
      <c r="K1018" s="10" t="s">
        <v>293</v>
      </c>
      <c r="L1018" s="10" t="s">
        <v>279</v>
      </c>
      <c r="M1018" s="12"/>
      <c r="N1018" s="10" t="s">
        <v>15</v>
      </c>
      <c r="O1018" s="10" t="s">
        <v>2054</v>
      </c>
      <c r="P1018" s="25" t="str">
        <f>IFERROR(
IF(OR(O1018="anulado",O1018="stand by"),CONCATENATE(O1018,": ",H1018),
IF(OR(YEAR(M1018)=2022,YEAR(M1018)=2023),CONCATENATE("Se activó en ",YEAR(M1018)),
IF(AND(OR(O1018="En proceso",O1018="facturando"),AND(J1018="-",M1018="")),"Por revisar",
IF(M1018="",IF(J1018="NUEVAS",CONCATENATE("Estado: ",O1018,", ",J1018),
IF(L1018=Meses!$A$3,"Por revisar",
IF(H1018="","Sin registro","En programación Frcst."))),"En programación")))),
"Error")</f>
        <v>En programación Frcst.</v>
      </c>
      <c r="Q1018" s="9" t="str">
        <f t="shared" si="45"/>
        <v/>
      </c>
      <c r="R1018" s="25">
        <f>IF(P1018="En programación Frcst.",VLOOKUP(L1018,Meses!$A$1:$H$14,3+HLOOKUP(Cronograma!J1018,Meses!$D$1:$G$2,2,FALSE),FALSE),
IF(P1018="En programación",M1018,""))</f>
        <v>45316</v>
      </c>
      <c r="S1018" s="25" t="str">
        <f t="shared" si="47"/>
        <v>2024/1</v>
      </c>
      <c r="T1018" s="21">
        <f>IFERROR(
(VLOOKUP(MONTH(R1018),Meses!$B$3:$C$14,2,FALSE)-DAY(R1018))/VLOOKUP(MONTH(R1018),Meses!$B$3:$C$14,2,FALSE)*U1018,
"")</f>
        <v>4490.322580645161</v>
      </c>
      <c r="U1018" s="22">
        <f t="shared" si="46"/>
        <v>23200</v>
      </c>
    </row>
    <row r="1019" spans="1:21" ht="63" hidden="1" thickBot="1" x14ac:dyDescent="0.6">
      <c r="A1019" s="10" t="s">
        <v>1292</v>
      </c>
      <c r="B1019" s="10" t="s">
        <v>1310</v>
      </c>
      <c r="C1019" s="12"/>
      <c r="D1019" s="10" t="s">
        <v>23</v>
      </c>
      <c r="E1019" s="10" t="s">
        <v>23</v>
      </c>
      <c r="F1019" s="10">
        <v>15480</v>
      </c>
      <c r="G1019" s="10" t="s">
        <v>15</v>
      </c>
      <c r="H1019" s="10" t="s">
        <v>2917</v>
      </c>
      <c r="I1019" s="10" t="s">
        <v>18</v>
      </c>
      <c r="J1019" s="10" t="s">
        <v>282</v>
      </c>
      <c r="K1019" s="10" t="s">
        <v>1119</v>
      </c>
      <c r="L1019" s="10" t="s">
        <v>1120</v>
      </c>
      <c r="M1019" s="12">
        <v>45358</v>
      </c>
      <c r="N1019" s="10" t="s">
        <v>15</v>
      </c>
      <c r="O1019" s="10" t="s">
        <v>2057</v>
      </c>
      <c r="P1019" s="25" t="str">
        <f>IFERROR(
IF(OR(O1019="anulado",O1019="stand by"),CONCATENATE(O1019,": ",H1019),
IF(OR(YEAR(M1019)=2022,YEAR(M1019)=2023),CONCATENATE("Se activó en ",YEAR(M1019)),
IF(AND(OR(O1019="En proceso",O1019="facturando"),AND(J1019="-",M1019="")),"Por revisar",
IF(M1019="",IF(J1019="NUEVAS",CONCATENATE("Estado: ",O1019,", ",J1019),
IF(L1019=Meses!$A$3,"Por revisar",
IF(H1019="","Sin registro","En programación Frcst."))),"En programación")))),
"Error")</f>
        <v>En programación</v>
      </c>
      <c r="Q1019" s="9" t="str">
        <f t="shared" si="45"/>
        <v/>
      </c>
      <c r="R1019" s="25">
        <f>IF(P1019="En programación Frcst.",VLOOKUP(L1019,Meses!$A$1:$H$14,3+HLOOKUP(Cronograma!J1019,Meses!$D$1:$G$2,2,FALSE),FALSE),
IF(P1019="En programación",M1019,""))</f>
        <v>45358</v>
      </c>
      <c r="S1019" s="25" t="str">
        <f t="shared" si="47"/>
        <v>2024/3</v>
      </c>
      <c r="T1019" s="21">
        <f>IFERROR(
(VLOOKUP(MONTH(R1019),Meses!$B$3:$C$14,2,FALSE)-DAY(R1019))/VLOOKUP(MONTH(R1019),Meses!$B$3:$C$14,2,FALSE)*U1019,
"")</f>
        <v>11984.516129032258</v>
      </c>
      <c r="U1019" s="22">
        <f t="shared" si="46"/>
        <v>15480</v>
      </c>
    </row>
    <row r="1020" spans="1:21" ht="63" hidden="1" thickBot="1" x14ac:dyDescent="0.6">
      <c r="A1020" s="10" t="s">
        <v>1292</v>
      </c>
      <c r="B1020" s="10" t="s">
        <v>1311</v>
      </c>
      <c r="C1020" s="12">
        <v>45316</v>
      </c>
      <c r="D1020" s="10" t="s">
        <v>23</v>
      </c>
      <c r="E1020" s="10" t="s">
        <v>23</v>
      </c>
      <c r="F1020" s="10">
        <v>6820</v>
      </c>
      <c r="G1020" s="10" t="s">
        <v>15</v>
      </c>
      <c r="H1020" s="10" t="s">
        <v>17</v>
      </c>
      <c r="I1020" s="10" t="s">
        <v>18</v>
      </c>
      <c r="J1020" s="10" t="s">
        <v>292</v>
      </c>
      <c r="K1020" s="10" t="s">
        <v>293</v>
      </c>
      <c r="L1020" s="10" t="s">
        <v>279</v>
      </c>
      <c r="M1020" s="12"/>
      <c r="N1020" s="10" t="s">
        <v>15</v>
      </c>
      <c r="O1020" s="10" t="s">
        <v>2054</v>
      </c>
      <c r="P1020" s="25" t="str">
        <f>IFERROR(
IF(OR(O1020="anulado",O1020="stand by"),CONCATENATE(O1020,": ",H1020),
IF(OR(YEAR(M1020)=2022,YEAR(M1020)=2023),CONCATENATE("Se activó en ",YEAR(M1020)),
IF(AND(OR(O1020="En proceso",O1020="facturando"),AND(J1020="-",M1020="")),"Por revisar",
IF(M1020="",IF(J1020="NUEVAS",CONCATENATE("Estado: ",O1020,", ",J1020),
IF(L1020=Meses!$A$3,"Por revisar",
IF(H1020="","Sin registro","En programación Frcst."))),"En programación")))),
"Error")</f>
        <v>En programación Frcst.</v>
      </c>
      <c r="Q1020" s="9" t="str">
        <f t="shared" si="45"/>
        <v/>
      </c>
      <c r="R1020" s="25">
        <f>IF(P1020="En programación Frcst.",VLOOKUP(L1020,Meses!$A$1:$H$14,3+HLOOKUP(Cronograma!J1020,Meses!$D$1:$G$2,2,FALSE),FALSE),
IF(P1020="En programación",M1020,""))</f>
        <v>45316</v>
      </c>
      <c r="S1020" s="25" t="str">
        <f t="shared" si="47"/>
        <v>2024/1</v>
      </c>
      <c r="T1020" s="21">
        <f>IFERROR(
(VLOOKUP(MONTH(R1020),Meses!$B$3:$C$14,2,FALSE)-DAY(R1020))/VLOOKUP(MONTH(R1020),Meses!$B$3:$C$14,2,FALSE)*U1020,
"")</f>
        <v>1320</v>
      </c>
      <c r="U1020" s="22">
        <f t="shared" si="46"/>
        <v>6820</v>
      </c>
    </row>
    <row r="1021" spans="1:21" ht="63" hidden="1" thickBot="1" x14ac:dyDescent="0.6">
      <c r="A1021" s="10" t="s">
        <v>1292</v>
      </c>
      <c r="B1021" s="10" t="s">
        <v>1312</v>
      </c>
      <c r="C1021" s="12">
        <v>45316</v>
      </c>
      <c r="D1021" s="10" t="s">
        <v>23</v>
      </c>
      <c r="E1021" s="10" t="s">
        <v>23</v>
      </c>
      <c r="F1021" s="10">
        <v>273</v>
      </c>
      <c r="G1021" s="10" t="s">
        <v>15</v>
      </c>
      <c r="H1021" s="10" t="s">
        <v>17</v>
      </c>
      <c r="I1021" s="10" t="s">
        <v>18</v>
      </c>
      <c r="J1021" s="10" t="s">
        <v>292</v>
      </c>
      <c r="K1021" s="10" t="s">
        <v>293</v>
      </c>
      <c r="L1021" s="10" t="s">
        <v>279</v>
      </c>
      <c r="M1021" s="12"/>
      <c r="N1021" s="10" t="s">
        <v>15</v>
      </c>
      <c r="O1021" s="10" t="s">
        <v>2054</v>
      </c>
      <c r="P1021" s="25" t="str">
        <f>IFERROR(
IF(OR(O1021="anulado",O1021="stand by"),CONCATENATE(O1021,": ",H1021),
IF(OR(YEAR(M1021)=2022,YEAR(M1021)=2023),CONCATENATE("Se activó en ",YEAR(M1021)),
IF(AND(OR(O1021="En proceso",O1021="facturando"),AND(J1021="-",M1021="")),"Por revisar",
IF(M1021="",IF(J1021="NUEVAS",CONCATENATE("Estado: ",O1021,", ",J1021),
IF(L1021=Meses!$A$3,"Por revisar",
IF(H1021="","Sin registro","En programación Frcst."))),"En programación")))),
"Error")</f>
        <v>En programación Frcst.</v>
      </c>
      <c r="Q1021" s="9" t="str">
        <f t="shared" si="45"/>
        <v/>
      </c>
      <c r="R1021" s="25">
        <f>IF(P1021="En programación Frcst.",VLOOKUP(L1021,Meses!$A$1:$H$14,3+HLOOKUP(Cronograma!J1021,Meses!$D$1:$G$2,2,FALSE),FALSE),
IF(P1021="En programación",M1021,""))</f>
        <v>45316</v>
      </c>
      <c r="S1021" s="25" t="str">
        <f t="shared" si="47"/>
        <v>2024/1</v>
      </c>
      <c r="T1021" s="21">
        <f>IFERROR(
(VLOOKUP(MONTH(R1021),Meses!$B$3:$C$14,2,FALSE)-DAY(R1021))/VLOOKUP(MONTH(R1021),Meses!$B$3:$C$14,2,FALSE)*U1021,
"")</f>
        <v>52.838709677419352</v>
      </c>
      <c r="U1021" s="22">
        <f t="shared" si="46"/>
        <v>273</v>
      </c>
    </row>
    <row r="1022" spans="1:21" ht="63" hidden="1" thickBot="1" x14ac:dyDescent="0.6">
      <c r="A1022" s="10" t="s">
        <v>1292</v>
      </c>
      <c r="B1022" s="10" t="s">
        <v>1313</v>
      </c>
      <c r="C1022" s="12">
        <v>45316</v>
      </c>
      <c r="D1022" s="10" t="s">
        <v>23</v>
      </c>
      <c r="E1022" s="10" t="s">
        <v>23</v>
      </c>
      <c r="F1022" s="10">
        <v>3495</v>
      </c>
      <c r="G1022" s="10" t="s">
        <v>15</v>
      </c>
      <c r="H1022" s="10" t="s">
        <v>17</v>
      </c>
      <c r="I1022" s="10" t="s">
        <v>18</v>
      </c>
      <c r="J1022" s="10" t="s">
        <v>292</v>
      </c>
      <c r="K1022" s="10" t="s">
        <v>293</v>
      </c>
      <c r="L1022" s="10" t="s">
        <v>279</v>
      </c>
      <c r="M1022" s="12"/>
      <c r="N1022" s="10" t="s">
        <v>15</v>
      </c>
      <c r="O1022" s="10" t="s">
        <v>2054</v>
      </c>
      <c r="P1022" s="25" t="str">
        <f>IFERROR(
IF(OR(O1022="anulado",O1022="stand by"),CONCATENATE(O1022,": ",H1022),
IF(OR(YEAR(M1022)=2022,YEAR(M1022)=2023),CONCATENATE("Se activó en ",YEAR(M1022)),
IF(AND(OR(O1022="En proceso",O1022="facturando"),AND(J1022="-",M1022="")),"Por revisar",
IF(M1022="",IF(J1022="NUEVAS",CONCATENATE("Estado: ",O1022,", ",J1022),
IF(L1022=Meses!$A$3,"Por revisar",
IF(H1022="","Sin registro","En programación Frcst."))),"En programación")))),
"Error")</f>
        <v>En programación Frcst.</v>
      </c>
      <c r="Q1022" s="9" t="str">
        <f t="shared" si="45"/>
        <v/>
      </c>
      <c r="R1022" s="25">
        <f>IF(P1022="En programación Frcst.",VLOOKUP(L1022,Meses!$A$1:$H$14,3+HLOOKUP(Cronograma!J1022,Meses!$D$1:$G$2,2,FALSE),FALSE),
IF(P1022="En programación",M1022,""))</f>
        <v>45316</v>
      </c>
      <c r="S1022" s="25" t="str">
        <f t="shared" si="47"/>
        <v>2024/1</v>
      </c>
      <c r="T1022" s="21">
        <f>IFERROR(
(VLOOKUP(MONTH(R1022),Meses!$B$3:$C$14,2,FALSE)-DAY(R1022))/VLOOKUP(MONTH(R1022),Meses!$B$3:$C$14,2,FALSE)*U1022,
"")</f>
        <v>676.45161290322574</v>
      </c>
      <c r="U1022" s="22">
        <f t="shared" si="46"/>
        <v>3495</v>
      </c>
    </row>
    <row r="1023" spans="1:21" ht="63" hidden="1" thickBot="1" x14ac:dyDescent="0.6">
      <c r="A1023" s="10" t="s">
        <v>1292</v>
      </c>
      <c r="B1023" s="10" t="s">
        <v>1314</v>
      </c>
      <c r="C1023" s="12">
        <v>45316</v>
      </c>
      <c r="D1023" s="10" t="s">
        <v>23</v>
      </c>
      <c r="E1023" s="10" t="s">
        <v>23</v>
      </c>
      <c r="F1023" s="10">
        <v>4740</v>
      </c>
      <c r="G1023" s="10" t="s">
        <v>15</v>
      </c>
      <c r="H1023" s="10" t="s">
        <v>17</v>
      </c>
      <c r="I1023" s="10" t="s">
        <v>18</v>
      </c>
      <c r="J1023" s="10" t="s">
        <v>292</v>
      </c>
      <c r="K1023" s="10" t="s">
        <v>293</v>
      </c>
      <c r="L1023" s="10" t="s">
        <v>279</v>
      </c>
      <c r="M1023" s="12"/>
      <c r="N1023" s="10" t="s">
        <v>15</v>
      </c>
      <c r="O1023" s="10" t="s">
        <v>2054</v>
      </c>
      <c r="P1023" s="25" t="str">
        <f>IFERROR(
IF(OR(O1023="anulado",O1023="stand by"),CONCATENATE(O1023,": ",H1023),
IF(OR(YEAR(M1023)=2022,YEAR(M1023)=2023),CONCATENATE("Se activó en ",YEAR(M1023)),
IF(AND(OR(O1023="En proceso",O1023="facturando"),AND(J1023="-",M1023="")),"Por revisar",
IF(M1023="",IF(J1023="NUEVAS",CONCATENATE("Estado: ",O1023,", ",J1023),
IF(L1023=Meses!$A$3,"Por revisar",
IF(H1023="","Sin registro","En programación Frcst."))),"En programación")))),
"Error")</f>
        <v>En programación Frcst.</v>
      </c>
      <c r="Q1023" s="9" t="str">
        <f t="shared" si="45"/>
        <v/>
      </c>
      <c r="R1023" s="25">
        <f>IF(P1023="En programación Frcst.",VLOOKUP(L1023,Meses!$A$1:$H$14,3+HLOOKUP(Cronograma!J1023,Meses!$D$1:$G$2,2,FALSE),FALSE),
IF(P1023="En programación",M1023,""))</f>
        <v>45316</v>
      </c>
      <c r="S1023" s="25" t="str">
        <f t="shared" si="47"/>
        <v>2024/1</v>
      </c>
      <c r="T1023" s="21">
        <f>IFERROR(
(VLOOKUP(MONTH(R1023),Meses!$B$3:$C$14,2,FALSE)-DAY(R1023))/VLOOKUP(MONTH(R1023),Meses!$B$3:$C$14,2,FALSE)*U1023,
"")</f>
        <v>917.41935483870964</v>
      </c>
      <c r="U1023" s="22">
        <f t="shared" si="46"/>
        <v>4740</v>
      </c>
    </row>
    <row r="1024" spans="1:21" ht="63" hidden="1" thickBot="1" x14ac:dyDescent="0.6">
      <c r="A1024" s="10" t="s">
        <v>1292</v>
      </c>
      <c r="B1024" s="10" t="s">
        <v>1315</v>
      </c>
      <c r="C1024" s="12">
        <v>45316</v>
      </c>
      <c r="D1024" s="10" t="s">
        <v>23</v>
      </c>
      <c r="E1024" s="10" t="s">
        <v>23</v>
      </c>
      <c r="F1024" s="10">
        <v>3420</v>
      </c>
      <c r="G1024" s="10" t="s">
        <v>15</v>
      </c>
      <c r="H1024" s="10" t="s">
        <v>17</v>
      </c>
      <c r="I1024" s="10" t="s">
        <v>18</v>
      </c>
      <c r="J1024" s="10" t="s">
        <v>292</v>
      </c>
      <c r="K1024" s="10" t="s">
        <v>293</v>
      </c>
      <c r="L1024" s="10" t="s">
        <v>279</v>
      </c>
      <c r="M1024" s="12"/>
      <c r="N1024" s="10" t="s">
        <v>15</v>
      </c>
      <c r="O1024" s="10" t="s">
        <v>2054</v>
      </c>
      <c r="P1024" s="25" t="str">
        <f>IFERROR(
IF(OR(O1024="anulado",O1024="stand by"),CONCATENATE(O1024,": ",H1024),
IF(OR(YEAR(M1024)=2022,YEAR(M1024)=2023),CONCATENATE("Se activó en ",YEAR(M1024)),
IF(AND(OR(O1024="En proceso",O1024="facturando"),AND(J1024="-",M1024="")),"Por revisar",
IF(M1024="",IF(J1024="NUEVAS",CONCATENATE("Estado: ",O1024,", ",J1024),
IF(L1024=Meses!$A$3,"Por revisar",
IF(H1024="","Sin registro","En programación Frcst."))),"En programación")))),
"Error")</f>
        <v>En programación Frcst.</v>
      </c>
      <c r="Q1024" s="9" t="str">
        <f t="shared" si="45"/>
        <v/>
      </c>
      <c r="R1024" s="25">
        <f>IF(P1024="En programación Frcst.",VLOOKUP(L1024,Meses!$A$1:$H$14,3+HLOOKUP(Cronograma!J1024,Meses!$D$1:$G$2,2,FALSE),FALSE),
IF(P1024="En programación",M1024,""))</f>
        <v>45316</v>
      </c>
      <c r="S1024" s="25" t="str">
        <f t="shared" si="47"/>
        <v>2024/1</v>
      </c>
      <c r="T1024" s="21">
        <f>IFERROR(
(VLOOKUP(MONTH(R1024),Meses!$B$3:$C$14,2,FALSE)-DAY(R1024))/VLOOKUP(MONTH(R1024),Meses!$B$3:$C$14,2,FALSE)*U1024,
"")</f>
        <v>661.93548387096769</v>
      </c>
      <c r="U1024" s="22">
        <f t="shared" si="46"/>
        <v>3420</v>
      </c>
    </row>
    <row r="1025" spans="1:21" ht="63" hidden="1" thickBot="1" x14ac:dyDescent="0.6">
      <c r="A1025" s="10" t="s">
        <v>1292</v>
      </c>
      <c r="B1025" s="10" t="s">
        <v>1316</v>
      </c>
      <c r="C1025" s="12">
        <v>45316</v>
      </c>
      <c r="D1025" s="10" t="s">
        <v>23</v>
      </c>
      <c r="E1025" s="10" t="s">
        <v>23</v>
      </c>
      <c r="F1025" s="10">
        <v>124</v>
      </c>
      <c r="G1025" s="10" t="s">
        <v>15</v>
      </c>
      <c r="H1025" s="10" t="s">
        <v>17</v>
      </c>
      <c r="I1025" s="10" t="s">
        <v>18</v>
      </c>
      <c r="J1025" s="10" t="s">
        <v>292</v>
      </c>
      <c r="K1025" s="10" t="s">
        <v>293</v>
      </c>
      <c r="L1025" s="10" t="s">
        <v>279</v>
      </c>
      <c r="M1025" s="12"/>
      <c r="N1025" s="10" t="s">
        <v>15</v>
      </c>
      <c r="O1025" s="10" t="s">
        <v>2054</v>
      </c>
      <c r="P1025" s="25" t="str">
        <f>IFERROR(
IF(OR(O1025="anulado",O1025="stand by"),CONCATENATE(O1025,": ",H1025),
IF(OR(YEAR(M1025)=2022,YEAR(M1025)=2023),CONCATENATE("Se activó en ",YEAR(M1025)),
IF(AND(OR(O1025="En proceso",O1025="facturando"),AND(J1025="-",M1025="")),"Por revisar",
IF(M1025="",IF(J1025="NUEVAS",CONCATENATE("Estado: ",O1025,", ",J1025),
IF(L1025=Meses!$A$3,"Por revisar",
IF(H1025="","Sin registro","En programación Frcst."))),"En programación")))),
"Error")</f>
        <v>En programación Frcst.</v>
      </c>
      <c r="Q1025" s="9" t="str">
        <f t="shared" si="45"/>
        <v/>
      </c>
      <c r="R1025" s="25">
        <f>IF(P1025="En programación Frcst.",VLOOKUP(L1025,Meses!$A$1:$H$14,3+HLOOKUP(Cronograma!J1025,Meses!$D$1:$G$2,2,FALSE),FALSE),
IF(P1025="En programación",M1025,""))</f>
        <v>45316</v>
      </c>
      <c r="S1025" s="25" t="str">
        <f t="shared" si="47"/>
        <v>2024/1</v>
      </c>
      <c r="T1025" s="21">
        <f>IFERROR(
(VLOOKUP(MONTH(R1025),Meses!$B$3:$C$14,2,FALSE)-DAY(R1025))/VLOOKUP(MONTH(R1025),Meses!$B$3:$C$14,2,FALSE)*U1025,
"")</f>
        <v>24</v>
      </c>
      <c r="U1025" s="22">
        <f t="shared" si="46"/>
        <v>124</v>
      </c>
    </row>
    <row r="1026" spans="1:21" ht="63" hidden="1" thickBot="1" x14ac:dyDescent="0.6">
      <c r="A1026" s="10" t="s">
        <v>1292</v>
      </c>
      <c r="B1026" s="10" t="s">
        <v>1317</v>
      </c>
      <c r="C1026" s="12">
        <v>45316</v>
      </c>
      <c r="D1026" s="10" t="s">
        <v>23</v>
      </c>
      <c r="E1026" s="10" t="s">
        <v>23</v>
      </c>
      <c r="F1026" s="10">
        <v>1620</v>
      </c>
      <c r="G1026" s="10" t="s">
        <v>15</v>
      </c>
      <c r="H1026" s="10" t="s">
        <v>17</v>
      </c>
      <c r="I1026" s="10" t="s">
        <v>18</v>
      </c>
      <c r="J1026" s="10" t="s">
        <v>292</v>
      </c>
      <c r="K1026" s="10" t="s">
        <v>293</v>
      </c>
      <c r="L1026" s="10" t="s">
        <v>279</v>
      </c>
      <c r="M1026" s="12"/>
      <c r="N1026" s="10" t="s">
        <v>15</v>
      </c>
      <c r="O1026" s="10" t="s">
        <v>2054</v>
      </c>
      <c r="P1026" s="25" t="str">
        <f>IFERROR(
IF(OR(O1026="anulado",O1026="stand by"),CONCATENATE(O1026,": ",H1026),
IF(OR(YEAR(M1026)=2022,YEAR(M1026)=2023),CONCATENATE("Se activó en ",YEAR(M1026)),
IF(AND(OR(O1026="En proceso",O1026="facturando"),AND(J1026="-",M1026="")),"Por revisar",
IF(M1026="",IF(J1026="NUEVAS",CONCATENATE("Estado: ",O1026,", ",J1026),
IF(L1026=Meses!$A$3,"Por revisar",
IF(H1026="","Sin registro","En programación Frcst."))),"En programación")))),
"Error")</f>
        <v>En programación Frcst.</v>
      </c>
      <c r="Q1026" s="9" t="str">
        <f t="shared" ref="Q1026:Q1089" si="48">IF(P1026="Por revisar",CONCATENATE("programación de act. ",N1026,", estado: ",O1026,", Comercializador: ",D1026,", Etapa: ",H1026),"")</f>
        <v/>
      </c>
      <c r="R1026" s="25">
        <f>IF(P1026="En programación Frcst.",VLOOKUP(L1026,Meses!$A$1:$H$14,3+HLOOKUP(Cronograma!J1026,Meses!$D$1:$G$2,2,FALSE),FALSE),
IF(P1026="En programación",M1026,""))</f>
        <v>45316</v>
      </c>
      <c r="S1026" s="25" t="str">
        <f t="shared" si="47"/>
        <v>2024/1</v>
      </c>
      <c r="T1026" s="21">
        <f>IFERROR(
(VLOOKUP(MONTH(R1026),Meses!$B$3:$C$14,2,FALSE)-DAY(R1026))/VLOOKUP(MONTH(R1026),Meses!$B$3:$C$14,2,FALSE)*U1026,
"")</f>
        <v>313.54838709677421</v>
      </c>
      <c r="U1026" s="22">
        <f t="shared" ref="U1026:U1089" si="49">F1026</f>
        <v>1620</v>
      </c>
    </row>
    <row r="1027" spans="1:21" ht="63" hidden="1" thickBot="1" x14ac:dyDescent="0.6">
      <c r="A1027" s="10" t="s">
        <v>1292</v>
      </c>
      <c r="B1027" s="10" t="s">
        <v>1318</v>
      </c>
      <c r="C1027" s="12"/>
      <c r="D1027" s="10" t="s">
        <v>23</v>
      </c>
      <c r="E1027" s="10" t="s">
        <v>23</v>
      </c>
      <c r="F1027" s="10">
        <v>4997</v>
      </c>
      <c r="G1027" s="10" t="s">
        <v>15</v>
      </c>
      <c r="H1027" s="10" t="s">
        <v>2917</v>
      </c>
      <c r="I1027" s="10" t="s">
        <v>18</v>
      </c>
      <c r="J1027" s="10" t="s">
        <v>282</v>
      </c>
      <c r="K1027" s="10" t="s">
        <v>1119</v>
      </c>
      <c r="L1027" s="10" t="s">
        <v>1120</v>
      </c>
      <c r="M1027" s="12">
        <v>45358</v>
      </c>
      <c r="N1027" s="10" t="s">
        <v>15</v>
      </c>
      <c r="O1027" s="10" t="s">
        <v>2057</v>
      </c>
      <c r="P1027" s="25" t="str">
        <f>IFERROR(
IF(OR(O1027="anulado",O1027="stand by"),CONCATENATE(O1027,": ",H1027),
IF(OR(YEAR(M1027)=2022,YEAR(M1027)=2023),CONCATENATE("Se activó en ",YEAR(M1027)),
IF(AND(OR(O1027="En proceso",O1027="facturando"),AND(J1027="-",M1027="")),"Por revisar",
IF(M1027="",IF(J1027="NUEVAS",CONCATENATE("Estado: ",O1027,", ",J1027),
IF(L1027=Meses!$A$3,"Por revisar",
IF(H1027="","Sin registro","En programación Frcst."))),"En programación")))),
"Error")</f>
        <v>En programación</v>
      </c>
      <c r="Q1027" s="9" t="str">
        <f t="shared" si="48"/>
        <v/>
      </c>
      <c r="R1027" s="25">
        <f>IF(P1027="En programación Frcst.",VLOOKUP(L1027,Meses!$A$1:$H$14,3+HLOOKUP(Cronograma!J1027,Meses!$D$1:$G$2,2,FALSE),FALSE),
IF(P1027="En programación",M1027,""))</f>
        <v>45358</v>
      </c>
      <c r="S1027" s="25" t="str">
        <f t="shared" ref="S1027:S1090" si="50">IFERROR(CONCATENATE(YEAR(R1027),"/",MONTH(R1027)),"")</f>
        <v>2024/3</v>
      </c>
      <c r="T1027" s="21">
        <f>IFERROR(
(VLOOKUP(MONTH(R1027),Meses!$B$3:$C$14,2,FALSE)-DAY(R1027))/VLOOKUP(MONTH(R1027),Meses!$B$3:$C$14,2,FALSE)*U1027,
"")</f>
        <v>3868.6451612903224</v>
      </c>
      <c r="U1027" s="22">
        <f t="shared" si="49"/>
        <v>4997</v>
      </c>
    </row>
    <row r="1028" spans="1:21" ht="63" hidden="1" thickBot="1" x14ac:dyDescent="0.6">
      <c r="A1028" s="10" t="s">
        <v>1292</v>
      </c>
      <c r="B1028" s="10" t="s">
        <v>1319</v>
      </c>
      <c r="C1028" s="12"/>
      <c r="D1028" s="10" t="s">
        <v>23</v>
      </c>
      <c r="E1028" s="10" t="s">
        <v>23</v>
      </c>
      <c r="F1028" s="10">
        <v>861</v>
      </c>
      <c r="G1028" s="10" t="s">
        <v>15</v>
      </c>
      <c r="H1028" s="10" t="s">
        <v>2917</v>
      </c>
      <c r="I1028" s="10" t="s">
        <v>18</v>
      </c>
      <c r="J1028" s="10" t="s">
        <v>282</v>
      </c>
      <c r="K1028" s="10" t="s">
        <v>1119</v>
      </c>
      <c r="L1028" s="10" t="s">
        <v>1120</v>
      </c>
      <c r="M1028" s="12">
        <v>45358</v>
      </c>
      <c r="N1028" s="10" t="s">
        <v>15</v>
      </c>
      <c r="O1028" s="10" t="s">
        <v>2057</v>
      </c>
      <c r="P1028" s="25" t="str">
        <f>IFERROR(
IF(OR(O1028="anulado",O1028="stand by"),CONCATENATE(O1028,": ",H1028),
IF(OR(YEAR(M1028)=2022,YEAR(M1028)=2023),CONCATENATE("Se activó en ",YEAR(M1028)),
IF(AND(OR(O1028="En proceso",O1028="facturando"),AND(J1028="-",M1028="")),"Por revisar",
IF(M1028="",IF(J1028="NUEVAS",CONCATENATE("Estado: ",O1028,", ",J1028),
IF(L1028=Meses!$A$3,"Por revisar",
IF(H1028="","Sin registro","En programación Frcst."))),"En programación")))),
"Error")</f>
        <v>En programación</v>
      </c>
      <c r="Q1028" s="9" t="str">
        <f t="shared" si="48"/>
        <v/>
      </c>
      <c r="R1028" s="25">
        <f>IF(P1028="En programación Frcst.",VLOOKUP(L1028,Meses!$A$1:$H$14,3+HLOOKUP(Cronograma!J1028,Meses!$D$1:$G$2,2,FALSE),FALSE),
IF(P1028="En programación",M1028,""))</f>
        <v>45358</v>
      </c>
      <c r="S1028" s="25" t="str">
        <f t="shared" si="50"/>
        <v>2024/3</v>
      </c>
      <c r="T1028" s="21">
        <f>IFERROR(
(VLOOKUP(MONTH(R1028),Meses!$B$3:$C$14,2,FALSE)-DAY(R1028))/VLOOKUP(MONTH(R1028),Meses!$B$3:$C$14,2,FALSE)*U1028,
"")</f>
        <v>666.58064516129025</v>
      </c>
      <c r="U1028" s="22">
        <f t="shared" si="49"/>
        <v>861</v>
      </c>
    </row>
    <row r="1029" spans="1:21" ht="63" hidden="1" thickBot="1" x14ac:dyDescent="0.6">
      <c r="A1029" s="10" t="s">
        <v>1292</v>
      </c>
      <c r="B1029" s="10" t="s">
        <v>1320</v>
      </c>
      <c r="C1029" s="12">
        <v>45316</v>
      </c>
      <c r="D1029" s="10" t="s">
        <v>23</v>
      </c>
      <c r="E1029" s="10" t="s">
        <v>23</v>
      </c>
      <c r="F1029" s="10">
        <v>1184</v>
      </c>
      <c r="G1029" s="10" t="s">
        <v>15</v>
      </c>
      <c r="H1029" s="10" t="s">
        <v>17</v>
      </c>
      <c r="I1029" s="10" t="s">
        <v>18</v>
      </c>
      <c r="J1029" s="10" t="s">
        <v>292</v>
      </c>
      <c r="K1029" s="10" t="s">
        <v>293</v>
      </c>
      <c r="L1029" s="10" t="s">
        <v>279</v>
      </c>
      <c r="M1029" s="12"/>
      <c r="N1029" s="10" t="s">
        <v>15</v>
      </c>
      <c r="O1029" s="10" t="s">
        <v>2054</v>
      </c>
      <c r="P1029" s="25" t="str">
        <f>IFERROR(
IF(OR(O1029="anulado",O1029="stand by"),CONCATENATE(O1029,": ",H1029),
IF(OR(YEAR(M1029)=2022,YEAR(M1029)=2023),CONCATENATE("Se activó en ",YEAR(M1029)),
IF(AND(OR(O1029="En proceso",O1029="facturando"),AND(J1029="-",M1029="")),"Por revisar",
IF(M1029="",IF(J1029="NUEVAS",CONCATENATE("Estado: ",O1029,", ",J1029),
IF(L1029=Meses!$A$3,"Por revisar",
IF(H1029="","Sin registro","En programación Frcst."))),"En programación")))),
"Error")</f>
        <v>En programación Frcst.</v>
      </c>
      <c r="Q1029" s="9" t="str">
        <f t="shared" si="48"/>
        <v/>
      </c>
      <c r="R1029" s="25">
        <f>IF(P1029="En programación Frcst.",VLOOKUP(L1029,Meses!$A$1:$H$14,3+HLOOKUP(Cronograma!J1029,Meses!$D$1:$G$2,2,FALSE),FALSE),
IF(P1029="En programación",M1029,""))</f>
        <v>45316</v>
      </c>
      <c r="S1029" s="25" t="str">
        <f t="shared" si="50"/>
        <v>2024/1</v>
      </c>
      <c r="T1029" s="21">
        <f>IFERROR(
(VLOOKUP(MONTH(R1029),Meses!$B$3:$C$14,2,FALSE)-DAY(R1029))/VLOOKUP(MONTH(R1029),Meses!$B$3:$C$14,2,FALSE)*U1029,
"")</f>
        <v>229.16129032258064</v>
      </c>
      <c r="U1029" s="22">
        <f t="shared" si="49"/>
        <v>1184</v>
      </c>
    </row>
    <row r="1030" spans="1:21" ht="63" hidden="1" thickBot="1" x14ac:dyDescent="0.6">
      <c r="A1030" s="10" t="s">
        <v>1292</v>
      </c>
      <c r="B1030" s="10" t="s">
        <v>1321</v>
      </c>
      <c r="C1030" s="12"/>
      <c r="D1030" s="10" t="s">
        <v>23</v>
      </c>
      <c r="E1030" s="10" t="s">
        <v>23</v>
      </c>
      <c r="F1030" s="10">
        <v>654</v>
      </c>
      <c r="G1030" s="10" t="s">
        <v>15</v>
      </c>
      <c r="H1030" s="10" t="s">
        <v>2917</v>
      </c>
      <c r="I1030" s="10" t="s">
        <v>18</v>
      </c>
      <c r="J1030" s="10" t="s">
        <v>282</v>
      </c>
      <c r="K1030" s="10" t="s">
        <v>1119</v>
      </c>
      <c r="L1030" s="10" t="s">
        <v>1120</v>
      </c>
      <c r="M1030" s="12">
        <v>45358</v>
      </c>
      <c r="N1030" s="10" t="s">
        <v>15</v>
      </c>
      <c r="O1030" s="10" t="s">
        <v>2057</v>
      </c>
      <c r="P1030" s="25" t="str">
        <f>IFERROR(
IF(OR(O1030="anulado",O1030="stand by"),CONCATENATE(O1030,": ",H1030),
IF(OR(YEAR(M1030)=2022,YEAR(M1030)=2023),CONCATENATE("Se activó en ",YEAR(M1030)),
IF(AND(OR(O1030="En proceso",O1030="facturando"),AND(J1030="-",M1030="")),"Por revisar",
IF(M1030="",IF(J1030="NUEVAS",CONCATENATE("Estado: ",O1030,", ",J1030),
IF(L1030=Meses!$A$3,"Por revisar",
IF(H1030="","Sin registro","En programación Frcst."))),"En programación")))),
"Error")</f>
        <v>En programación</v>
      </c>
      <c r="Q1030" s="9" t="str">
        <f t="shared" si="48"/>
        <v/>
      </c>
      <c r="R1030" s="25">
        <f>IF(P1030="En programación Frcst.",VLOOKUP(L1030,Meses!$A$1:$H$14,3+HLOOKUP(Cronograma!J1030,Meses!$D$1:$G$2,2,FALSE),FALSE),
IF(P1030="En programación",M1030,""))</f>
        <v>45358</v>
      </c>
      <c r="S1030" s="25" t="str">
        <f t="shared" si="50"/>
        <v>2024/3</v>
      </c>
      <c r="T1030" s="21">
        <f>IFERROR(
(VLOOKUP(MONTH(R1030),Meses!$B$3:$C$14,2,FALSE)-DAY(R1030))/VLOOKUP(MONTH(R1030),Meses!$B$3:$C$14,2,FALSE)*U1030,
"")</f>
        <v>506.32258064516128</v>
      </c>
      <c r="U1030" s="22">
        <f t="shared" si="49"/>
        <v>654</v>
      </c>
    </row>
    <row r="1031" spans="1:21" ht="63" hidden="1" thickBot="1" x14ac:dyDescent="0.6">
      <c r="A1031" s="10" t="s">
        <v>1292</v>
      </c>
      <c r="B1031" s="10" t="s">
        <v>1322</v>
      </c>
      <c r="C1031" s="12">
        <v>45316</v>
      </c>
      <c r="D1031" s="10" t="s">
        <v>23</v>
      </c>
      <c r="E1031" s="10" t="s">
        <v>23</v>
      </c>
      <c r="F1031" s="10">
        <v>1538</v>
      </c>
      <c r="G1031" s="10" t="s">
        <v>15</v>
      </c>
      <c r="H1031" s="10" t="s">
        <v>17</v>
      </c>
      <c r="I1031" s="10" t="s">
        <v>18</v>
      </c>
      <c r="J1031" s="10" t="s">
        <v>292</v>
      </c>
      <c r="K1031" s="10" t="s">
        <v>293</v>
      </c>
      <c r="L1031" s="10" t="s">
        <v>279</v>
      </c>
      <c r="M1031" s="12"/>
      <c r="N1031" s="10" t="s">
        <v>15</v>
      </c>
      <c r="O1031" s="10" t="s">
        <v>2054</v>
      </c>
      <c r="P1031" s="25" t="str">
        <f>IFERROR(
IF(OR(O1031="anulado",O1031="stand by"),CONCATENATE(O1031,": ",H1031),
IF(OR(YEAR(M1031)=2022,YEAR(M1031)=2023),CONCATENATE("Se activó en ",YEAR(M1031)),
IF(AND(OR(O1031="En proceso",O1031="facturando"),AND(J1031="-",M1031="")),"Por revisar",
IF(M1031="",IF(J1031="NUEVAS",CONCATENATE("Estado: ",O1031,", ",J1031),
IF(L1031=Meses!$A$3,"Por revisar",
IF(H1031="","Sin registro","En programación Frcst."))),"En programación")))),
"Error")</f>
        <v>En programación Frcst.</v>
      </c>
      <c r="Q1031" s="9" t="str">
        <f t="shared" si="48"/>
        <v/>
      </c>
      <c r="R1031" s="25">
        <f>IF(P1031="En programación Frcst.",VLOOKUP(L1031,Meses!$A$1:$H$14,3+HLOOKUP(Cronograma!J1031,Meses!$D$1:$G$2,2,FALSE),FALSE),
IF(P1031="En programación",M1031,""))</f>
        <v>45316</v>
      </c>
      <c r="S1031" s="25" t="str">
        <f t="shared" si="50"/>
        <v>2024/1</v>
      </c>
      <c r="T1031" s="21">
        <f>IFERROR(
(VLOOKUP(MONTH(R1031),Meses!$B$3:$C$14,2,FALSE)-DAY(R1031))/VLOOKUP(MONTH(R1031),Meses!$B$3:$C$14,2,FALSE)*U1031,
"")</f>
        <v>297.67741935483872</v>
      </c>
      <c r="U1031" s="22">
        <f t="shared" si="49"/>
        <v>1538</v>
      </c>
    </row>
    <row r="1032" spans="1:21" ht="63" hidden="1" thickBot="1" x14ac:dyDescent="0.6">
      <c r="A1032" s="10" t="s">
        <v>1292</v>
      </c>
      <c r="B1032" s="10" t="s">
        <v>1323</v>
      </c>
      <c r="C1032" s="12">
        <v>45316</v>
      </c>
      <c r="D1032" s="10" t="s">
        <v>23</v>
      </c>
      <c r="E1032" s="10" t="s">
        <v>23</v>
      </c>
      <c r="F1032" s="10">
        <v>805</v>
      </c>
      <c r="G1032" s="10" t="s">
        <v>15</v>
      </c>
      <c r="H1032" s="10" t="s">
        <v>17</v>
      </c>
      <c r="I1032" s="10" t="s">
        <v>18</v>
      </c>
      <c r="J1032" s="10" t="s">
        <v>292</v>
      </c>
      <c r="K1032" s="10" t="s">
        <v>293</v>
      </c>
      <c r="L1032" s="10" t="s">
        <v>279</v>
      </c>
      <c r="M1032" s="12"/>
      <c r="N1032" s="10" t="s">
        <v>15</v>
      </c>
      <c r="O1032" s="10" t="s">
        <v>2054</v>
      </c>
      <c r="P1032" s="25" t="str">
        <f>IFERROR(
IF(OR(O1032="anulado",O1032="stand by"),CONCATENATE(O1032,": ",H1032),
IF(OR(YEAR(M1032)=2022,YEAR(M1032)=2023),CONCATENATE("Se activó en ",YEAR(M1032)),
IF(AND(OR(O1032="En proceso",O1032="facturando"),AND(J1032="-",M1032="")),"Por revisar",
IF(M1032="",IF(J1032="NUEVAS",CONCATENATE("Estado: ",O1032,", ",J1032),
IF(L1032=Meses!$A$3,"Por revisar",
IF(H1032="","Sin registro","En programación Frcst."))),"En programación")))),
"Error")</f>
        <v>En programación Frcst.</v>
      </c>
      <c r="Q1032" s="9" t="str">
        <f t="shared" si="48"/>
        <v/>
      </c>
      <c r="R1032" s="25">
        <f>IF(P1032="En programación Frcst.",VLOOKUP(L1032,Meses!$A$1:$H$14,3+HLOOKUP(Cronograma!J1032,Meses!$D$1:$G$2,2,FALSE),FALSE),
IF(P1032="En programación",M1032,""))</f>
        <v>45316</v>
      </c>
      <c r="S1032" s="25" t="str">
        <f t="shared" si="50"/>
        <v>2024/1</v>
      </c>
      <c r="T1032" s="21">
        <f>IFERROR(
(VLOOKUP(MONTH(R1032),Meses!$B$3:$C$14,2,FALSE)-DAY(R1032))/VLOOKUP(MONTH(R1032),Meses!$B$3:$C$14,2,FALSE)*U1032,
"")</f>
        <v>155.80645161290323</v>
      </c>
      <c r="U1032" s="22">
        <f t="shared" si="49"/>
        <v>805</v>
      </c>
    </row>
    <row r="1033" spans="1:21" ht="63" hidden="1" thickBot="1" x14ac:dyDescent="0.6">
      <c r="A1033" s="10" t="s">
        <v>1292</v>
      </c>
      <c r="B1033" s="10" t="s">
        <v>1324</v>
      </c>
      <c r="C1033" s="12">
        <v>45316</v>
      </c>
      <c r="D1033" s="10" t="s">
        <v>23</v>
      </c>
      <c r="E1033" s="10" t="s">
        <v>23</v>
      </c>
      <c r="F1033" s="10">
        <v>5640</v>
      </c>
      <c r="G1033" s="10" t="s">
        <v>15</v>
      </c>
      <c r="H1033" s="10" t="s">
        <v>17</v>
      </c>
      <c r="I1033" s="10" t="s">
        <v>18</v>
      </c>
      <c r="J1033" s="10" t="s">
        <v>292</v>
      </c>
      <c r="K1033" s="10" t="s">
        <v>293</v>
      </c>
      <c r="L1033" s="10" t="s">
        <v>279</v>
      </c>
      <c r="M1033" s="12"/>
      <c r="N1033" s="10" t="s">
        <v>15</v>
      </c>
      <c r="O1033" s="10" t="s">
        <v>2054</v>
      </c>
      <c r="P1033" s="25" t="str">
        <f>IFERROR(
IF(OR(O1033="anulado",O1033="stand by"),CONCATENATE(O1033,": ",H1033),
IF(OR(YEAR(M1033)=2022,YEAR(M1033)=2023),CONCATENATE("Se activó en ",YEAR(M1033)),
IF(AND(OR(O1033="En proceso",O1033="facturando"),AND(J1033="-",M1033="")),"Por revisar",
IF(M1033="",IF(J1033="NUEVAS",CONCATENATE("Estado: ",O1033,", ",J1033),
IF(L1033=Meses!$A$3,"Por revisar",
IF(H1033="","Sin registro","En programación Frcst."))),"En programación")))),
"Error")</f>
        <v>En programación Frcst.</v>
      </c>
      <c r="Q1033" s="9" t="str">
        <f t="shared" si="48"/>
        <v/>
      </c>
      <c r="R1033" s="25">
        <f>IF(P1033="En programación Frcst.",VLOOKUP(L1033,Meses!$A$1:$H$14,3+HLOOKUP(Cronograma!J1033,Meses!$D$1:$G$2,2,FALSE),FALSE),
IF(P1033="En programación",M1033,""))</f>
        <v>45316</v>
      </c>
      <c r="S1033" s="25" t="str">
        <f t="shared" si="50"/>
        <v>2024/1</v>
      </c>
      <c r="T1033" s="21">
        <f>IFERROR(
(VLOOKUP(MONTH(R1033),Meses!$B$3:$C$14,2,FALSE)-DAY(R1033))/VLOOKUP(MONTH(R1033),Meses!$B$3:$C$14,2,FALSE)*U1033,
"")</f>
        <v>1091.6129032258063</v>
      </c>
      <c r="U1033" s="22">
        <f t="shared" si="49"/>
        <v>5640</v>
      </c>
    </row>
    <row r="1034" spans="1:21" ht="63" hidden="1" thickBot="1" x14ac:dyDescent="0.6">
      <c r="A1034" s="10" t="s">
        <v>1292</v>
      </c>
      <c r="B1034" s="10" t="s">
        <v>1325</v>
      </c>
      <c r="C1034" s="12"/>
      <c r="D1034" s="10" t="s">
        <v>23</v>
      </c>
      <c r="E1034" s="10" t="s">
        <v>23</v>
      </c>
      <c r="F1034" s="10">
        <v>2272</v>
      </c>
      <c r="G1034" s="10" t="s">
        <v>15</v>
      </c>
      <c r="H1034" s="10" t="s">
        <v>2917</v>
      </c>
      <c r="I1034" s="10" t="s">
        <v>18</v>
      </c>
      <c r="J1034" s="10" t="s">
        <v>282</v>
      </c>
      <c r="K1034" s="10" t="s">
        <v>1119</v>
      </c>
      <c r="L1034" s="10" t="s">
        <v>1120</v>
      </c>
      <c r="M1034" s="12">
        <v>45358</v>
      </c>
      <c r="N1034" s="10" t="s">
        <v>15</v>
      </c>
      <c r="O1034" s="10" t="s">
        <v>2057</v>
      </c>
      <c r="P1034" s="25" t="str">
        <f>IFERROR(
IF(OR(O1034="anulado",O1034="stand by"),CONCATENATE(O1034,": ",H1034),
IF(OR(YEAR(M1034)=2022,YEAR(M1034)=2023),CONCATENATE("Se activó en ",YEAR(M1034)),
IF(AND(OR(O1034="En proceso",O1034="facturando"),AND(J1034="-",M1034="")),"Por revisar",
IF(M1034="",IF(J1034="NUEVAS",CONCATENATE("Estado: ",O1034,", ",J1034),
IF(L1034=Meses!$A$3,"Por revisar",
IF(H1034="","Sin registro","En programación Frcst."))),"En programación")))),
"Error")</f>
        <v>En programación</v>
      </c>
      <c r="Q1034" s="9" t="str">
        <f t="shared" si="48"/>
        <v/>
      </c>
      <c r="R1034" s="25">
        <f>IF(P1034="En programación Frcst.",VLOOKUP(L1034,Meses!$A$1:$H$14,3+HLOOKUP(Cronograma!J1034,Meses!$D$1:$G$2,2,FALSE),FALSE),
IF(P1034="En programación",M1034,""))</f>
        <v>45358</v>
      </c>
      <c r="S1034" s="25" t="str">
        <f t="shared" si="50"/>
        <v>2024/3</v>
      </c>
      <c r="T1034" s="21">
        <f>IFERROR(
(VLOOKUP(MONTH(R1034),Meses!$B$3:$C$14,2,FALSE)-DAY(R1034))/VLOOKUP(MONTH(R1034),Meses!$B$3:$C$14,2,FALSE)*U1034,
"")</f>
        <v>1758.9677419354839</v>
      </c>
      <c r="U1034" s="22">
        <f t="shared" si="49"/>
        <v>2272</v>
      </c>
    </row>
    <row r="1035" spans="1:21" ht="63" hidden="1" thickBot="1" x14ac:dyDescent="0.6">
      <c r="A1035" s="10" t="s">
        <v>1292</v>
      </c>
      <c r="B1035" s="10" t="s">
        <v>1326</v>
      </c>
      <c r="C1035" s="12">
        <v>45316</v>
      </c>
      <c r="D1035" s="10" t="s">
        <v>23</v>
      </c>
      <c r="E1035" s="10" t="s">
        <v>23</v>
      </c>
      <c r="F1035" s="10">
        <v>0</v>
      </c>
      <c r="G1035" s="10" t="s">
        <v>15</v>
      </c>
      <c r="H1035" s="10" t="s">
        <v>17</v>
      </c>
      <c r="I1035" s="10" t="s">
        <v>18</v>
      </c>
      <c r="J1035" s="10" t="s">
        <v>292</v>
      </c>
      <c r="K1035" s="10" t="s">
        <v>293</v>
      </c>
      <c r="L1035" s="10" t="s">
        <v>279</v>
      </c>
      <c r="M1035" s="12"/>
      <c r="N1035" s="10" t="s">
        <v>15</v>
      </c>
      <c r="O1035" s="10" t="s">
        <v>2054</v>
      </c>
      <c r="P1035" s="25" t="str">
        <f>IFERROR(
IF(OR(O1035="anulado",O1035="stand by"),CONCATENATE(O1035,": ",H1035),
IF(OR(YEAR(M1035)=2022,YEAR(M1035)=2023),CONCATENATE("Se activó en ",YEAR(M1035)),
IF(AND(OR(O1035="En proceso",O1035="facturando"),AND(J1035="-",M1035="")),"Por revisar",
IF(M1035="",IF(J1035="NUEVAS",CONCATENATE("Estado: ",O1035,", ",J1035),
IF(L1035=Meses!$A$3,"Por revisar",
IF(H1035="","Sin registro","En programación Frcst."))),"En programación")))),
"Error")</f>
        <v>En programación Frcst.</v>
      </c>
      <c r="Q1035" s="9" t="str">
        <f t="shared" si="48"/>
        <v/>
      </c>
      <c r="R1035" s="25">
        <f>IF(P1035="En programación Frcst.",VLOOKUP(L1035,Meses!$A$1:$H$14,3+HLOOKUP(Cronograma!J1035,Meses!$D$1:$G$2,2,FALSE),FALSE),
IF(P1035="En programación",M1035,""))</f>
        <v>45316</v>
      </c>
      <c r="S1035" s="25" t="str">
        <f t="shared" si="50"/>
        <v>2024/1</v>
      </c>
      <c r="T1035" s="21">
        <f>IFERROR(
(VLOOKUP(MONTH(R1035),Meses!$B$3:$C$14,2,FALSE)-DAY(R1035))/VLOOKUP(MONTH(R1035),Meses!$B$3:$C$14,2,FALSE)*U1035,
"")</f>
        <v>0</v>
      </c>
      <c r="U1035" s="22">
        <f t="shared" si="49"/>
        <v>0</v>
      </c>
    </row>
    <row r="1036" spans="1:21" ht="63" hidden="1" thickBot="1" x14ac:dyDescent="0.6">
      <c r="A1036" s="10" t="s">
        <v>1292</v>
      </c>
      <c r="B1036" s="10" t="s">
        <v>1327</v>
      </c>
      <c r="C1036" s="12">
        <v>45316</v>
      </c>
      <c r="D1036" s="10" t="s">
        <v>23</v>
      </c>
      <c r="E1036" s="10" t="s">
        <v>23</v>
      </c>
      <c r="F1036" s="10">
        <v>3270</v>
      </c>
      <c r="G1036" s="10" t="s">
        <v>15</v>
      </c>
      <c r="H1036" s="10" t="s">
        <v>17</v>
      </c>
      <c r="I1036" s="10" t="s">
        <v>18</v>
      </c>
      <c r="J1036" s="10" t="s">
        <v>292</v>
      </c>
      <c r="K1036" s="10" t="s">
        <v>293</v>
      </c>
      <c r="L1036" s="10" t="s">
        <v>279</v>
      </c>
      <c r="M1036" s="12"/>
      <c r="N1036" s="10" t="s">
        <v>15</v>
      </c>
      <c r="O1036" s="10" t="s">
        <v>2054</v>
      </c>
      <c r="P1036" s="25" t="str">
        <f>IFERROR(
IF(OR(O1036="anulado",O1036="stand by"),CONCATENATE(O1036,": ",H1036),
IF(OR(YEAR(M1036)=2022,YEAR(M1036)=2023),CONCATENATE("Se activó en ",YEAR(M1036)),
IF(AND(OR(O1036="En proceso",O1036="facturando"),AND(J1036="-",M1036="")),"Por revisar",
IF(M1036="",IF(J1036="NUEVAS",CONCATENATE("Estado: ",O1036,", ",J1036),
IF(L1036=Meses!$A$3,"Por revisar",
IF(H1036="","Sin registro","En programación Frcst."))),"En programación")))),
"Error")</f>
        <v>En programación Frcst.</v>
      </c>
      <c r="Q1036" s="9" t="str">
        <f t="shared" si="48"/>
        <v/>
      </c>
      <c r="R1036" s="25">
        <f>IF(P1036="En programación Frcst.",VLOOKUP(L1036,Meses!$A$1:$H$14,3+HLOOKUP(Cronograma!J1036,Meses!$D$1:$G$2,2,FALSE),FALSE),
IF(P1036="En programación",M1036,""))</f>
        <v>45316</v>
      </c>
      <c r="S1036" s="25" t="str">
        <f t="shared" si="50"/>
        <v>2024/1</v>
      </c>
      <c r="T1036" s="21">
        <f>IFERROR(
(VLOOKUP(MONTH(R1036),Meses!$B$3:$C$14,2,FALSE)-DAY(R1036))/VLOOKUP(MONTH(R1036),Meses!$B$3:$C$14,2,FALSE)*U1036,
"")</f>
        <v>632.90322580645159</v>
      </c>
      <c r="U1036" s="22">
        <f t="shared" si="49"/>
        <v>3270</v>
      </c>
    </row>
    <row r="1037" spans="1:21" ht="63" hidden="1" thickBot="1" x14ac:dyDescent="0.6">
      <c r="A1037" s="10" t="s">
        <v>1292</v>
      </c>
      <c r="B1037" s="10" t="s">
        <v>1328</v>
      </c>
      <c r="C1037" s="12">
        <v>45316</v>
      </c>
      <c r="D1037" s="10" t="s">
        <v>23</v>
      </c>
      <c r="E1037" s="10" t="s">
        <v>23</v>
      </c>
      <c r="F1037" s="10">
        <v>1086</v>
      </c>
      <c r="G1037" s="10" t="s">
        <v>15</v>
      </c>
      <c r="H1037" s="10" t="s">
        <v>17</v>
      </c>
      <c r="I1037" s="10" t="s">
        <v>18</v>
      </c>
      <c r="J1037" s="10" t="s">
        <v>292</v>
      </c>
      <c r="K1037" s="10" t="s">
        <v>293</v>
      </c>
      <c r="L1037" s="10" t="s">
        <v>279</v>
      </c>
      <c r="M1037" s="12"/>
      <c r="N1037" s="10" t="s">
        <v>15</v>
      </c>
      <c r="O1037" s="10" t="s">
        <v>2054</v>
      </c>
      <c r="P1037" s="25" t="str">
        <f>IFERROR(
IF(OR(O1037="anulado",O1037="stand by"),CONCATENATE(O1037,": ",H1037),
IF(OR(YEAR(M1037)=2022,YEAR(M1037)=2023),CONCATENATE("Se activó en ",YEAR(M1037)),
IF(AND(OR(O1037="En proceso",O1037="facturando"),AND(J1037="-",M1037="")),"Por revisar",
IF(M1037="",IF(J1037="NUEVAS",CONCATENATE("Estado: ",O1037,", ",J1037),
IF(L1037=Meses!$A$3,"Por revisar",
IF(H1037="","Sin registro","En programación Frcst."))),"En programación")))),
"Error")</f>
        <v>En programación Frcst.</v>
      </c>
      <c r="Q1037" s="9" t="str">
        <f t="shared" si="48"/>
        <v/>
      </c>
      <c r="R1037" s="25">
        <f>IF(P1037="En programación Frcst.",VLOOKUP(L1037,Meses!$A$1:$H$14,3+HLOOKUP(Cronograma!J1037,Meses!$D$1:$G$2,2,FALSE),FALSE),
IF(P1037="En programación",M1037,""))</f>
        <v>45316</v>
      </c>
      <c r="S1037" s="25" t="str">
        <f t="shared" si="50"/>
        <v>2024/1</v>
      </c>
      <c r="T1037" s="21">
        <f>IFERROR(
(VLOOKUP(MONTH(R1037),Meses!$B$3:$C$14,2,FALSE)-DAY(R1037))/VLOOKUP(MONTH(R1037),Meses!$B$3:$C$14,2,FALSE)*U1037,
"")</f>
        <v>210.19354838709677</v>
      </c>
      <c r="U1037" s="22">
        <f t="shared" si="49"/>
        <v>1086</v>
      </c>
    </row>
    <row r="1038" spans="1:21" ht="63" hidden="1" thickBot="1" x14ac:dyDescent="0.6">
      <c r="A1038" s="10" t="s">
        <v>1292</v>
      </c>
      <c r="B1038" s="10" t="s">
        <v>1329</v>
      </c>
      <c r="C1038" s="12">
        <v>45316</v>
      </c>
      <c r="D1038" s="10" t="s">
        <v>23</v>
      </c>
      <c r="E1038" s="10" t="s">
        <v>23</v>
      </c>
      <c r="F1038" s="10">
        <v>408</v>
      </c>
      <c r="G1038" s="10" t="s">
        <v>15</v>
      </c>
      <c r="H1038" s="10" t="s">
        <v>17</v>
      </c>
      <c r="I1038" s="10" t="s">
        <v>18</v>
      </c>
      <c r="J1038" s="10" t="s">
        <v>292</v>
      </c>
      <c r="K1038" s="10" t="s">
        <v>293</v>
      </c>
      <c r="L1038" s="10" t="s">
        <v>279</v>
      </c>
      <c r="M1038" s="12"/>
      <c r="N1038" s="10" t="s">
        <v>15</v>
      </c>
      <c r="O1038" s="10" t="s">
        <v>2054</v>
      </c>
      <c r="P1038" s="25" t="str">
        <f>IFERROR(
IF(OR(O1038="anulado",O1038="stand by"),CONCATENATE(O1038,": ",H1038),
IF(OR(YEAR(M1038)=2022,YEAR(M1038)=2023),CONCATENATE("Se activó en ",YEAR(M1038)),
IF(AND(OR(O1038="En proceso",O1038="facturando"),AND(J1038="-",M1038="")),"Por revisar",
IF(M1038="",IF(J1038="NUEVAS",CONCATENATE("Estado: ",O1038,", ",J1038),
IF(L1038=Meses!$A$3,"Por revisar",
IF(H1038="","Sin registro","En programación Frcst."))),"En programación")))),
"Error")</f>
        <v>En programación Frcst.</v>
      </c>
      <c r="Q1038" s="9" t="str">
        <f t="shared" si="48"/>
        <v/>
      </c>
      <c r="R1038" s="25">
        <f>IF(P1038="En programación Frcst.",VLOOKUP(L1038,Meses!$A$1:$H$14,3+HLOOKUP(Cronograma!J1038,Meses!$D$1:$G$2,2,FALSE),FALSE),
IF(P1038="En programación",M1038,""))</f>
        <v>45316</v>
      </c>
      <c r="S1038" s="25" t="str">
        <f t="shared" si="50"/>
        <v>2024/1</v>
      </c>
      <c r="T1038" s="21">
        <f>IFERROR(
(VLOOKUP(MONTH(R1038),Meses!$B$3:$C$14,2,FALSE)-DAY(R1038))/VLOOKUP(MONTH(R1038),Meses!$B$3:$C$14,2,FALSE)*U1038,
"")</f>
        <v>78.967741935483872</v>
      </c>
      <c r="U1038" s="22">
        <f t="shared" si="49"/>
        <v>408</v>
      </c>
    </row>
    <row r="1039" spans="1:21" ht="63" hidden="1" thickBot="1" x14ac:dyDescent="0.6">
      <c r="A1039" s="10" t="s">
        <v>1292</v>
      </c>
      <c r="B1039" s="10" t="s">
        <v>1330</v>
      </c>
      <c r="C1039" s="12">
        <v>45316</v>
      </c>
      <c r="D1039" s="10" t="s">
        <v>23</v>
      </c>
      <c r="E1039" s="10" t="s">
        <v>23</v>
      </c>
      <c r="F1039" s="10">
        <v>746</v>
      </c>
      <c r="G1039" s="10" t="s">
        <v>15</v>
      </c>
      <c r="H1039" s="10" t="s">
        <v>17</v>
      </c>
      <c r="I1039" s="10" t="s">
        <v>18</v>
      </c>
      <c r="J1039" s="10" t="s">
        <v>292</v>
      </c>
      <c r="K1039" s="10" t="s">
        <v>293</v>
      </c>
      <c r="L1039" s="10" t="s">
        <v>279</v>
      </c>
      <c r="M1039" s="12"/>
      <c r="N1039" s="10" t="s">
        <v>15</v>
      </c>
      <c r="O1039" s="10" t="s">
        <v>2054</v>
      </c>
      <c r="P1039" s="25" t="str">
        <f>IFERROR(
IF(OR(O1039="anulado",O1039="stand by"),CONCATENATE(O1039,": ",H1039),
IF(OR(YEAR(M1039)=2022,YEAR(M1039)=2023),CONCATENATE("Se activó en ",YEAR(M1039)),
IF(AND(OR(O1039="En proceso",O1039="facturando"),AND(J1039="-",M1039="")),"Por revisar",
IF(M1039="",IF(J1039="NUEVAS",CONCATENATE("Estado: ",O1039,", ",J1039),
IF(L1039=Meses!$A$3,"Por revisar",
IF(H1039="","Sin registro","En programación Frcst."))),"En programación")))),
"Error")</f>
        <v>En programación Frcst.</v>
      </c>
      <c r="Q1039" s="9" t="str">
        <f t="shared" si="48"/>
        <v/>
      </c>
      <c r="R1039" s="25">
        <f>IF(P1039="En programación Frcst.",VLOOKUP(L1039,Meses!$A$1:$H$14,3+HLOOKUP(Cronograma!J1039,Meses!$D$1:$G$2,2,FALSE),FALSE),
IF(P1039="En programación",M1039,""))</f>
        <v>45316</v>
      </c>
      <c r="S1039" s="25" t="str">
        <f t="shared" si="50"/>
        <v>2024/1</v>
      </c>
      <c r="T1039" s="21">
        <f>IFERROR(
(VLOOKUP(MONTH(R1039),Meses!$B$3:$C$14,2,FALSE)-DAY(R1039))/VLOOKUP(MONTH(R1039),Meses!$B$3:$C$14,2,FALSE)*U1039,
"")</f>
        <v>144.38709677419354</v>
      </c>
      <c r="U1039" s="22">
        <f t="shared" si="49"/>
        <v>746</v>
      </c>
    </row>
    <row r="1040" spans="1:21" ht="63" hidden="1" thickBot="1" x14ac:dyDescent="0.6">
      <c r="A1040" s="10" t="s">
        <v>1292</v>
      </c>
      <c r="B1040" s="10" t="s">
        <v>1331</v>
      </c>
      <c r="C1040" s="12">
        <v>45316</v>
      </c>
      <c r="D1040" s="10" t="s">
        <v>23</v>
      </c>
      <c r="E1040" s="10" t="s">
        <v>23</v>
      </c>
      <c r="F1040" s="10">
        <v>460</v>
      </c>
      <c r="G1040" s="10" t="s">
        <v>15</v>
      </c>
      <c r="H1040" s="10" t="s">
        <v>17</v>
      </c>
      <c r="I1040" s="10" t="s">
        <v>18</v>
      </c>
      <c r="J1040" s="10" t="s">
        <v>292</v>
      </c>
      <c r="K1040" s="10" t="s">
        <v>293</v>
      </c>
      <c r="L1040" s="10" t="s">
        <v>279</v>
      </c>
      <c r="M1040" s="12"/>
      <c r="N1040" s="10" t="s">
        <v>15</v>
      </c>
      <c r="O1040" s="10" t="s">
        <v>2054</v>
      </c>
      <c r="P1040" s="25" t="str">
        <f>IFERROR(
IF(OR(O1040="anulado",O1040="stand by"),CONCATENATE(O1040,": ",H1040),
IF(OR(YEAR(M1040)=2022,YEAR(M1040)=2023),CONCATENATE("Se activó en ",YEAR(M1040)),
IF(AND(OR(O1040="En proceso",O1040="facturando"),AND(J1040="-",M1040="")),"Por revisar",
IF(M1040="",IF(J1040="NUEVAS",CONCATENATE("Estado: ",O1040,", ",J1040),
IF(L1040=Meses!$A$3,"Por revisar",
IF(H1040="","Sin registro","En programación Frcst."))),"En programación")))),
"Error")</f>
        <v>En programación Frcst.</v>
      </c>
      <c r="Q1040" s="9" t="str">
        <f t="shared" si="48"/>
        <v/>
      </c>
      <c r="R1040" s="25">
        <f>IF(P1040="En programación Frcst.",VLOOKUP(L1040,Meses!$A$1:$H$14,3+HLOOKUP(Cronograma!J1040,Meses!$D$1:$G$2,2,FALSE),FALSE),
IF(P1040="En programación",M1040,""))</f>
        <v>45316</v>
      </c>
      <c r="S1040" s="25" t="str">
        <f t="shared" si="50"/>
        <v>2024/1</v>
      </c>
      <c r="T1040" s="21">
        <f>IFERROR(
(VLOOKUP(MONTH(R1040),Meses!$B$3:$C$14,2,FALSE)-DAY(R1040))/VLOOKUP(MONTH(R1040),Meses!$B$3:$C$14,2,FALSE)*U1040,
"")</f>
        <v>89.032258064516128</v>
      </c>
      <c r="U1040" s="22">
        <f t="shared" si="49"/>
        <v>460</v>
      </c>
    </row>
    <row r="1041" spans="1:21" ht="63" hidden="1" thickBot="1" x14ac:dyDescent="0.6">
      <c r="A1041" s="10" t="s">
        <v>1292</v>
      </c>
      <c r="B1041" s="10" t="s">
        <v>1332</v>
      </c>
      <c r="C1041" s="12">
        <v>45316</v>
      </c>
      <c r="D1041" s="10" t="s">
        <v>23</v>
      </c>
      <c r="E1041" s="10" t="s">
        <v>23</v>
      </c>
      <c r="F1041" s="10">
        <v>1466</v>
      </c>
      <c r="G1041" s="10" t="s">
        <v>15</v>
      </c>
      <c r="H1041" s="10" t="s">
        <v>17</v>
      </c>
      <c r="I1041" s="10" t="s">
        <v>18</v>
      </c>
      <c r="J1041" s="10" t="s">
        <v>292</v>
      </c>
      <c r="K1041" s="10" t="s">
        <v>293</v>
      </c>
      <c r="L1041" s="10" t="s">
        <v>279</v>
      </c>
      <c r="M1041" s="12"/>
      <c r="N1041" s="10" t="s">
        <v>15</v>
      </c>
      <c r="O1041" s="10" t="s">
        <v>2054</v>
      </c>
      <c r="P1041" s="25" t="str">
        <f>IFERROR(
IF(OR(O1041="anulado",O1041="stand by"),CONCATENATE(O1041,": ",H1041),
IF(OR(YEAR(M1041)=2022,YEAR(M1041)=2023),CONCATENATE("Se activó en ",YEAR(M1041)),
IF(AND(OR(O1041="En proceso",O1041="facturando"),AND(J1041="-",M1041="")),"Por revisar",
IF(M1041="",IF(J1041="NUEVAS",CONCATENATE("Estado: ",O1041,", ",J1041),
IF(L1041=Meses!$A$3,"Por revisar",
IF(H1041="","Sin registro","En programación Frcst."))),"En programación")))),
"Error")</f>
        <v>En programación Frcst.</v>
      </c>
      <c r="Q1041" s="9" t="str">
        <f t="shared" si="48"/>
        <v/>
      </c>
      <c r="R1041" s="25">
        <f>IF(P1041="En programación Frcst.",VLOOKUP(L1041,Meses!$A$1:$H$14,3+HLOOKUP(Cronograma!J1041,Meses!$D$1:$G$2,2,FALSE),FALSE),
IF(P1041="En programación",M1041,""))</f>
        <v>45316</v>
      </c>
      <c r="S1041" s="25" t="str">
        <f t="shared" si="50"/>
        <v>2024/1</v>
      </c>
      <c r="T1041" s="21">
        <f>IFERROR(
(VLOOKUP(MONTH(R1041),Meses!$B$3:$C$14,2,FALSE)-DAY(R1041))/VLOOKUP(MONTH(R1041),Meses!$B$3:$C$14,2,FALSE)*U1041,
"")</f>
        <v>283.74193548387098</v>
      </c>
      <c r="U1041" s="22">
        <f t="shared" si="49"/>
        <v>1466</v>
      </c>
    </row>
    <row r="1042" spans="1:21" ht="63" hidden="1" thickBot="1" x14ac:dyDescent="0.6">
      <c r="A1042" s="10" t="s">
        <v>1292</v>
      </c>
      <c r="B1042" s="10" t="s">
        <v>1333</v>
      </c>
      <c r="C1042" s="12"/>
      <c r="D1042" s="10" t="s">
        <v>23</v>
      </c>
      <c r="E1042" s="10" t="s">
        <v>23</v>
      </c>
      <c r="F1042" s="10">
        <v>0</v>
      </c>
      <c r="G1042" s="10" t="s">
        <v>15</v>
      </c>
      <c r="H1042" s="10" t="s">
        <v>2917</v>
      </c>
      <c r="I1042" s="10" t="s">
        <v>18</v>
      </c>
      <c r="J1042" s="10" t="s">
        <v>282</v>
      </c>
      <c r="K1042" s="10" t="s">
        <v>1119</v>
      </c>
      <c r="L1042" s="10" t="s">
        <v>1120</v>
      </c>
      <c r="M1042" s="12">
        <v>45358</v>
      </c>
      <c r="N1042" s="10" t="s">
        <v>15</v>
      </c>
      <c r="O1042" s="10" t="s">
        <v>2057</v>
      </c>
      <c r="P1042" s="25" t="str">
        <f>IFERROR(
IF(OR(O1042="anulado",O1042="stand by"),CONCATENATE(O1042,": ",H1042),
IF(OR(YEAR(M1042)=2022,YEAR(M1042)=2023),CONCATENATE("Se activó en ",YEAR(M1042)),
IF(AND(OR(O1042="En proceso",O1042="facturando"),AND(J1042="-",M1042="")),"Por revisar",
IF(M1042="",IF(J1042="NUEVAS",CONCATENATE("Estado: ",O1042,", ",J1042),
IF(L1042=Meses!$A$3,"Por revisar",
IF(H1042="","Sin registro","En programación Frcst."))),"En programación")))),
"Error")</f>
        <v>En programación</v>
      </c>
      <c r="Q1042" s="9" t="str">
        <f t="shared" si="48"/>
        <v/>
      </c>
      <c r="R1042" s="25">
        <f>IF(P1042="En programación Frcst.",VLOOKUP(L1042,Meses!$A$1:$H$14,3+HLOOKUP(Cronograma!J1042,Meses!$D$1:$G$2,2,FALSE),FALSE),
IF(P1042="En programación",M1042,""))</f>
        <v>45358</v>
      </c>
      <c r="S1042" s="25" t="str">
        <f t="shared" si="50"/>
        <v>2024/3</v>
      </c>
      <c r="T1042" s="21">
        <f>IFERROR(
(VLOOKUP(MONTH(R1042),Meses!$B$3:$C$14,2,FALSE)-DAY(R1042))/VLOOKUP(MONTH(R1042),Meses!$B$3:$C$14,2,FALSE)*U1042,
"")</f>
        <v>0</v>
      </c>
      <c r="U1042" s="22">
        <f t="shared" si="49"/>
        <v>0</v>
      </c>
    </row>
    <row r="1043" spans="1:21" ht="63" hidden="1" thickBot="1" x14ac:dyDescent="0.6">
      <c r="A1043" s="10" t="s">
        <v>1292</v>
      </c>
      <c r="B1043" s="10" t="s">
        <v>1334</v>
      </c>
      <c r="C1043" s="12"/>
      <c r="D1043" s="10" t="s">
        <v>23</v>
      </c>
      <c r="E1043" s="10" t="s">
        <v>23</v>
      </c>
      <c r="F1043" s="10">
        <v>2480</v>
      </c>
      <c r="G1043" s="10" t="s">
        <v>15</v>
      </c>
      <c r="H1043" s="10" t="s">
        <v>2917</v>
      </c>
      <c r="I1043" s="10" t="s">
        <v>18</v>
      </c>
      <c r="J1043" s="10" t="s">
        <v>282</v>
      </c>
      <c r="K1043" s="10" t="s">
        <v>1119</v>
      </c>
      <c r="L1043" s="10" t="s">
        <v>1120</v>
      </c>
      <c r="M1043" s="12">
        <v>45358</v>
      </c>
      <c r="N1043" s="10" t="s">
        <v>15</v>
      </c>
      <c r="O1043" s="10" t="s">
        <v>2057</v>
      </c>
      <c r="P1043" s="25" t="str">
        <f>IFERROR(
IF(OR(O1043="anulado",O1043="stand by"),CONCATENATE(O1043,": ",H1043),
IF(OR(YEAR(M1043)=2022,YEAR(M1043)=2023),CONCATENATE("Se activó en ",YEAR(M1043)),
IF(AND(OR(O1043="En proceso",O1043="facturando"),AND(J1043="-",M1043="")),"Por revisar",
IF(M1043="",IF(J1043="NUEVAS",CONCATENATE("Estado: ",O1043,", ",J1043),
IF(L1043=Meses!$A$3,"Por revisar",
IF(H1043="","Sin registro","En programación Frcst."))),"En programación")))),
"Error")</f>
        <v>En programación</v>
      </c>
      <c r="Q1043" s="9" t="str">
        <f t="shared" si="48"/>
        <v/>
      </c>
      <c r="R1043" s="25">
        <f>IF(P1043="En programación Frcst.",VLOOKUP(L1043,Meses!$A$1:$H$14,3+HLOOKUP(Cronograma!J1043,Meses!$D$1:$G$2,2,FALSE),FALSE),
IF(P1043="En programación",M1043,""))</f>
        <v>45358</v>
      </c>
      <c r="S1043" s="25" t="str">
        <f t="shared" si="50"/>
        <v>2024/3</v>
      </c>
      <c r="T1043" s="21">
        <f>IFERROR(
(VLOOKUP(MONTH(R1043),Meses!$B$3:$C$14,2,FALSE)-DAY(R1043))/VLOOKUP(MONTH(R1043),Meses!$B$3:$C$14,2,FALSE)*U1043,
"")</f>
        <v>1920</v>
      </c>
      <c r="U1043" s="22">
        <f t="shared" si="49"/>
        <v>2480</v>
      </c>
    </row>
    <row r="1044" spans="1:21" ht="63" hidden="1" thickBot="1" x14ac:dyDescent="0.6">
      <c r="A1044" s="10" t="s">
        <v>1292</v>
      </c>
      <c r="B1044" s="10" t="s">
        <v>1335</v>
      </c>
      <c r="C1044" s="12"/>
      <c r="D1044" s="10" t="s">
        <v>23</v>
      </c>
      <c r="E1044" s="10" t="s">
        <v>23</v>
      </c>
      <c r="F1044" s="10">
        <v>0</v>
      </c>
      <c r="G1044" s="10" t="s">
        <v>15</v>
      </c>
      <c r="H1044" s="10" t="s">
        <v>2917</v>
      </c>
      <c r="I1044" s="10" t="s">
        <v>18</v>
      </c>
      <c r="J1044" s="10" t="s">
        <v>282</v>
      </c>
      <c r="K1044" s="10" t="s">
        <v>1119</v>
      </c>
      <c r="L1044" s="10" t="s">
        <v>1120</v>
      </c>
      <c r="M1044" s="12">
        <v>45358</v>
      </c>
      <c r="N1044" s="10" t="s">
        <v>15</v>
      </c>
      <c r="O1044" s="10" t="s">
        <v>2057</v>
      </c>
      <c r="P1044" s="25" t="str">
        <f>IFERROR(
IF(OR(O1044="anulado",O1044="stand by"),CONCATENATE(O1044,": ",H1044),
IF(OR(YEAR(M1044)=2022,YEAR(M1044)=2023),CONCATENATE("Se activó en ",YEAR(M1044)),
IF(AND(OR(O1044="En proceso",O1044="facturando"),AND(J1044="-",M1044="")),"Por revisar",
IF(M1044="",IF(J1044="NUEVAS",CONCATENATE("Estado: ",O1044,", ",J1044),
IF(L1044=Meses!$A$3,"Por revisar",
IF(H1044="","Sin registro","En programación Frcst."))),"En programación")))),
"Error")</f>
        <v>En programación</v>
      </c>
      <c r="Q1044" s="9" t="str">
        <f t="shared" si="48"/>
        <v/>
      </c>
      <c r="R1044" s="25">
        <f>IF(P1044="En programación Frcst.",VLOOKUP(L1044,Meses!$A$1:$H$14,3+HLOOKUP(Cronograma!J1044,Meses!$D$1:$G$2,2,FALSE),FALSE),
IF(P1044="En programación",M1044,""))</f>
        <v>45358</v>
      </c>
      <c r="S1044" s="25" t="str">
        <f t="shared" si="50"/>
        <v>2024/3</v>
      </c>
      <c r="T1044" s="21">
        <f>IFERROR(
(VLOOKUP(MONTH(R1044),Meses!$B$3:$C$14,2,FALSE)-DAY(R1044))/VLOOKUP(MONTH(R1044),Meses!$B$3:$C$14,2,FALSE)*U1044,
"")</f>
        <v>0</v>
      </c>
      <c r="U1044" s="22">
        <f t="shared" si="49"/>
        <v>0</v>
      </c>
    </row>
    <row r="1045" spans="1:21" ht="63" hidden="1" thickBot="1" x14ac:dyDescent="0.6">
      <c r="A1045" s="10" t="s">
        <v>1292</v>
      </c>
      <c r="B1045" s="10" t="s">
        <v>1336</v>
      </c>
      <c r="C1045" s="12"/>
      <c r="D1045" s="10" t="s">
        <v>23</v>
      </c>
      <c r="E1045" s="10" t="s">
        <v>23</v>
      </c>
      <c r="F1045" s="10">
        <v>8680</v>
      </c>
      <c r="G1045" s="10" t="s">
        <v>15</v>
      </c>
      <c r="H1045" s="10" t="s">
        <v>2917</v>
      </c>
      <c r="I1045" s="10" t="s">
        <v>18</v>
      </c>
      <c r="J1045" s="10" t="s">
        <v>282</v>
      </c>
      <c r="K1045" s="10" t="s">
        <v>1119</v>
      </c>
      <c r="L1045" s="10" t="s">
        <v>1120</v>
      </c>
      <c r="M1045" s="12">
        <v>45358</v>
      </c>
      <c r="N1045" s="10" t="s">
        <v>15</v>
      </c>
      <c r="O1045" s="10" t="s">
        <v>2057</v>
      </c>
      <c r="P1045" s="25" t="str">
        <f>IFERROR(
IF(OR(O1045="anulado",O1045="stand by"),CONCATENATE(O1045,": ",H1045),
IF(OR(YEAR(M1045)=2022,YEAR(M1045)=2023),CONCATENATE("Se activó en ",YEAR(M1045)),
IF(AND(OR(O1045="En proceso",O1045="facturando"),AND(J1045="-",M1045="")),"Por revisar",
IF(M1045="",IF(J1045="NUEVAS",CONCATENATE("Estado: ",O1045,", ",J1045),
IF(L1045=Meses!$A$3,"Por revisar",
IF(H1045="","Sin registro","En programación Frcst."))),"En programación")))),
"Error")</f>
        <v>En programación</v>
      </c>
      <c r="Q1045" s="9" t="str">
        <f t="shared" si="48"/>
        <v/>
      </c>
      <c r="R1045" s="25">
        <f>IF(P1045="En programación Frcst.",VLOOKUP(L1045,Meses!$A$1:$H$14,3+HLOOKUP(Cronograma!J1045,Meses!$D$1:$G$2,2,FALSE),FALSE),
IF(P1045="En programación",M1045,""))</f>
        <v>45358</v>
      </c>
      <c r="S1045" s="25" t="str">
        <f t="shared" si="50"/>
        <v>2024/3</v>
      </c>
      <c r="T1045" s="21">
        <f>IFERROR(
(VLOOKUP(MONTH(R1045),Meses!$B$3:$C$14,2,FALSE)-DAY(R1045))/VLOOKUP(MONTH(R1045),Meses!$B$3:$C$14,2,FALSE)*U1045,
"")</f>
        <v>6720</v>
      </c>
      <c r="U1045" s="22">
        <f t="shared" si="49"/>
        <v>8680</v>
      </c>
    </row>
    <row r="1046" spans="1:21" ht="63" hidden="1" thickBot="1" x14ac:dyDescent="0.6">
      <c r="A1046" s="10" t="s">
        <v>1292</v>
      </c>
      <c r="B1046" s="10" t="s">
        <v>1337</v>
      </c>
      <c r="C1046" s="12"/>
      <c r="D1046" s="10" t="s">
        <v>23</v>
      </c>
      <c r="E1046" s="10" t="s">
        <v>23</v>
      </c>
      <c r="F1046" s="10">
        <v>334</v>
      </c>
      <c r="G1046" s="10" t="s">
        <v>15</v>
      </c>
      <c r="H1046" s="10" t="s">
        <v>2917</v>
      </c>
      <c r="I1046" s="10" t="s">
        <v>18</v>
      </c>
      <c r="J1046" s="10" t="s">
        <v>282</v>
      </c>
      <c r="K1046" s="10" t="s">
        <v>1119</v>
      </c>
      <c r="L1046" s="10" t="s">
        <v>1120</v>
      </c>
      <c r="M1046" s="12">
        <v>45358</v>
      </c>
      <c r="N1046" s="10" t="s">
        <v>15</v>
      </c>
      <c r="O1046" s="10" t="s">
        <v>2057</v>
      </c>
      <c r="P1046" s="25" t="str">
        <f>IFERROR(
IF(OR(O1046="anulado",O1046="stand by"),CONCATENATE(O1046,": ",H1046),
IF(OR(YEAR(M1046)=2022,YEAR(M1046)=2023),CONCATENATE("Se activó en ",YEAR(M1046)),
IF(AND(OR(O1046="En proceso",O1046="facturando"),AND(J1046="-",M1046="")),"Por revisar",
IF(M1046="",IF(J1046="NUEVAS",CONCATENATE("Estado: ",O1046,", ",J1046),
IF(L1046=Meses!$A$3,"Por revisar",
IF(H1046="","Sin registro","En programación Frcst."))),"En programación")))),
"Error")</f>
        <v>En programación</v>
      </c>
      <c r="Q1046" s="9" t="str">
        <f t="shared" si="48"/>
        <v/>
      </c>
      <c r="R1046" s="25">
        <f>IF(P1046="En programación Frcst.",VLOOKUP(L1046,Meses!$A$1:$H$14,3+HLOOKUP(Cronograma!J1046,Meses!$D$1:$G$2,2,FALSE),FALSE),
IF(P1046="En programación",M1046,""))</f>
        <v>45358</v>
      </c>
      <c r="S1046" s="25" t="str">
        <f t="shared" si="50"/>
        <v>2024/3</v>
      </c>
      <c r="T1046" s="21">
        <f>IFERROR(
(VLOOKUP(MONTH(R1046),Meses!$B$3:$C$14,2,FALSE)-DAY(R1046))/VLOOKUP(MONTH(R1046),Meses!$B$3:$C$14,2,FALSE)*U1046,
"")</f>
        <v>258.58064516129031</v>
      </c>
      <c r="U1046" s="22">
        <f t="shared" si="49"/>
        <v>334</v>
      </c>
    </row>
    <row r="1047" spans="1:21" ht="63" hidden="1" thickBot="1" x14ac:dyDescent="0.6">
      <c r="A1047" s="10" t="s">
        <v>1292</v>
      </c>
      <c r="B1047" s="10" t="s">
        <v>1338</v>
      </c>
      <c r="C1047" s="12">
        <v>45316</v>
      </c>
      <c r="D1047" s="10" t="s">
        <v>23</v>
      </c>
      <c r="E1047" s="10" t="s">
        <v>23</v>
      </c>
      <c r="F1047" s="10">
        <v>394</v>
      </c>
      <c r="G1047" s="10" t="s">
        <v>15</v>
      </c>
      <c r="H1047" s="10" t="s">
        <v>17</v>
      </c>
      <c r="I1047" s="10" t="s">
        <v>18</v>
      </c>
      <c r="J1047" s="10" t="s">
        <v>292</v>
      </c>
      <c r="K1047" s="10" t="s">
        <v>293</v>
      </c>
      <c r="L1047" s="10" t="s">
        <v>279</v>
      </c>
      <c r="M1047" s="12"/>
      <c r="N1047" s="10" t="s">
        <v>15</v>
      </c>
      <c r="O1047" s="10" t="s">
        <v>2054</v>
      </c>
      <c r="P1047" s="25" t="str">
        <f>IFERROR(
IF(OR(O1047="anulado",O1047="stand by"),CONCATENATE(O1047,": ",H1047),
IF(OR(YEAR(M1047)=2022,YEAR(M1047)=2023),CONCATENATE("Se activó en ",YEAR(M1047)),
IF(AND(OR(O1047="En proceso",O1047="facturando"),AND(J1047="-",M1047="")),"Por revisar",
IF(M1047="",IF(J1047="NUEVAS",CONCATENATE("Estado: ",O1047,", ",J1047),
IF(L1047=Meses!$A$3,"Por revisar",
IF(H1047="","Sin registro","En programación Frcst."))),"En programación")))),
"Error")</f>
        <v>En programación Frcst.</v>
      </c>
      <c r="Q1047" s="9" t="str">
        <f t="shared" si="48"/>
        <v/>
      </c>
      <c r="R1047" s="25">
        <f>IF(P1047="En programación Frcst.",VLOOKUP(L1047,Meses!$A$1:$H$14,3+HLOOKUP(Cronograma!J1047,Meses!$D$1:$G$2,2,FALSE),FALSE),
IF(P1047="En programación",M1047,""))</f>
        <v>45316</v>
      </c>
      <c r="S1047" s="25" t="str">
        <f t="shared" si="50"/>
        <v>2024/1</v>
      </c>
      <c r="T1047" s="21">
        <f>IFERROR(
(VLOOKUP(MONTH(R1047),Meses!$B$3:$C$14,2,FALSE)-DAY(R1047))/VLOOKUP(MONTH(R1047),Meses!$B$3:$C$14,2,FALSE)*U1047,
"")</f>
        <v>76.258064516129025</v>
      </c>
      <c r="U1047" s="22">
        <f t="shared" si="49"/>
        <v>394</v>
      </c>
    </row>
    <row r="1048" spans="1:21" ht="63" hidden="1" thickBot="1" x14ac:dyDescent="0.6">
      <c r="A1048" s="10" t="s">
        <v>1292</v>
      </c>
      <c r="B1048" s="10" t="s">
        <v>1339</v>
      </c>
      <c r="C1048" s="12">
        <v>45316</v>
      </c>
      <c r="D1048" s="10" t="s">
        <v>23</v>
      </c>
      <c r="E1048" s="10" t="s">
        <v>23</v>
      </c>
      <c r="F1048" s="10">
        <v>745</v>
      </c>
      <c r="G1048" s="10" t="s">
        <v>15</v>
      </c>
      <c r="H1048" s="10" t="s">
        <v>17</v>
      </c>
      <c r="I1048" s="10" t="s">
        <v>18</v>
      </c>
      <c r="J1048" s="10" t="s">
        <v>292</v>
      </c>
      <c r="K1048" s="10" t="s">
        <v>293</v>
      </c>
      <c r="L1048" s="10" t="s">
        <v>279</v>
      </c>
      <c r="M1048" s="12"/>
      <c r="N1048" s="10" t="s">
        <v>15</v>
      </c>
      <c r="O1048" s="10" t="s">
        <v>2054</v>
      </c>
      <c r="P1048" s="25" t="str">
        <f>IFERROR(
IF(OR(O1048="anulado",O1048="stand by"),CONCATENATE(O1048,": ",H1048),
IF(OR(YEAR(M1048)=2022,YEAR(M1048)=2023),CONCATENATE("Se activó en ",YEAR(M1048)),
IF(AND(OR(O1048="En proceso",O1048="facturando"),AND(J1048="-",M1048="")),"Por revisar",
IF(M1048="",IF(J1048="NUEVAS",CONCATENATE("Estado: ",O1048,", ",J1048),
IF(L1048=Meses!$A$3,"Por revisar",
IF(H1048="","Sin registro","En programación Frcst."))),"En programación")))),
"Error")</f>
        <v>En programación Frcst.</v>
      </c>
      <c r="Q1048" s="9" t="str">
        <f t="shared" si="48"/>
        <v/>
      </c>
      <c r="R1048" s="25">
        <f>IF(P1048="En programación Frcst.",VLOOKUP(L1048,Meses!$A$1:$H$14,3+HLOOKUP(Cronograma!J1048,Meses!$D$1:$G$2,2,FALSE),FALSE),
IF(P1048="En programación",M1048,""))</f>
        <v>45316</v>
      </c>
      <c r="S1048" s="25" t="str">
        <f t="shared" si="50"/>
        <v>2024/1</v>
      </c>
      <c r="T1048" s="21">
        <f>IFERROR(
(VLOOKUP(MONTH(R1048),Meses!$B$3:$C$14,2,FALSE)-DAY(R1048))/VLOOKUP(MONTH(R1048),Meses!$B$3:$C$14,2,FALSE)*U1048,
"")</f>
        <v>144.19354838709677</v>
      </c>
      <c r="U1048" s="22">
        <f t="shared" si="49"/>
        <v>745</v>
      </c>
    </row>
    <row r="1049" spans="1:21" ht="63" hidden="1" thickBot="1" x14ac:dyDescent="0.6">
      <c r="A1049" s="10" t="s">
        <v>1292</v>
      </c>
      <c r="B1049" s="10" t="s">
        <v>1340</v>
      </c>
      <c r="C1049" s="12">
        <v>45316</v>
      </c>
      <c r="D1049" s="10" t="s">
        <v>23</v>
      </c>
      <c r="E1049" s="10" t="s">
        <v>23</v>
      </c>
      <c r="F1049" s="10">
        <v>0</v>
      </c>
      <c r="G1049" s="10" t="s">
        <v>15</v>
      </c>
      <c r="H1049" s="10" t="s">
        <v>17</v>
      </c>
      <c r="I1049" s="10" t="s">
        <v>18</v>
      </c>
      <c r="J1049" s="10" t="s">
        <v>292</v>
      </c>
      <c r="K1049" s="10" t="s">
        <v>293</v>
      </c>
      <c r="L1049" s="10" t="s">
        <v>279</v>
      </c>
      <c r="M1049" s="12"/>
      <c r="N1049" s="10" t="s">
        <v>15</v>
      </c>
      <c r="O1049" s="10" t="s">
        <v>2054</v>
      </c>
      <c r="P1049" s="25" t="str">
        <f>IFERROR(
IF(OR(O1049="anulado",O1049="stand by"),CONCATENATE(O1049,": ",H1049),
IF(OR(YEAR(M1049)=2022,YEAR(M1049)=2023),CONCATENATE("Se activó en ",YEAR(M1049)),
IF(AND(OR(O1049="En proceso",O1049="facturando"),AND(J1049="-",M1049="")),"Por revisar",
IF(M1049="",IF(J1049="NUEVAS",CONCATENATE("Estado: ",O1049,", ",J1049),
IF(L1049=Meses!$A$3,"Por revisar",
IF(H1049="","Sin registro","En programación Frcst."))),"En programación")))),
"Error")</f>
        <v>En programación Frcst.</v>
      </c>
      <c r="Q1049" s="9" t="str">
        <f t="shared" si="48"/>
        <v/>
      </c>
      <c r="R1049" s="25">
        <f>IF(P1049="En programación Frcst.",VLOOKUP(L1049,Meses!$A$1:$H$14,3+HLOOKUP(Cronograma!J1049,Meses!$D$1:$G$2,2,FALSE),FALSE),
IF(P1049="En programación",M1049,""))</f>
        <v>45316</v>
      </c>
      <c r="S1049" s="25" t="str">
        <f t="shared" si="50"/>
        <v>2024/1</v>
      </c>
      <c r="T1049" s="21">
        <f>IFERROR(
(VLOOKUP(MONTH(R1049),Meses!$B$3:$C$14,2,FALSE)-DAY(R1049))/VLOOKUP(MONTH(R1049),Meses!$B$3:$C$14,2,FALSE)*U1049,
"")</f>
        <v>0</v>
      </c>
      <c r="U1049" s="22">
        <f t="shared" si="49"/>
        <v>0</v>
      </c>
    </row>
    <row r="1050" spans="1:21" ht="63" hidden="1" thickBot="1" x14ac:dyDescent="0.6">
      <c r="A1050" s="10" t="s">
        <v>1292</v>
      </c>
      <c r="B1050" s="10" t="s">
        <v>1341</v>
      </c>
      <c r="C1050" s="12">
        <v>45316</v>
      </c>
      <c r="D1050" s="10" t="s">
        <v>23</v>
      </c>
      <c r="E1050" s="10" t="s">
        <v>23</v>
      </c>
      <c r="F1050" s="10">
        <v>5550</v>
      </c>
      <c r="G1050" s="10" t="s">
        <v>15</v>
      </c>
      <c r="H1050" s="10" t="s">
        <v>17</v>
      </c>
      <c r="I1050" s="10" t="s">
        <v>18</v>
      </c>
      <c r="J1050" s="10" t="s">
        <v>292</v>
      </c>
      <c r="K1050" s="10" t="s">
        <v>293</v>
      </c>
      <c r="L1050" s="10" t="s">
        <v>279</v>
      </c>
      <c r="M1050" s="12"/>
      <c r="N1050" s="10" t="s">
        <v>15</v>
      </c>
      <c r="O1050" s="10" t="s">
        <v>2054</v>
      </c>
      <c r="P1050" s="25" t="str">
        <f>IFERROR(
IF(OR(O1050="anulado",O1050="stand by"),CONCATENATE(O1050,": ",H1050),
IF(OR(YEAR(M1050)=2022,YEAR(M1050)=2023),CONCATENATE("Se activó en ",YEAR(M1050)),
IF(AND(OR(O1050="En proceso",O1050="facturando"),AND(J1050="-",M1050="")),"Por revisar",
IF(M1050="",IF(J1050="NUEVAS",CONCATENATE("Estado: ",O1050,", ",J1050),
IF(L1050=Meses!$A$3,"Por revisar",
IF(H1050="","Sin registro","En programación Frcst."))),"En programación")))),
"Error")</f>
        <v>En programación Frcst.</v>
      </c>
      <c r="Q1050" s="9" t="str">
        <f t="shared" si="48"/>
        <v/>
      </c>
      <c r="R1050" s="25">
        <f>IF(P1050="En programación Frcst.",VLOOKUP(L1050,Meses!$A$1:$H$14,3+HLOOKUP(Cronograma!J1050,Meses!$D$1:$G$2,2,FALSE),FALSE),
IF(P1050="En programación",M1050,""))</f>
        <v>45316</v>
      </c>
      <c r="S1050" s="25" t="str">
        <f t="shared" si="50"/>
        <v>2024/1</v>
      </c>
      <c r="T1050" s="21">
        <f>IFERROR(
(VLOOKUP(MONTH(R1050),Meses!$B$3:$C$14,2,FALSE)-DAY(R1050))/VLOOKUP(MONTH(R1050),Meses!$B$3:$C$14,2,FALSE)*U1050,
"")</f>
        <v>1074.1935483870968</v>
      </c>
      <c r="U1050" s="22">
        <f t="shared" si="49"/>
        <v>5550</v>
      </c>
    </row>
    <row r="1051" spans="1:21" ht="63" hidden="1" thickBot="1" x14ac:dyDescent="0.6">
      <c r="A1051" s="10" t="s">
        <v>1292</v>
      </c>
      <c r="B1051" s="10" t="s">
        <v>1342</v>
      </c>
      <c r="C1051" s="12">
        <v>45316</v>
      </c>
      <c r="D1051" s="10" t="s">
        <v>23</v>
      </c>
      <c r="E1051" s="10" t="s">
        <v>23</v>
      </c>
      <c r="F1051" s="10">
        <v>648</v>
      </c>
      <c r="G1051" s="10" t="s">
        <v>15</v>
      </c>
      <c r="H1051" s="10" t="s">
        <v>17</v>
      </c>
      <c r="I1051" s="10" t="s">
        <v>18</v>
      </c>
      <c r="J1051" s="10" t="s">
        <v>292</v>
      </c>
      <c r="K1051" s="10" t="s">
        <v>293</v>
      </c>
      <c r="L1051" s="10" t="s">
        <v>279</v>
      </c>
      <c r="M1051" s="12"/>
      <c r="N1051" s="10" t="s">
        <v>15</v>
      </c>
      <c r="O1051" s="10" t="s">
        <v>2054</v>
      </c>
      <c r="P1051" s="25" t="str">
        <f>IFERROR(
IF(OR(O1051="anulado",O1051="stand by"),CONCATENATE(O1051,": ",H1051),
IF(OR(YEAR(M1051)=2022,YEAR(M1051)=2023),CONCATENATE("Se activó en ",YEAR(M1051)),
IF(AND(OR(O1051="En proceso",O1051="facturando"),AND(J1051="-",M1051="")),"Por revisar",
IF(M1051="",IF(J1051="NUEVAS",CONCATENATE("Estado: ",O1051,", ",J1051),
IF(L1051=Meses!$A$3,"Por revisar",
IF(H1051="","Sin registro","En programación Frcst."))),"En programación")))),
"Error")</f>
        <v>En programación Frcst.</v>
      </c>
      <c r="Q1051" s="9" t="str">
        <f t="shared" si="48"/>
        <v/>
      </c>
      <c r="R1051" s="25">
        <f>IF(P1051="En programación Frcst.",VLOOKUP(L1051,Meses!$A$1:$H$14,3+HLOOKUP(Cronograma!J1051,Meses!$D$1:$G$2,2,FALSE),FALSE),
IF(P1051="En programación",M1051,""))</f>
        <v>45316</v>
      </c>
      <c r="S1051" s="25" t="str">
        <f t="shared" si="50"/>
        <v>2024/1</v>
      </c>
      <c r="T1051" s="21">
        <f>IFERROR(
(VLOOKUP(MONTH(R1051),Meses!$B$3:$C$14,2,FALSE)-DAY(R1051))/VLOOKUP(MONTH(R1051),Meses!$B$3:$C$14,2,FALSE)*U1051,
"")</f>
        <v>125.41935483870968</v>
      </c>
      <c r="U1051" s="22">
        <f t="shared" si="49"/>
        <v>648</v>
      </c>
    </row>
    <row r="1052" spans="1:21" ht="63" hidden="1" thickBot="1" x14ac:dyDescent="0.6">
      <c r="A1052" s="10" t="s">
        <v>1292</v>
      </c>
      <c r="B1052" s="10" t="s">
        <v>1343</v>
      </c>
      <c r="C1052" s="12">
        <v>45316</v>
      </c>
      <c r="D1052" s="10" t="s">
        <v>23</v>
      </c>
      <c r="E1052" s="10" t="s">
        <v>23</v>
      </c>
      <c r="F1052" s="10">
        <v>774</v>
      </c>
      <c r="G1052" s="10" t="s">
        <v>15</v>
      </c>
      <c r="H1052" s="10" t="s">
        <v>17</v>
      </c>
      <c r="I1052" s="10" t="s">
        <v>18</v>
      </c>
      <c r="J1052" s="10" t="s">
        <v>292</v>
      </c>
      <c r="K1052" s="10" t="s">
        <v>293</v>
      </c>
      <c r="L1052" s="10" t="s">
        <v>279</v>
      </c>
      <c r="M1052" s="12"/>
      <c r="N1052" s="10" t="s">
        <v>15</v>
      </c>
      <c r="O1052" s="10" t="s">
        <v>2054</v>
      </c>
      <c r="P1052" s="25" t="str">
        <f>IFERROR(
IF(OR(O1052="anulado",O1052="stand by"),CONCATENATE(O1052,": ",H1052),
IF(OR(YEAR(M1052)=2022,YEAR(M1052)=2023),CONCATENATE("Se activó en ",YEAR(M1052)),
IF(AND(OR(O1052="En proceso",O1052="facturando"),AND(J1052="-",M1052="")),"Por revisar",
IF(M1052="",IF(J1052="NUEVAS",CONCATENATE("Estado: ",O1052,", ",J1052),
IF(L1052=Meses!$A$3,"Por revisar",
IF(H1052="","Sin registro","En programación Frcst."))),"En programación")))),
"Error")</f>
        <v>En programación Frcst.</v>
      </c>
      <c r="Q1052" s="9" t="str">
        <f t="shared" si="48"/>
        <v/>
      </c>
      <c r="R1052" s="25">
        <f>IF(P1052="En programación Frcst.",VLOOKUP(L1052,Meses!$A$1:$H$14,3+HLOOKUP(Cronograma!J1052,Meses!$D$1:$G$2,2,FALSE),FALSE),
IF(P1052="En programación",M1052,""))</f>
        <v>45316</v>
      </c>
      <c r="S1052" s="25" t="str">
        <f t="shared" si="50"/>
        <v>2024/1</v>
      </c>
      <c r="T1052" s="21">
        <f>IFERROR(
(VLOOKUP(MONTH(R1052),Meses!$B$3:$C$14,2,FALSE)-DAY(R1052))/VLOOKUP(MONTH(R1052),Meses!$B$3:$C$14,2,FALSE)*U1052,
"")</f>
        <v>149.80645161290323</v>
      </c>
      <c r="U1052" s="22">
        <f t="shared" si="49"/>
        <v>774</v>
      </c>
    </row>
    <row r="1053" spans="1:21" ht="63" hidden="1" thickBot="1" x14ac:dyDescent="0.6">
      <c r="A1053" s="10" t="s">
        <v>1292</v>
      </c>
      <c r="B1053" s="10" t="s">
        <v>1344</v>
      </c>
      <c r="C1053" s="12"/>
      <c r="D1053" s="10" t="s">
        <v>23</v>
      </c>
      <c r="E1053" s="10" t="s">
        <v>23</v>
      </c>
      <c r="F1053" s="10">
        <v>3510</v>
      </c>
      <c r="G1053" s="10" t="s">
        <v>15</v>
      </c>
      <c r="H1053" s="10" t="s">
        <v>2917</v>
      </c>
      <c r="I1053" s="10" t="s">
        <v>18</v>
      </c>
      <c r="J1053" s="10" t="s">
        <v>282</v>
      </c>
      <c r="K1053" s="10" t="s">
        <v>1119</v>
      </c>
      <c r="L1053" s="10" t="s">
        <v>1120</v>
      </c>
      <c r="M1053" s="12">
        <v>45358</v>
      </c>
      <c r="N1053" s="10" t="s">
        <v>15</v>
      </c>
      <c r="O1053" s="10" t="s">
        <v>2057</v>
      </c>
      <c r="P1053" s="25" t="str">
        <f>IFERROR(
IF(OR(O1053="anulado",O1053="stand by"),CONCATENATE(O1053,": ",H1053),
IF(OR(YEAR(M1053)=2022,YEAR(M1053)=2023),CONCATENATE("Se activó en ",YEAR(M1053)),
IF(AND(OR(O1053="En proceso",O1053="facturando"),AND(J1053="-",M1053="")),"Por revisar",
IF(M1053="",IF(J1053="NUEVAS",CONCATENATE("Estado: ",O1053,", ",J1053),
IF(L1053=Meses!$A$3,"Por revisar",
IF(H1053="","Sin registro","En programación Frcst."))),"En programación")))),
"Error")</f>
        <v>En programación</v>
      </c>
      <c r="Q1053" s="9" t="str">
        <f t="shared" si="48"/>
        <v/>
      </c>
      <c r="R1053" s="25">
        <f>IF(P1053="En programación Frcst.",VLOOKUP(L1053,Meses!$A$1:$H$14,3+HLOOKUP(Cronograma!J1053,Meses!$D$1:$G$2,2,FALSE),FALSE),
IF(P1053="En programación",M1053,""))</f>
        <v>45358</v>
      </c>
      <c r="S1053" s="25" t="str">
        <f t="shared" si="50"/>
        <v>2024/3</v>
      </c>
      <c r="T1053" s="21">
        <f>IFERROR(
(VLOOKUP(MONTH(R1053),Meses!$B$3:$C$14,2,FALSE)-DAY(R1053))/VLOOKUP(MONTH(R1053),Meses!$B$3:$C$14,2,FALSE)*U1053,
"")</f>
        <v>2717.4193548387098</v>
      </c>
      <c r="U1053" s="22">
        <f t="shared" si="49"/>
        <v>3510</v>
      </c>
    </row>
    <row r="1054" spans="1:21" ht="63" hidden="1" thickBot="1" x14ac:dyDescent="0.6">
      <c r="A1054" s="10" t="s">
        <v>1292</v>
      </c>
      <c r="B1054" s="10" t="s">
        <v>1345</v>
      </c>
      <c r="C1054" s="12"/>
      <c r="D1054" s="10" t="s">
        <v>23</v>
      </c>
      <c r="E1054" s="10" t="s">
        <v>23</v>
      </c>
      <c r="F1054" s="10">
        <v>229</v>
      </c>
      <c r="G1054" s="10" t="s">
        <v>15</v>
      </c>
      <c r="H1054" s="10" t="s">
        <v>2917</v>
      </c>
      <c r="I1054" s="10" t="s">
        <v>18</v>
      </c>
      <c r="J1054" s="10" t="s">
        <v>282</v>
      </c>
      <c r="K1054" s="10" t="s">
        <v>1119</v>
      </c>
      <c r="L1054" s="10" t="s">
        <v>1120</v>
      </c>
      <c r="M1054" s="12">
        <v>45358</v>
      </c>
      <c r="N1054" s="10" t="s">
        <v>15</v>
      </c>
      <c r="O1054" s="10" t="s">
        <v>2057</v>
      </c>
      <c r="P1054" s="25" t="str">
        <f>IFERROR(
IF(OR(O1054="anulado",O1054="stand by"),CONCATENATE(O1054,": ",H1054),
IF(OR(YEAR(M1054)=2022,YEAR(M1054)=2023),CONCATENATE("Se activó en ",YEAR(M1054)),
IF(AND(OR(O1054="En proceso",O1054="facturando"),AND(J1054="-",M1054="")),"Por revisar",
IF(M1054="",IF(J1054="NUEVAS",CONCATENATE("Estado: ",O1054,", ",J1054),
IF(L1054=Meses!$A$3,"Por revisar",
IF(H1054="","Sin registro","En programación Frcst."))),"En programación")))),
"Error")</f>
        <v>En programación</v>
      </c>
      <c r="Q1054" s="9" t="str">
        <f t="shared" si="48"/>
        <v/>
      </c>
      <c r="R1054" s="25">
        <f>IF(P1054="En programación Frcst.",VLOOKUP(L1054,Meses!$A$1:$H$14,3+HLOOKUP(Cronograma!J1054,Meses!$D$1:$G$2,2,FALSE),FALSE),
IF(P1054="En programación",M1054,""))</f>
        <v>45358</v>
      </c>
      <c r="S1054" s="25" t="str">
        <f t="shared" si="50"/>
        <v>2024/3</v>
      </c>
      <c r="T1054" s="21">
        <f>IFERROR(
(VLOOKUP(MONTH(R1054),Meses!$B$3:$C$14,2,FALSE)-DAY(R1054))/VLOOKUP(MONTH(R1054),Meses!$B$3:$C$14,2,FALSE)*U1054,
"")</f>
        <v>177.29032258064515</v>
      </c>
      <c r="U1054" s="22">
        <f t="shared" si="49"/>
        <v>229</v>
      </c>
    </row>
    <row r="1055" spans="1:21" ht="63" hidden="1" thickBot="1" x14ac:dyDescent="0.6">
      <c r="A1055" s="10" t="s">
        <v>1292</v>
      </c>
      <c r="B1055" s="10" t="s">
        <v>1346</v>
      </c>
      <c r="C1055" s="12">
        <v>45316</v>
      </c>
      <c r="D1055" s="10" t="s">
        <v>23</v>
      </c>
      <c r="E1055" s="10" t="s">
        <v>23</v>
      </c>
      <c r="F1055" s="10">
        <v>1906</v>
      </c>
      <c r="G1055" s="10" t="s">
        <v>15</v>
      </c>
      <c r="H1055" s="10" t="s">
        <v>17</v>
      </c>
      <c r="I1055" s="10" t="s">
        <v>18</v>
      </c>
      <c r="J1055" s="10" t="s">
        <v>292</v>
      </c>
      <c r="K1055" s="10" t="s">
        <v>293</v>
      </c>
      <c r="L1055" s="10" t="s">
        <v>279</v>
      </c>
      <c r="M1055" s="12"/>
      <c r="N1055" s="10" t="s">
        <v>15</v>
      </c>
      <c r="O1055" s="10" t="s">
        <v>2054</v>
      </c>
      <c r="P1055" s="25" t="str">
        <f>IFERROR(
IF(OR(O1055="anulado",O1055="stand by"),CONCATENATE(O1055,": ",H1055),
IF(OR(YEAR(M1055)=2022,YEAR(M1055)=2023),CONCATENATE("Se activó en ",YEAR(M1055)),
IF(AND(OR(O1055="En proceso",O1055="facturando"),AND(J1055="-",M1055="")),"Por revisar",
IF(M1055="",IF(J1055="NUEVAS",CONCATENATE("Estado: ",O1055,", ",J1055),
IF(L1055=Meses!$A$3,"Por revisar",
IF(H1055="","Sin registro","En programación Frcst."))),"En programación")))),
"Error")</f>
        <v>En programación Frcst.</v>
      </c>
      <c r="Q1055" s="9" t="str">
        <f t="shared" si="48"/>
        <v/>
      </c>
      <c r="R1055" s="25">
        <f>IF(P1055="En programación Frcst.",VLOOKUP(L1055,Meses!$A$1:$H$14,3+HLOOKUP(Cronograma!J1055,Meses!$D$1:$G$2,2,FALSE),FALSE),
IF(P1055="En programación",M1055,""))</f>
        <v>45316</v>
      </c>
      <c r="S1055" s="25" t="str">
        <f t="shared" si="50"/>
        <v>2024/1</v>
      </c>
      <c r="T1055" s="21">
        <f>IFERROR(
(VLOOKUP(MONTH(R1055),Meses!$B$3:$C$14,2,FALSE)-DAY(R1055))/VLOOKUP(MONTH(R1055),Meses!$B$3:$C$14,2,FALSE)*U1055,
"")</f>
        <v>368.90322580645159</v>
      </c>
      <c r="U1055" s="22">
        <f t="shared" si="49"/>
        <v>1906</v>
      </c>
    </row>
    <row r="1056" spans="1:21" ht="63" hidden="1" thickBot="1" x14ac:dyDescent="0.6">
      <c r="A1056" s="10" t="s">
        <v>1292</v>
      </c>
      <c r="B1056" s="10" t="s">
        <v>1347</v>
      </c>
      <c r="C1056" s="12">
        <v>45316</v>
      </c>
      <c r="D1056" s="10" t="s">
        <v>23</v>
      </c>
      <c r="E1056" s="10" t="s">
        <v>23</v>
      </c>
      <c r="F1056" s="10">
        <v>4030</v>
      </c>
      <c r="G1056" s="10" t="s">
        <v>15</v>
      </c>
      <c r="H1056" s="10" t="s">
        <v>17</v>
      </c>
      <c r="I1056" s="10" t="s">
        <v>18</v>
      </c>
      <c r="J1056" s="10" t="s">
        <v>292</v>
      </c>
      <c r="K1056" s="10" t="s">
        <v>293</v>
      </c>
      <c r="L1056" s="10" t="s">
        <v>279</v>
      </c>
      <c r="M1056" s="12"/>
      <c r="N1056" s="10" t="s">
        <v>15</v>
      </c>
      <c r="O1056" s="10" t="s">
        <v>2054</v>
      </c>
      <c r="P1056" s="25" t="str">
        <f>IFERROR(
IF(OR(O1056="anulado",O1056="stand by"),CONCATENATE(O1056,": ",H1056),
IF(OR(YEAR(M1056)=2022,YEAR(M1056)=2023),CONCATENATE("Se activó en ",YEAR(M1056)),
IF(AND(OR(O1056="En proceso",O1056="facturando"),AND(J1056="-",M1056="")),"Por revisar",
IF(M1056="",IF(J1056="NUEVAS",CONCATENATE("Estado: ",O1056,", ",J1056),
IF(L1056=Meses!$A$3,"Por revisar",
IF(H1056="","Sin registro","En programación Frcst."))),"En programación")))),
"Error")</f>
        <v>En programación Frcst.</v>
      </c>
      <c r="Q1056" s="9" t="str">
        <f t="shared" si="48"/>
        <v/>
      </c>
      <c r="R1056" s="25">
        <f>IF(P1056="En programación Frcst.",VLOOKUP(L1056,Meses!$A$1:$H$14,3+HLOOKUP(Cronograma!J1056,Meses!$D$1:$G$2,2,FALSE),FALSE),
IF(P1056="En programación",M1056,""))</f>
        <v>45316</v>
      </c>
      <c r="S1056" s="25" t="str">
        <f t="shared" si="50"/>
        <v>2024/1</v>
      </c>
      <c r="T1056" s="21">
        <f>IFERROR(
(VLOOKUP(MONTH(R1056),Meses!$B$3:$C$14,2,FALSE)-DAY(R1056))/VLOOKUP(MONTH(R1056),Meses!$B$3:$C$14,2,FALSE)*U1056,
"")</f>
        <v>780</v>
      </c>
      <c r="U1056" s="22">
        <f t="shared" si="49"/>
        <v>4030</v>
      </c>
    </row>
    <row r="1057" spans="1:21" ht="63" hidden="1" thickBot="1" x14ac:dyDescent="0.6">
      <c r="A1057" s="10" t="s">
        <v>1292</v>
      </c>
      <c r="B1057" s="10" t="s">
        <v>1348</v>
      </c>
      <c r="C1057" s="12">
        <v>45316</v>
      </c>
      <c r="D1057" s="10" t="s">
        <v>23</v>
      </c>
      <c r="E1057" s="10" t="s">
        <v>23</v>
      </c>
      <c r="F1057" s="10">
        <v>1</v>
      </c>
      <c r="G1057" s="10" t="s">
        <v>15</v>
      </c>
      <c r="H1057" s="10" t="s">
        <v>17</v>
      </c>
      <c r="I1057" s="10" t="s">
        <v>18</v>
      </c>
      <c r="J1057" s="10" t="s">
        <v>292</v>
      </c>
      <c r="K1057" s="10" t="s">
        <v>293</v>
      </c>
      <c r="L1057" s="10" t="s">
        <v>279</v>
      </c>
      <c r="M1057" s="12"/>
      <c r="N1057" s="10" t="s">
        <v>15</v>
      </c>
      <c r="O1057" s="10" t="s">
        <v>2054</v>
      </c>
      <c r="P1057" s="25" t="str">
        <f>IFERROR(
IF(OR(O1057="anulado",O1057="stand by"),CONCATENATE(O1057,": ",H1057),
IF(OR(YEAR(M1057)=2022,YEAR(M1057)=2023),CONCATENATE("Se activó en ",YEAR(M1057)),
IF(AND(OR(O1057="En proceso",O1057="facturando"),AND(J1057="-",M1057="")),"Por revisar",
IF(M1057="",IF(J1057="NUEVAS",CONCATENATE("Estado: ",O1057,", ",J1057),
IF(L1057=Meses!$A$3,"Por revisar",
IF(H1057="","Sin registro","En programación Frcst."))),"En programación")))),
"Error")</f>
        <v>En programación Frcst.</v>
      </c>
      <c r="Q1057" s="9" t="str">
        <f t="shared" si="48"/>
        <v/>
      </c>
      <c r="R1057" s="25">
        <f>IF(P1057="En programación Frcst.",VLOOKUP(L1057,Meses!$A$1:$H$14,3+HLOOKUP(Cronograma!J1057,Meses!$D$1:$G$2,2,FALSE),FALSE),
IF(P1057="En programación",M1057,""))</f>
        <v>45316</v>
      </c>
      <c r="S1057" s="25" t="str">
        <f t="shared" si="50"/>
        <v>2024/1</v>
      </c>
      <c r="T1057" s="21">
        <f>IFERROR(
(VLOOKUP(MONTH(R1057),Meses!$B$3:$C$14,2,FALSE)-DAY(R1057))/VLOOKUP(MONTH(R1057),Meses!$B$3:$C$14,2,FALSE)*U1057,
"")</f>
        <v>0.19354838709677419</v>
      </c>
      <c r="U1057" s="22">
        <f t="shared" si="49"/>
        <v>1</v>
      </c>
    </row>
    <row r="1058" spans="1:21" ht="63" hidden="1" thickBot="1" x14ac:dyDescent="0.6">
      <c r="A1058" s="10" t="s">
        <v>1292</v>
      </c>
      <c r="B1058" s="10" t="s">
        <v>1349</v>
      </c>
      <c r="C1058" s="12"/>
      <c r="D1058" s="10" t="s">
        <v>23</v>
      </c>
      <c r="E1058" s="10" t="s">
        <v>23</v>
      </c>
      <c r="F1058" s="10">
        <v>159</v>
      </c>
      <c r="G1058" s="10" t="s">
        <v>15</v>
      </c>
      <c r="H1058" s="10" t="s">
        <v>2917</v>
      </c>
      <c r="I1058" s="10" t="s">
        <v>18</v>
      </c>
      <c r="J1058" s="10" t="s">
        <v>282</v>
      </c>
      <c r="K1058" s="10" t="s">
        <v>1119</v>
      </c>
      <c r="L1058" s="10" t="s">
        <v>1120</v>
      </c>
      <c r="M1058" s="12">
        <v>45358</v>
      </c>
      <c r="N1058" s="10" t="s">
        <v>15</v>
      </c>
      <c r="O1058" s="10" t="s">
        <v>2057</v>
      </c>
      <c r="P1058" s="25" t="str">
        <f>IFERROR(
IF(OR(O1058="anulado",O1058="stand by"),CONCATENATE(O1058,": ",H1058),
IF(OR(YEAR(M1058)=2022,YEAR(M1058)=2023),CONCATENATE("Se activó en ",YEAR(M1058)),
IF(AND(OR(O1058="En proceso",O1058="facturando"),AND(J1058="-",M1058="")),"Por revisar",
IF(M1058="",IF(J1058="NUEVAS",CONCATENATE("Estado: ",O1058,", ",J1058),
IF(L1058=Meses!$A$3,"Por revisar",
IF(H1058="","Sin registro","En programación Frcst."))),"En programación")))),
"Error")</f>
        <v>En programación</v>
      </c>
      <c r="Q1058" s="9" t="str">
        <f t="shared" si="48"/>
        <v/>
      </c>
      <c r="R1058" s="25">
        <f>IF(P1058="En programación Frcst.",VLOOKUP(L1058,Meses!$A$1:$H$14,3+HLOOKUP(Cronograma!J1058,Meses!$D$1:$G$2,2,FALSE),FALSE),
IF(P1058="En programación",M1058,""))</f>
        <v>45358</v>
      </c>
      <c r="S1058" s="25" t="str">
        <f t="shared" si="50"/>
        <v>2024/3</v>
      </c>
      <c r="T1058" s="21">
        <f>IFERROR(
(VLOOKUP(MONTH(R1058),Meses!$B$3:$C$14,2,FALSE)-DAY(R1058))/VLOOKUP(MONTH(R1058),Meses!$B$3:$C$14,2,FALSE)*U1058,
"")</f>
        <v>123.09677419354838</v>
      </c>
      <c r="U1058" s="22">
        <f t="shared" si="49"/>
        <v>159</v>
      </c>
    </row>
    <row r="1059" spans="1:21" ht="63" hidden="1" thickBot="1" x14ac:dyDescent="0.6">
      <c r="A1059" s="10" t="s">
        <v>1292</v>
      </c>
      <c r="B1059" s="10" t="s">
        <v>1350</v>
      </c>
      <c r="C1059" s="12">
        <v>45316</v>
      </c>
      <c r="D1059" s="10" t="s">
        <v>23</v>
      </c>
      <c r="E1059" s="10" t="s">
        <v>23</v>
      </c>
      <c r="F1059" s="10">
        <v>5967</v>
      </c>
      <c r="G1059" s="10" t="s">
        <v>15</v>
      </c>
      <c r="H1059" s="10" t="s">
        <v>17</v>
      </c>
      <c r="I1059" s="10" t="s">
        <v>18</v>
      </c>
      <c r="J1059" s="10" t="s">
        <v>292</v>
      </c>
      <c r="K1059" s="10" t="s">
        <v>293</v>
      </c>
      <c r="L1059" s="10" t="s">
        <v>279</v>
      </c>
      <c r="M1059" s="12"/>
      <c r="N1059" s="10" t="s">
        <v>15</v>
      </c>
      <c r="O1059" s="10" t="s">
        <v>2054</v>
      </c>
      <c r="P1059" s="25" t="str">
        <f>IFERROR(
IF(OR(O1059="anulado",O1059="stand by"),CONCATENATE(O1059,": ",H1059),
IF(OR(YEAR(M1059)=2022,YEAR(M1059)=2023),CONCATENATE("Se activó en ",YEAR(M1059)),
IF(AND(OR(O1059="En proceso",O1059="facturando"),AND(J1059="-",M1059="")),"Por revisar",
IF(M1059="",IF(J1059="NUEVAS",CONCATENATE("Estado: ",O1059,", ",J1059),
IF(L1059=Meses!$A$3,"Por revisar",
IF(H1059="","Sin registro","En programación Frcst."))),"En programación")))),
"Error")</f>
        <v>En programación Frcst.</v>
      </c>
      <c r="Q1059" s="9" t="str">
        <f t="shared" si="48"/>
        <v/>
      </c>
      <c r="R1059" s="25">
        <f>IF(P1059="En programación Frcst.",VLOOKUP(L1059,Meses!$A$1:$H$14,3+HLOOKUP(Cronograma!J1059,Meses!$D$1:$G$2,2,FALSE),FALSE),
IF(P1059="En programación",M1059,""))</f>
        <v>45316</v>
      </c>
      <c r="S1059" s="25" t="str">
        <f t="shared" si="50"/>
        <v>2024/1</v>
      </c>
      <c r="T1059" s="21">
        <f>IFERROR(
(VLOOKUP(MONTH(R1059),Meses!$B$3:$C$14,2,FALSE)-DAY(R1059))/VLOOKUP(MONTH(R1059),Meses!$B$3:$C$14,2,FALSE)*U1059,
"")</f>
        <v>1154.9032258064515</v>
      </c>
      <c r="U1059" s="22">
        <f t="shared" si="49"/>
        <v>5967</v>
      </c>
    </row>
    <row r="1060" spans="1:21" ht="63" hidden="1" thickBot="1" x14ac:dyDescent="0.6">
      <c r="A1060" s="10" t="s">
        <v>1292</v>
      </c>
      <c r="B1060" s="10" t="s">
        <v>1351</v>
      </c>
      <c r="C1060" s="12"/>
      <c r="D1060" s="10" t="s">
        <v>23</v>
      </c>
      <c r="E1060" s="10" t="s">
        <v>23</v>
      </c>
      <c r="F1060" s="10">
        <v>19205</v>
      </c>
      <c r="G1060" s="10" t="s">
        <v>15</v>
      </c>
      <c r="H1060" s="10" t="s">
        <v>2916</v>
      </c>
      <c r="I1060" s="10" t="s">
        <v>18</v>
      </c>
      <c r="J1060" s="10" t="s">
        <v>282</v>
      </c>
      <c r="K1060" s="10" t="s">
        <v>1119</v>
      </c>
      <c r="L1060" s="10" t="s">
        <v>1120</v>
      </c>
      <c r="M1060" s="12">
        <v>45358</v>
      </c>
      <c r="N1060" s="10" t="s">
        <v>15</v>
      </c>
      <c r="O1060" s="10" t="s">
        <v>2057</v>
      </c>
      <c r="P1060" s="25" t="str">
        <f>IFERROR(
IF(OR(O1060="anulado",O1060="stand by"),CONCATENATE(O1060,": ",H1060),
IF(OR(YEAR(M1060)=2022,YEAR(M1060)=2023),CONCATENATE("Se activó en ",YEAR(M1060)),
IF(AND(OR(O1060="En proceso",O1060="facturando"),AND(J1060="-",M1060="")),"Por revisar",
IF(M1060="",IF(J1060="NUEVAS",CONCATENATE("Estado: ",O1060,", ",J1060),
IF(L1060=Meses!$A$3,"Por revisar",
IF(H1060="","Sin registro","En programación Frcst."))),"En programación")))),
"Error")</f>
        <v>En programación</v>
      </c>
      <c r="Q1060" s="9" t="str">
        <f t="shared" si="48"/>
        <v/>
      </c>
      <c r="R1060" s="25">
        <f>IF(P1060="En programación Frcst.",VLOOKUP(L1060,Meses!$A$1:$H$14,3+HLOOKUP(Cronograma!J1060,Meses!$D$1:$G$2,2,FALSE),FALSE),
IF(P1060="En programación",M1060,""))</f>
        <v>45358</v>
      </c>
      <c r="S1060" s="25" t="str">
        <f t="shared" si="50"/>
        <v>2024/3</v>
      </c>
      <c r="T1060" s="21">
        <f>IFERROR(
(VLOOKUP(MONTH(R1060),Meses!$B$3:$C$14,2,FALSE)-DAY(R1060))/VLOOKUP(MONTH(R1060),Meses!$B$3:$C$14,2,FALSE)*U1060,
"")</f>
        <v>14868.387096774193</v>
      </c>
      <c r="U1060" s="22">
        <f t="shared" si="49"/>
        <v>19205</v>
      </c>
    </row>
    <row r="1061" spans="1:21" ht="63" hidden="1" thickBot="1" x14ac:dyDescent="0.6">
      <c r="A1061" s="10" t="s">
        <v>1292</v>
      </c>
      <c r="B1061" s="10" t="s">
        <v>1352</v>
      </c>
      <c r="C1061" s="12">
        <v>45316</v>
      </c>
      <c r="D1061" s="10" t="s">
        <v>23</v>
      </c>
      <c r="E1061" s="10" t="s">
        <v>23</v>
      </c>
      <c r="F1061" s="10">
        <v>1236</v>
      </c>
      <c r="G1061" s="10" t="s">
        <v>15</v>
      </c>
      <c r="H1061" s="10" t="s">
        <v>17</v>
      </c>
      <c r="I1061" s="10" t="s">
        <v>18</v>
      </c>
      <c r="J1061" s="10" t="s">
        <v>292</v>
      </c>
      <c r="K1061" s="10" t="s">
        <v>293</v>
      </c>
      <c r="L1061" s="10" t="s">
        <v>279</v>
      </c>
      <c r="M1061" s="12"/>
      <c r="N1061" s="10" t="s">
        <v>15</v>
      </c>
      <c r="O1061" s="10" t="s">
        <v>2054</v>
      </c>
      <c r="P1061" s="25" t="str">
        <f>IFERROR(
IF(OR(O1061="anulado",O1061="stand by"),CONCATENATE(O1061,": ",H1061),
IF(OR(YEAR(M1061)=2022,YEAR(M1061)=2023),CONCATENATE("Se activó en ",YEAR(M1061)),
IF(AND(OR(O1061="En proceso",O1061="facturando"),AND(J1061="-",M1061="")),"Por revisar",
IF(M1061="",IF(J1061="NUEVAS",CONCATENATE("Estado: ",O1061,", ",J1061),
IF(L1061=Meses!$A$3,"Por revisar",
IF(H1061="","Sin registro","En programación Frcst."))),"En programación")))),
"Error")</f>
        <v>En programación Frcst.</v>
      </c>
      <c r="Q1061" s="9" t="str">
        <f t="shared" si="48"/>
        <v/>
      </c>
      <c r="R1061" s="25">
        <f>IF(P1061="En programación Frcst.",VLOOKUP(L1061,Meses!$A$1:$H$14,3+HLOOKUP(Cronograma!J1061,Meses!$D$1:$G$2,2,FALSE),FALSE),
IF(P1061="En programación",M1061,""))</f>
        <v>45316</v>
      </c>
      <c r="S1061" s="25" t="str">
        <f t="shared" si="50"/>
        <v>2024/1</v>
      </c>
      <c r="T1061" s="21">
        <f>IFERROR(
(VLOOKUP(MONTH(R1061),Meses!$B$3:$C$14,2,FALSE)-DAY(R1061))/VLOOKUP(MONTH(R1061),Meses!$B$3:$C$14,2,FALSE)*U1061,
"")</f>
        <v>239.2258064516129</v>
      </c>
      <c r="U1061" s="22">
        <f t="shared" si="49"/>
        <v>1236</v>
      </c>
    </row>
    <row r="1062" spans="1:21" ht="63" hidden="1" thickBot="1" x14ac:dyDescent="0.6">
      <c r="A1062" s="10" t="s">
        <v>1292</v>
      </c>
      <c r="B1062" s="10" t="s">
        <v>1353</v>
      </c>
      <c r="C1062" s="12">
        <v>45316</v>
      </c>
      <c r="D1062" s="10" t="s">
        <v>23</v>
      </c>
      <c r="E1062" s="10" t="s">
        <v>23</v>
      </c>
      <c r="F1062" s="10">
        <v>843</v>
      </c>
      <c r="G1062" s="10" t="s">
        <v>15</v>
      </c>
      <c r="H1062" s="10" t="s">
        <v>17</v>
      </c>
      <c r="I1062" s="10" t="s">
        <v>18</v>
      </c>
      <c r="J1062" s="10" t="s">
        <v>292</v>
      </c>
      <c r="K1062" s="10" t="s">
        <v>293</v>
      </c>
      <c r="L1062" s="10" t="s">
        <v>279</v>
      </c>
      <c r="M1062" s="12"/>
      <c r="N1062" s="10" t="s">
        <v>15</v>
      </c>
      <c r="O1062" s="10" t="s">
        <v>2054</v>
      </c>
      <c r="P1062" s="25" t="str">
        <f>IFERROR(
IF(OR(O1062="anulado",O1062="stand by"),CONCATENATE(O1062,": ",H1062),
IF(OR(YEAR(M1062)=2022,YEAR(M1062)=2023),CONCATENATE("Se activó en ",YEAR(M1062)),
IF(AND(OR(O1062="En proceso",O1062="facturando"),AND(J1062="-",M1062="")),"Por revisar",
IF(M1062="",IF(J1062="NUEVAS",CONCATENATE("Estado: ",O1062,", ",J1062),
IF(L1062=Meses!$A$3,"Por revisar",
IF(H1062="","Sin registro","En programación Frcst."))),"En programación")))),
"Error")</f>
        <v>En programación Frcst.</v>
      </c>
      <c r="Q1062" s="9" t="str">
        <f t="shared" si="48"/>
        <v/>
      </c>
      <c r="R1062" s="25">
        <f>IF(P1062="En programación Frcst.",VLOOKUP(L1062,Meses!$A$1:$H$14,3+HLOOKUP(Cronograma!J1062,Meses!$D$1:$G$2,2,FALSE),FALSE),
IF(P1062="En programación",M1062,""))</f>
        <v>45316</v>
      </c>
      <c r="S1062" s="25" t="str">
        <f t="shared" si="50"/>
        <v>2024/1</v>
      </c>
      <c r="T1062" s="21">
        <f>IFERROR(
(VLOOKUP(MONTH(R1062),Meses!$B$3:$C$14,2,FALSE)-DAY(R1062))/VLOOKUP(MONTH(R1062),Meses!$B$3:$C$14,2,FALSE)*U1062,
"")</f>
        <v>163.16129032258064</v>
      </c>
      <c r="U1062" s="22">
        <f t="shared" si="49"/>
        <v>843</v>
      </c>
    </row>
    <row r="1063" spans="1:21" ht="63" hidden="1" thickBot="1" x14ac:dyDescent="0.6">
      <c r="A1063" s="10" t="s">
        <v>1292</v>
      </c>
      <c r="B1063" s="10" t="s">
        <v>1354</v>
      </c>
      <c r="C1063" s="12">
        <v>45316</v>
      </c>
      <c r="D1063" s="10" t="s">
        <v>23</v>
      </c>
      <c r="E1063" s="10" t="s">
        <v>23</v>
      </c>
      <c r="F1063" s="10">
        <v>0</v>
      </c>
      <c r="G1063" s="10" t="s">
        <v>15</v>
      </c>
      <c r="H1063" s="10" t="s">
        <v>17</v>
      </c>
      <c r="I1063" s="10" t="s">
        <v>18</v>
      </c>
      <c r="J1063" s="10" t="s">
        <v>292</v>
      </c>
      <c r="K1063" s="10" t="s">
        <v>293</v>
      </c>
      <c r="L1063" s="10" t="s">
        <v>279</v>
      </c>
      <c r="M1063" s="12"/>
      <c r="N1063" s="10" t="s">
        <v>15</v>
      </c>
      <c r="O1063" s="10" t="s">
        <v>2054</v>
      </c>
      <c r="P1063" s="25" t="str">
        <f>IFERROR(
IF(OR(O1063="anulado",O1063="stand by"),CONCATENATE(O1063,": ",H1063),
IF(OR(YEAR(M1063)=2022,YEAR(M1063)=2023),CONCATENATE("Se activó en ",YEAR(M1063)),
IF(AND(OR(O1063="En proceso",O1063="facturando"),AND(J1063="-",M1063="")),"Por revisar",
IF(M1063="",IF(J1063="NUEVAS",CONCATENATE("Estado: ",O1063,", ",J1063),
IF(L1063=Meses!$A$3,"Por revisar",
IF(H1063="","Sin registro","En programación Frcst."))),"En programación")))),
"Error")</f>
        <v>En programación Frcst.</v>
      </c>
      <c r="Q1063" s="9" t="str">
        <f t="shared" si="48"/>
        <v/>
      </c>
      <c r="R1063" s="25">
        <f>IF(P1063="En programación Frcst.",VLOOKUP(L1063,Meses!$A$1:$H$14,3+HLOOKUP(Cronograma!J1063,Meses!$D$1:$G$2,2,FALSE),FALSE),
IF(P1063="En programación",M1063,""))</f>
        <v>45316</v>
      </c>
      <c r="S1063" s="25" t="str">
        <f t="shared" si="50"/>
        <v>2024/1</v>
      </c>
      <c r="T1063" s="21">
        <f>IFERROR(
(VLOOKUP(MONTH(R1063),Meses!$B$3:$C$14,2,FALSE)-DAY(R1063))/VLOOKUP(MONTH(R1063),Meses!$B$3:$C$14,2,FALSE)*U1063,
"")</f>
        <v>0</v>
      </c>
      <c r="U1063" s="22">
        <f t="shared" si="49"/>
        <v>0</v>
      </c>
    </row>
    <row r="1064" spans="1:21" ht="63" hidden="1" thickBot="1" x14ac:dyDescent="0.6">
      <c r="A1064" s="10" t="s">
        <v>1292</v>
      </c>
      <c r="B1064" s="10" t="s">
        <v>1355</v>
      </c>
      <c r="C1064" s="12">
        <v>45316</v>
      </c>
      <c r="D1064" s="10" t="s">
        <v>23</v>
      </c>
      <c r="E1064" s="10" t="s">
        <v>23</v>
      </c>
      <c r="F1064" s="10">
        <v>1284</v>
      </c>
      <c r="G1064" s="10" t="s">
        <v>15</v>
      </c>
      <c r="H1064" s="10" t="s">
        <v>17</v>
      </c>
      <c r="I1064" s="10" t="s">
        <v>18</v>
      </c>
      <c r="J1064" s="10" t="s">
        <v>292</v>
      </c>
      <c r="K1064" s="10" t="s">
        <v>293</v>
      </c>
      <c r="L1064" s="10" t="s">
        <v>279</v>
      </c>
      <c r="M1064" s="12"/>
      <c r="N1064" s="10" t="s">
        <v>15</v>
      </c>
      <c r="O1064" s="10" t="s">
        <v>2054</v>
      </c>
      <c r="P1064" s="25" t="str">
        <f>IFERROR(
IF(OR(O1064="anulado",O1064="stand by"),CONCATENATE(O1064,": ",H1064),
IF(OR(YEAR(M1064)=2022,YEAR(M1064)=2023),CONCATENATE("Se activó en ",YEAR(M1064)),
IF(AND(OR(O1064="En proceso",O1064="facturando"),AND(J1064="-",M1064="")),"Por revisar",
IF(M1064="",IF(J1064="NUEVAS",CONCATENATE("Estado: ",O1064,", ",J1064),
IF(L1064=Meses!$A$3,"Por revisar",
IF(H1064="","Sin registro","En programación Frcst."))),"En programación")))),
"Error")</f>
        <v>En programación Frcst.</v>
      </c>
      <c r="Q1064" s="9" t="str">
        <f t="shared" si="48"/>
        <v/>
      </c>
      <c r="R1064" s="25">
        <f>IF(P1064="En programación Frcst.",VLOOKUP(L1064,Meses!$A$1:$H$14,3+HLOOKUP(Cronograma!J1064,Meses!$D$1:$G$2,2,FALSE),FALSE),
IF(P1064="En programación",M1064,""))</f>
        <v>45316</v>
      </c>
      <c r="S1064" s="25" t="str">
        <f t="shared" si="50"/>
        <v>2024/1</v>
      </c>
      <c r="T1064" s="21">
        <f>IFERROR(
(VLOOKUP(MONTH(R1064),Meses!$B$3:$C$14,2,FALSE)-DAY(R1064))/VLOOKUP(MONTH(R1064),Meses!$B$3:$C$14,2,FALSE)*U1064,
"")</f>
        <v>248.51612903225805</v>
      </c>
      <c r="U1064" s="22">
        <f t="shared" si="49"/>
        <v>1284</v>
      </c>
    </row>
    <row r="1065" spans="1:21" ht="63" hidden="1" thickBot="1" x14ac:dyDescent="0.6">
      <c r="A1065" s="10" t="s">
        <v>1292</v>
      </c>
      <c r="B1065" s="10" t="s">
        <v>1356</v>
      </c>
      <c r="C1065" s="12">
        <v>45316</v>
      </c>
      <c r="D1065" s="10" t="s">
        <v>23</v>
      </c>
      <c r="E1065" s="10" t="s">
        <v>23</v>
      </c>
      <c r="F1065" s="10">
        <v>5564</v>
      </c>
      <c r="G1065" s="10" t="s">
        <v>15</v>
      </c>
      <c r="H1065" s="10" t="s">
        <v>17</v>
      </c>
      <c r="I1065" s="10" t="s">
        <v>18</v>
      </c>
      <c r="J1065" s="10" t="s">
        <v>292</v>
      </c>
      <c r="K1065" s="10" t="s">
        <v>293</v>
      </c>
      <c r="L1065" s="10" t="s">
        <v>279</v>
      </c>
      <c r="M1065" s="12"/>
      <c r="N1065" s="10" t="s">
        <v>15</v>
      </c>
      <c r="O1065" s="10" t="s">
        <v>2054</v>
      </c>
      <c r="P1065" s="25" t="str">
        <f>IFERROR(
IF(OR(O1065="anulado",O1065="stand by"),CONCATENATE(O1065,": ",H1065),
IF(OR(YEAR(M1065)=2022,YEAR(M1065)=2023),CONCATENATE("Se activó en ",YEAR(M1065)),
IF(AND(OR(O1065="En proceso",O1065="facturando"),AND(J1065="-",M1065="")),"Por revisar",
IF(M1065="",IF(J1065="NUEVAS",CONCATENATE("Estado: ",O1065,", ",J1065),
IF(L1065=Meses!$A$3,"Por revisar",
IF(H1065="","Sin registro","En programación Frcst."))),"En programación")))),
"Error")</f>
        <v>En programación Frcst.</v>
      </c>
      <c r="Q1065" s="9" t="str">
        <f t="shared" si="48"/>
        <v/>
      </c>
      <c r="R1065" s="25">
        <f>IF(P1065="En programación Frcst.",VLOOKUP(L1065,Meses!$A$1:$H$14,3+HLOOKUP(Cronograma!J1065,Meses!$D$1:$G$2,2,FALSE),FALSE),
IF(P1065="En programación",M1065,""))</f>
        <v>45316</v>
      </c>
      <c r="S1065" s="25" t="str">
        <f t="shared" si="50"/>
        <v>2024/1</v>
      </c>
      <c r="T1065" s="21">
        <f>IFERROR(
(VLOOKUP(MONTH(R1065),Meses!$B$3:$C$14,2,FALSE)-DAY(R1065))/VLOOKUP(MONTH(R1065),Meses!$B$3:$C$14,2,FALSE)*U1065,
"")</f>
        <v>1076.9032258064515</v>
      </c>
      <c r="U1065" s="22">
        <f t="shared" si="49"/>
        <v>5564</v>
      </c>
    </row>
    <row r="1066" spans="1:21" ht="63" hidden="1" thickBot="1" x14ac:dyDescent="0.6">
      <c r="A1066" s="10" t="s">
        <v>1292</v>
      </c>
      <c r="B1066" s="10" t="s">
        <v>1357</v>
      </c>
      <c r="C1066" s="12">
        <v>45316</v>
      </c>
      <c r="D1066" s="10" t="s">
        <v>23</v>
      </c>
      <c r="E1066" s="10" t="s">
        <v>23</v>
      </c>
      <c r="F1066" s="10">
        <v>293</v>
      </c>
      <c r="G1066" s="10" t="s">
        <v>15</v>
      </c>
      <c r="H1066" s="10" t="s">
        <v>17</v>
      </c>
      <c r="I1066" s="10" t="s">
        <v>18</v>
      </c>
      <c r="J1066" s="10" t="s">
        <v>292</v>
      </c>
      <c r="K1066" s="10" t="s">
        <v>293</v>
      </c>
      <c r="L1066" s="10" t="s">
        <v>279</v>
      </c>
      <c r="M1066" s="12"/>
      <c r="N1066" s="10" t="s">
        <v>15</v>
      </c>
      <c r="O1066" s="10" t="s">
        <v>2054</v>
      </c>
      <c r="P1066" s="25" t="str">
        <f>IFERROR(
IF(OR(O1066="anulado",O1066="stand by"),CONCATENATE(O1066,": ",H1066),
IF(OR(YEAR(M1066)=2022,YEAR(M1066)=2023),CONCATENATE("Se activó en ",YEAR(M1066)),
IF(AND(OR(O1066="En proceso",O1066="facturando"),AND(J1066="-",M1066="")),"Por revisar",
IF(M1066="",IF(J1066="NUEVAS",CONCATENATE("Estado: ",O1066,", ",J1066),
IF(L1066=Meses!$A$3,"Por revisar",
IF(H1066="","Sin registro","En programación Frcst."))),"En programación")))),
"Error")</f>
        <v>En programación Frcst.</v>
      </c>
      <c r="Q1066" s="9" t="str">
        <f t="shared" si="48"/>
        <v/>
      </c>
      <c r="R1066" s="25">
        <f>IF(P1066="En programación Frcst.",VLOOKUP(L1066,Meses!$A$1:$H$14,3+HLOOKUP(Cronograma!J1066,Meses!$D$1:$G$2,2,FALSE),FALSE),
IF(P1066="En programación",M1066,""))</f>
        <v>45316</v>
      </c>
      <c r="S1066" s="25" t="str">
        <f t="shared" si="50"/>
        <v>2024/1</v>
      </c>
      <c r="T1066" s="21">
        <f>IFERROR(
(VLOOKUP(MONTH(R1066),Meses!$B$3:$C$14,2,FALSE)-DAY(R1066))/VLOOKUP(MONTH(R1066),Meses!$B$3:$C$14,2,FALSE)*U1066,
"")</f>
        <v>56.70967741935484</v>
      </c>
      <c r="U1066" s="22">
        <f t="shared" si="49"/>
        <v>293</v>
      </c>
    </row>
    <row r="1067" spans="1:21" ht="63" hidden="1" thickBot="1" x14ac:dyDescent="0.6">
      <c r="A1067" s="10" t="s">
        <v>1292</v>
      </c>
      <c r="B1067" s="10" t="s">
        <v>1358</v>
      </c>
      <c r="C1067" s="12">
        <v>45316</v>
      </c>
      <c r="D1067" s="10" t="s">
        <v>23</v>
      </c>
      <c r="E1067" s="10" t="s">
        <v>23</v>
      </c>
      <c r="F1067" s="10">
        <v>2242</v>
      </c>
      <c r="G1067" s="10" t="s">
        <v>15</v>
      </c>
      <c r="H1067" s="10" t="s">
        <v>17</v>
      </c>
      <c r="I1067" s="10" t="s">
        <v>18</v>
      </c>
      <c r="J1067" s="10" t="s">
        <v>292</v>
      </c>
      <c r="K1067" s="10" t="s">
        <v>293</v>
      </c>
      <c r="L1067" s="10" t="s">
        <v>279</v>
      </c>
      <c r="M1067" s="12"/>
      <c r="N1067" s="10" t="s">
        <v>15</v>
      </c>
      <c r="O1067" s="10" t="s">
        <v>2054</v>
      </c>
      <c r="P1067" s="25" t="str">
        <f>IFERROR(
IF(OR(O1067="anulado",O1067="stand by"),CONCATENATE(O1067,": ",H1067),
IF(OR(YEAR(M1067)=2022,YEAR(M1067)=2023),CONCATENATE("Se activó en ",YEAR(M1067)),
IF(AND(OR(O1067="En proceso",O1067="facturando"),AND(J1067="-",M1067="")),"Por revisar",
IF(M1067="",IF(J1067="NUEVAS",CONCATENATE("Estado: ",O1067,", ",J1067),
IF(L1067=Meses!$A$3,"Por revisar",
IF(H1067="","Sin registro","En programación Frcst."))),"En programación")))),
"Error")</f>
        <v>En programación Frcst.</v>
      </c>
      <c r="Q1067" s="9" t="str">
        <f t="shared" si="48"/>
        <v/>
      </c>
      <c r="R1067" s="25">
        <f>IF(P1067="En programación Frcst.",VLOOKUP(L1067,Meses!$A$1:$H$14,3+HLOOKUP(Cronograma!J1067,Meses!$D$1:$G$2,2,FALSE),FALSE),
IF(P1067="En programación",M1067,""))</f>
        <v>45316</v>
      </c>
      <c r="S1067" s="25" t="str">
        <f t="shared" si="50"/>
        <v>2024/1</v>
      </c>
      <c r="T1067" s="21">
        <f>IFERROR(
(VLOOKUP(MONTH(R1067),Meses!$B$3:$C$14,2,FALSE)-DAY(R1067))/VLOOKUP(MONTH(R1067),Meses!$B$3:$C$14,2,FALSE)*U1067,
"")</f>
        <v>433.93548387096774</v>
      </c>
      <c r="U1067" s="22">
        <f t="shared" si="49"/>
        <v>2242</v>
      </c>
    </row>
    <row r="1068" spans="1:21" ht="63" hidden="1" thickBot="1" x14ac:dyDescent="0.6">
      <c r="A1068" s="10" t="s">
        <v>1292</v>
      </c>
      <c r="B1068" s="10" t="s">
        <v>1359</v>
      </c>
      <c r="C1068" s="12"/>
      <c r="D1068" s="10" t="s">
        <v>23</v>
      </c>
      <c r="E1068" s="10" t="s">
        <v>23</v>
      </c>
      <c r="F1068" s="10">
        <v>405</v>
      </c>
      <c r="G1068" s="10" t="s">
        <v>15</v>
      </c>
      <c r="H1068" s="10" t="s">
        <v>2917</v>
      </c>
      <c r="I1068" s="10" t="s">
        <v>18</v>
      </c>
      <c r="J1068" s="10" t="s">
        <v>282</v>
      </c>
      <c r="K1068" s="10" t="s">
        <v>1119</v>
      </c>
      <c r="L1068" s="10" t="s">
        <v>1120</v>
      </c>
      <c r="M1068" s="12">
        <v>45358</v>
      </c>
      <c r="N1068" s="10" t="s">
        <v>15</v>
      </c>
      <c r="O1068" s="10" t="s">
        <v>2057</v>
      </c>
      <c r="P1068" s="25" t="str">
        <f>IFERROR(
IF(OR(O1068="anulado",O1068="stand by"),CONCATENATE(O1068,": ",H1068),
IF(OR(YEAR(M1068)=2022,YEAR(M1068)=2023),CONCATENATE("Se activó en ",YEAR(M1068)),
IF(AND(OR(O1068="En proceso",O1068="facturando"),AND(J1068="-",M1068="")),"Por revisar",
IF(M1068="",IF(J1068="NUEVAS",CONCATENATE("Estado: ",O1068,", ",J1068),
IF(L1068=Meses!$A$3,"Por revisar",
IF(H1068="","Sin registro","En programación Frcst."))),"En programación")))),
"Error")</f>
        <v>En programación</v>
      </c>
      <c r="Q1068" s="9" t="str">
        <f t="shared" si="48"/>
        <v/>
      </c>
      <c r="R1068" s="25">
        <f>IF(P1068="En programación Frcst.",VLOOKUP(L1068,Meses!$A$1:$H$14,3+HLOOKUP(Cronograma!J1068,Meses!$D$1:$G$2,2,FALSE),FALSE),
IF(P1068="En programación",M1068,""))</f>
        <v>45358</v>
      </c>
      <c r="S1068" s="25" t="str">
        <f t="shared" si="50"/>
        <v>2024/3</v>
      </c>
      <c r="T1068" s="21">
        <f>IFERROR(
(VLOOKUP(MONTH(R1068),Meses!$B$3:$C$14,2,FALSE)-DAY(R1068))/VLOOKUP(MONTH(R1068),Meses!$B$3:$C$14,2,FALSE)*U1068,
"")</f>
        <v>313.54838709677421</v>
      </c>
      <c r="U1068" s="22">
        <f t="shared" si="49"/>
        <v>405</v>
      </c>
    </row>
    <row r="1069" spans="1:21" ht="63" hidden="1" thickBot="1" x14ac:dyDescent="0.6">
      <c r="A1069" s="10" t="s">
        <v>1292</v>
      </c>
      <c r="B1069" s="10" t="s">
        <v>1360</v>
      </c>
      <c r="C1069" s="12"/>
      <c r="D1069" s="10" t="s">
        <v>23</v>
      </c>
      <c r="E1069" s="10" t="s">
        <v>23</v>
      </c>
      <c r="F1069" s="10">
        <v>504</v>
      </c>
      <c r="G1069" s="10" t="s">
        <v>15</v>
      </c>
      <c r="H1069" s="10" t="s">
        <v>2917</v>
      </c>
      <c r="I1069" s="10" t="s">
        <v>18</v>
      </c>
      <c r="J1069" s="10" t="s">
        <v>282</v>
      </c>
      <c r="K1069" s="10" t="s">
        <v>1119</v>
      </c>
      <c r="L1069" s="10" t="s">
        <v>1120</v>
      </c>
      <c r="M1069" s="12">
        <v>45358</v>
      </c>
      <c r="N1069" s="10" t="s">
        <v>15</v>
      </c>
      <c r="O1069" s="10" t="s">
        <v>2057</v>
      </c>
      <c r="P1069" s="25" t="str">
        <f>IFERROR(
IF(OR(O1069="anulado",O1069="stand by"),CONCATENATE(O1069,": ",H1069),
IF(OR(YEAR(M1069)=2022,YEAR(M1069)=2023),CONCATENATE("Se activó en ",YEAR(M1069)),
IF(AND(OR(O1069="En proceso",O1069="facturando"),AND(J1069="-",M1069="")),"Por revisar",
IF(M1069="",IF(J1069="NUEVAS",CONCATENATE("Estado: ",O1069,", ",J1069),
IF(L1069=Meses!$A$3,"Por revisar",
IF(H1069="","Sin registro","En programación Frcst."))),"En programación")))),
"Error")</f>
        <v>En programación</v>
      </c>
      <c r="Q1069" s="9" t="str">
        <f t="shared" si="48"/>
        <v/>
      </c>
      <c r="R1069" s="25">
        <f>IF(P1069="En programación Frcst.",VLOOKUP(L1069,Meses!$A$1:$H$14,3+HLOOKUP(Cronograma!J1069,Meses!$D$1:$G$2,2,FALSE),FALSE),
IF(P1069="En programación",M1069,""))</f>
        <v>45358</v>
      </c>
      <c r="S1069" s="25" t="str">
        <f t="shared" si="50"/>
        <v>2024/3</v>
      </c>
      <c r="T1069" s="21">
        <f>IFERROR(
(VLOOKUP(MONTH(R1069),Meses!$B$3:$C$14,2,FALSE)-DAY(R1069))/VLOOKUP(MONTH(R1069),Meses!$B$3:$C$14,2,FALSE)*U1069,
"")</f>
        <v>390.19354838709677</v>
      </c>
      <c r="U1069" s="22">
        <f t="shared" si="49"/>
        <v>504</v>
      </c>
    </row>
    <row r="1070" spans="1:21" ht="63" hidden="1" thickBot="1" x14ac:dyDescent="0.6">
      <c r="A1070" s="10" t="s">
        <v>1292</v>
      </c>
      <c r="B1070" s="10" t="s">
        <v>1361</v>
      </c>
      <c r="C1070" s="12">
        <v>45316</v>
      </c>
      <c r="D1070" s="10" t="s">
        <v>23</v>
      </c>
      <c r="E1070" s="10" t="s">
        <v>23</v>
      </c>
      <c r="F1070" s="10">
        <v>1135</v>
      </c>
      <c r="G1070" s="10" t="s">
        <v>15</v>
      </c>
      <c r="H1070" s="10" t="s">
        <v>17</v>
      </c>
      <c r="I1070" s="10" t="s">
        <v>18</v>
      </c>
      <c r="J1070" s="10" t="s">
        <v>292</v>
      </c>
      <c r="K1070" s="10" t="s">
        <v>293</v>
      </c>
      <c r="L1070" s="10" t="s">
        <v>279</v>
      </c>
      <c r="M1070" s="12"/>
      <c r="N1070" s="10" t="s">
        <v>15</v>
      </c>
      <c r="O1070" s="10" t="s">
        <v>2054</v>
      </c>
      <c r="P1070" s="25" t="str">
        <f>IFERROR(
IF(OR(O1070="anulado",O1070="stand by"),CONCATENATE(O1070,": ",H1070),
IF(OR(YEAR(M1070)=2022,YEAR(M1070)=2023),CONCATENATE("Se activó en ",YEAR(M1070)),
IF(AND(OR(O1070="En proceso",O1070="facturando"),AND(J1070="-",M1070="")),"Por revisar",
IF(M1070="",IF(J1070="NUEVAS",CONCATENATE("Estado: ",O1070,", ",J1070),
IF(L1070=Meses!$A$3,"Por revisar",
IF(H1070="","Sin registro","En programación Frcst."))),"En programación")))),
"Error")</f>
        <v>En programación Frcst.</v>
      </c>
      <c r="Q1070" s="9" t="str">
        <f t="shared" si="48"/>
        <v/>
      </c>
      <c r="R1070" s="25">
        <f>IF(P1070="En programación Frcst.",VLOOKUP(L1070,Meses!$A$1:$H$14,3+HLOOKUP(Cronograma!J1070,Meses!$D$1:$G$2,2,FALSE),FALSE),
IF(P1070="En programación",M1070,""))</f>
        <v>45316</v>
      </c>
      <c r="S1070" s="25" t="str">
        <f t="shared" si="50"/>
        <v>2024/1</v>
      </c>
      <c r="T1070" s="21">
        <f>IFERROR(
(VLOOKUP(MONTH(R1070),Meses!$B$3:$C$14,2,FALSE)-DAY(R1070))/VLOOKUP(MONTH(R1070),Meses!$B$3:$C$14,2,FALSE)*U1070,
"")</f>
        <v>219.67741935483869</v>
      </c>
      <c r="U1070" s="22">
        <f t="shared" si="49"/>
        <v>1135</v>
      </c>
    </row>
    <row r="1071" spans="1:21" ht="63" hidden="1" thickBot="1" x14ac:dyDescent="0.6">
      <c r="A1071" s="10" t="s">
        <v>1292</v>
      </c>
      <c r="B1071" s="10" t="s">
        <v>1362</v>
      </c>
      <c r="C1071" s="12">
        <v>45316</v>
      </c>
      <c r="D1071" s="10" t="s">
        <v>23</v>
      </c>
      <c r="E1071" s="10" t="s">
        <v>23</v>
      </c>
      <c r="F1071" s="10">
        <v>0</v>
      </c>
      <c r="G1071" s="10" t="s">
        <v>15</v>
      </c>
      <c r="H1071" s="10" t="s">
        <v>17</v>
      </c>
      <c r="I1071" s="10" t="s">
        <v>18</v>
      </c>
      <c r="J1071" s="10" t="s">
        <v>292</v>
      </c>
      <c r="K1071" s="10" t="s">
        <v>293</v>
      </c>
      <c r="L1071" s="10" t="s">
        <v>279</v>
      </c>
      <c r="M1071" s="12"/>
      <c r="N1071" s="10" t="s">
        <v>15</v>
      </c>
      <c r="O1071" s="10" t="s">
        <v>2054</v>
      </c>
      <c r="P1071" s="25" t="str">
        <f>IFERROR(
IF(OR(O1071="anulado",O1071="stand by"),CONCATENATE(O1071,": ",H1071),
IF(OR(YEAR(M1071)=2022,YEAR(M1071)=2023),CONCATENATE("Se activó en ",YEAR(M1071)),
IF(AND(OR(O1071="En proceso",O1071="facturando"),AND(J1071="-",M1071="")),"Por revisar",
IF(M1071="",IF(J1071="NUEVAS",CONCATENATE("Estado: ",O1071,", ",J1071),
IF(L1071=Meses!$A$3,"Por revisar",
IF(H1071="","Sin registro","En programación Frcst."))),"En programación")))),
"Error")</f>
        <v>En programación Frcst.</v>
      </c>
      <c r="Q1071" s="9" t="str">
        <f t="shared" si="48"/>
        <v/>
      </c>
      <c r="R1071" s="25">
        <f>IF(P1071="En programación Frcst.",VLOOKUP(L1071,Meses!$A$1:$H$14,3+HLOOKUP(Cronograma!J1071,Meses!$D$1:$G$2,2,FALSE),FALSE),
IF(P1071="En programación",M1071,""))</f>
        <v>45316</v>
      </c>
      <c r="S1071" s="25" t="str">
        <f t="shared" si="50"/>
        <v>2024/1</v>
      </c>
      <c r="T1071" s="21">
        <f>IFERROR(
(VLOOKUP(MONTH(R1071),Meses!$B$3:$C$14,2,FALSE)-DAY(R1071))/VLOOKUP(MONTH(R1071),Meses!$B$3:$C$14,2,FALSE)*U1071,
"")</f>
        <v>0</v>
      </c>
      <c r="U1071" s="22">
        <f t="shared" si="49"/>
        <v>0</v>
      </c>
    </row>
    <row r="1072" spans="1:21" ht="63" hidden="1" thickBot="1" x14ac:dyDescent="0.6">
      <c r="A1072" s="10" t="s">
        <v>1292</v>
      </c>
      <c r="B1072" s="10" t="s">
        <v>1363</v>
      </c>
      <c r="C1072" s="12">
        <v>45316</v>
      </c>
      <c r="D1072" s="10" t="s">
        <v>23</v>
      </c>
      <c r="E1072" s="10" t="s">
        <v>23</v>
      </c>
      <c r="F1072" s="10">
        <v>0</v>
      </c>
      <c r="G1072" s="10" t="s">
        <v>15</v>
      </c>
      <c r="H1072" s="10" t="s">
        <v>17</v>
      </c>
      <c r="I1072" s="10" t="s">
        <v>18</v>
      </c>
      <c r="J1072" s="10" t="s">
        <v>292</v>
      </c>
      <c r="K1072" s="10" t="s">
        <v>293</v>
      </c>
      <c r="L1072" s="10" t="s">
        <v>279</v>
      </c>
      <c r="M1072" s="12"/>
      <c r="N1072" s="10" t="s">
        <v>15</v>
      </c>
      <c r="O1072" s="10" t="s">
        <v>2054</v>
      </c>
      <c r="P1072" s="25" t="str">
        <f>IFERROR(
IF(OR(O1072="anulado",O1072="stand by"),CONCATENATE(O1072,": ",H1072),
IF(OR(YEAR(M1072)=2022,YEAR(M1072)=2023),CONCATENATE("Se activó en ",YEAR(M1072)),
IF(AND(OR(O1072="En proceso",O1072="facturando"),AND(J1072="-",M1072="")),"Por revisar",
IF(M1072="",IF(J1072="NUEVAS",CONCATENATE("Estado: ",O1072,", ",J1072),
IF(L1072=Meses!$A$3,"Por revisar",
IF(H1072="","Sin registro","En programación Frcst."))),"En programación")))),
"Error")</f>
        <v>En programación Frcst.</v>
      </c>
      <c r="Q1072" s="9" t="str">
        <f t="shared" si="48"/>
        <v/>
      </c>
      <c r="R1072" s="25">
        <f>IF(P1072="En programación Frcst.",VLOOKUP(L1072,Meses!$A$1:$H$14,3+HLOOKUP(Cronograma!J1072,Meses!$D$1:$G$2,2,FALSE),FALSE),
IF(P1072="En programación",M1072,""))</f>
        <v>45316</v>
      </c>
      <c r="S1072" s="25" t="str">
        <f t="shared" si="50"/>
        <v>2024/1</v>
      </c>
      <c r="T1072" s="21">
        <f>IFERROR(
(VLOOKUP(MONTH(R1072),Meses!$B$3:$C$14,2,FALSE)-DAY(R1072))/VLOOKUP(MONTH(R1072),Meses!$B$3:$C$14,2,FALSE)*U1072,
"")</f>
        <v>0</v>
      </c>
      <c r="U1072" s="22">
        <f t="shared" si="49"/>
        <v>0</v>
      </c>
    </row>
    <row r="1073" spans="1:21" ht="63" hidden="1" thickBot="1" x14ac:dyDescent="0.6">
      <c r="A1073" s="10" t="s">
        <v>1292</v>
      </c>
      <c r="B1073" s="10" t="s">
        <v>1364</v>
      </c>
      <c r="C1073" s="12">
        <v>45316</v>
      </c>
      <c r="D1073" s="10" t="s">
        <v>23</v>
      </c>
      <c r="E1073" s="10" t="s">
        <v>23</v>
      </c>
      <c r="F1073" s="10">
        <v>0</v>
      </c>
      <c r="G1073" s="10" t="s">
        <v>15</v>
      </c>
      <c r="H1073" s="10" t="s">
        <v>17</v>
      </c>
      <c r="I1073" s="10" t="s">
        <v>18</v>
      </c>
      <c r="J1073" s="10" t="s">
        <v>292</v>
      </c>
      <c r="K1073" s="10" t="s">
        <v>293</v>
      </c>
      <c r="L1073" s="10" t="s">
        <v>279</v>
      </c>
      <c r="M1073" s="12"/>
      <c r="N1073" s="10" t="s">
        <v>15</v>
      </c>
      <c r="O1073" s="10" t="s">
        <v>2054</v>
      </c>
      <c r="P1073" s="25" t="str">
        <f>IFERROR(
IF(OR(O1073="anulado",O1073="stand by"),CONCATENATE(O1073,": ",H1073),
IF(OR(YEAR(M1073)=2022,YEAR(M1073)=2023),CONCATENATE("Se activó en ",YEAR(M1073)),
IF(AND(OR(O1073="En proceso",O1073="facturando"),AND(J1073="-",M1073="")),"Por revisar",
IF(M1073="",IF(J1073="NUEVAS",CONCATENATE("Estado: ",O1073,", ",J1073),
IF(L1073=Meses!$A$3,"Por revisar",
IF(H1073="","Sin registro","En programación Frcst."))),"En programación")))),
"Error")</f>
        <v>En programación Frcst.</v>
      </c>
      <c r="Q1073" s="9" t="str">
        <f t="shared" si="48"/>
        <v/>
      </c>
      <c r="R1073" s="25">
        <f>IF(P1073="En programación Frcst.",VLOOKUP(L1073,Meses!$A$1:$H$14,3+HLOOKUP(Cronograma!J1073,Meses!$D$1:$G$2,2,FALSE),FALSE),
IF(P1073="En programación",M1073,""))</f>
        <v>45316</v>
      </c>
      <c r="S1073" s="25" t="str">
        <f t="shared" si="50"/>
        <v>2024/1</v>
      </c>
      <c r="T1073" s="21">
        <f>IFERROR(
(VLOOKUP(MONTH(R1073),Meses!$B$3:$C$14,2,FALSE)-DAY(R1073))/VLOOKUP(MONTH(R1073),Meses!$B$3:$C$14,2,FALSE)*U1073,
"")</f>
        <v>0</v>
      </c>
      <c r="U1073" s="22">
        <f t="shared" si="49"/>
        <v>0</v>
      </c>
    </row>
    <row r="1074" spans="1:21" ht="63" hidden="1" thickBot="1" x14ac:dyDescent="0.6">
      <c r="A1074" s="10" t="s">
        <v>1292</v>
      </c>
      <c r="B1074" s="10" t="s">
        <v>1365</v>
      </c>
      <c r="C1074" s="12"/>
      <c r="D1074" s="10" t="s">
        <v>23</v>
      </c>
      <c r="E1074" s="10" t="s">
        <v>23</v>
      </c>
      <c r="F1074" s="10">
        <v>92</v>
      </c>
      <c r="G1074" s="10" t="s">
        <v>15</v>
      </c>
      <c r="H1074" s="10" t="s">
        <v>2917</v>
      </c>
      <c r="I1074" s="10" t="s">
        <v>18</v>
      </c>
      <c r="J1074" s="10" t="s">
        <v>282</v>
      </c>
      <c r="K1074" s="10" t="s">
        <v>1119</v>
      </c>
      <c r="L1074" s="10" t="s">
        <v>1120</v>
      </c>
      <c r="M1074" s="12">
        <v>45358</v>
      </c>
      <c r="N1074" s="10" t="s">
        <v>15</v>
      </c>
      <c r="O1074" s="10" t="s">
        <v>2057</v>
      </c>
      <c r="P1074" s="25" t="str">
        <f>IFERROR(
IF(OR(O1074="anulado",O1074="stand by"),CONCATENATE(O1074,": ",H1074),
IF(OR(YEAR(M1074)=2022,YEAR(M1074)=2023),CONCATENATE("Se activó en ",YEAR(M1074)),
IF(AND(OR(O1074="En proceso",O1074="facturando"),AND(J1074="-",M1074="")),"Por revisar",
IF(M1074="",IF(J1074="NUEVAS",CONCATENATE("Estado: ",O1074,", ",J1074),
IF(L1074=Meses!$A$3,"Por revisar",
IF(H1074="","Sin registro","En programación Frcst."))),"En programación")))),
"Error")</f>
        <v>En programación</v>
      </c>
      <c r="Q1074" s="9" t="str">
        <f t="shared" si="48"/>
        <v/>
      </c>
      <c r="R1074" s="25">
        <f>IF(P1074="En programación Frcst.",VLOOKUP(L1074,Meses!$A$1:$H$14,3+HLOOKUP(Cronograma!J1074,Meses!$D$1:$G$2,2,FALSE),FALSE),
IF(P1074="En programación",M1074,""))</f>
        <v>45358</v>
      </c>
      <c r="S1074" s="25" t="str">
        <f t="shared" si="50"/>
        <v>2024/3</v>
      </c>
      <c r="T1074" s="21">
        <f>IFERROR(
(VLOOKUP(MONTH(R1074),Meses!$B$3:$C$14,2,FALSE)-DAY(R1074))/VLOOKUP(MONTH(R1074),Meses!$B$3:$C$14,2,FALSE)*U1074,
"")</f>
        <v>71.225806451612897</v>
      </c>
      <c r="U1074" s="22">
        <f t="shared" si="49"/>
        <v>92</v>
      </c>
    </row>
    <row r="1075" spans="1:21" ht="63" hidden="1" thickBot="1" x14ac:dyDescent="0.6">
      <c r="A1075" s="10" t="s">
        <v>1292</v>
      </c>
      <c r="B1075" s="10" t="s">
        <v>1366</v>
      </c>
      <c r="C1075" s="12"/>
      <c r="D1075" s="10" t="s">
        <v>23</v>
      </c>
      <c r="E1075" s="10" t="s">
        <v>23</v>
      </c>
      <c r="F1075" s="10">
        <v>34</v>
      </c>
      <c r="G1075" s="10" t="s">
        <v>15</v>
      </c>
      <c r="H1075" s="10" t="s">
        <v>2917</v>
      </c>
      <c r="I1075" s="10" t="s">
        <v>18</v>
      </c>
      <c r="J1075" s="10" t="s">
        <v>282</v>
      </c>
      <c r="K1075" s="10" t="s">
        <v>1119</v>
      </c>
      <c r="L1075" s="10" t="s">
        <v>1120</v>
      </c>
      <c r="M1075" s="12">
        <v>45358</v>
      </c>
      <c r="N1075" s="10" t="s">
        <v>15</v>
      </c>
      <c r="O1075" s="10" t="s">
        <v>2057</v>
      </c>
      <c r="P1075" s="25" t="str">
        <f>IFERROR(
IF(OR(O1075="anulado",O1075="stand by"),CONCATENATE(O1075,": ",H1075),
IF(OR(YEAR(M1075)=2022,YEAR(M1075)=2023),CONCATENATE("Se activó en ",YEAR(M1075)),
IF(AND(OR(O1075="En proceso",O1075="facturando"),AND(J1075="-",M1075="")),"Por revisar",
IF(M1075="",IF(J1075="NUEVAS",CONCATENATE("Estado: ",O1075,", ",J1075),
IF(L1075=Meses!$A$3,"Por revisar",
IF(H1075="","Sin registro","En programación Frcst."))),"En programación")))),
"Error")</f>
        <v>En programación</v>
      </c>
      <c r="Q1075" s="9" t="str">
        <f t="shared" si="48"/>
        <v/>
      </c>
      <c r="R1075" s="25">
        <f>IF(P1075="En programación Frcst.",VLOOKUP(L1075,Meses!$A$1:$H$14,3+HLOOKUP(Cronograma!J1075,Meses!$D$1:$G$2,2,FALSE),FALSE),
IF(P1075="En programación",M1075,""))</f>
        <v>45358</v>
      </c>
      <c r="S1075" s="25" t="str">
        <f t="shared" si="50"/>
        <v>2024/3</v>
      </c>
      <c r="T1075" s="21">
        <f>IFERROR(
(VLOOKUP(MONTH(R1075),Meses!$B$3:$C$14,2,FALSE)-DAY(R1075))/VLOOKUP(MONTH(R1075),Meses!$B$3:$C$14,2,FALSE)*U1075,
"")</f>
        <v>26.322580645161288</v>
      </c>
      <c r="U1075" s="22">
        <f t="shared" si="49"/>
        <v>34</v>
      </c>
    </row>
    <row r="1076" spans="1:21" ht="63" hidden="1" thickBot="1" x14ac:dyDescent="0.6">
      <c r="A1076" s="10" t="s">
        <v>1292</v>
      </c>
      <c r="B1076" s="10" t="s">
        <v>1367</v>
      </c>
      <c r="C1076" s="12"/>
      <c r="D1076" s="10" t="s">
        <v>23</v>
      </c>
      <c r="E1076" s="10" t="s">
        <v>23</v>
      </c>
      <c r="F1076" s="10">
        <v>0</v>
      </c>
      <c r="G1076" s="10" t="s">
        <v>15</v>
      </c>
      <c r="H1076" s="10" t="s">
        <v>2917</v>
      </c>
      <c r="I1076" s="10" t="s">
        <v>18</v>
      </c>
      <c r="J1076" s="10" t="s">
        <v>282</v>
      </c>
      <c r="K1076" s="10" t="s">
        <v>1119</v>
      </c>
      <c r="L1076" s="10" t="s">
        <v>1120</v>
      </c>
      <c r="M1076" s="12">
        <v>45358</v>
      </c>
      <c r="N1076" s="10" t="s">
        <v>15</v>
      </c>
      <c r="O1076" s="10" t="s">
        <v>2057</v>
      </c>
      <c r="P1076" s="25" t="str">
        <f>IFERROR(
IF(OR(O1076="anulado",O1076="stand by"),CONCATENATE(O1076,": ",H1076),
IF(OR(YEAR(M1076)=2022,YEAR(M1076)=2023),CONCATENATE("Se activó en ",YEAR(M1076)),
IF(AND(OR(O1076="En proceso",O1076="facturando"),AND(J1076="-",M1076="")),"Por revisar",
IF(M1076="",IF(J1076="NUEVAS",CONCATENATE("Estado: ",O1076,", ",J1076),
IF(L1076=Meses!$A$3,"Por revisar",
IF(H1076="","Sin registro","En programación Frcst."))),"En programación")))),
"Error")</f>
        <v>En programación</v>
      </c>
      <c r="Q1076" s="9" t="str">
        <f t="shared" si="48"/>
        <v/>
      </c>
      <c r="R1076" s="25">
        <f>IF(P1076="En programación Frcst.",VLOOKUP(L1076,Meses!$A$1:$H$14,3+HLOOKUP(Cronograma!J1076,Meses!$D$1:$G$2,2,FALSE),FALSE),
IF(P1076="En programación",M1076,""))</f>
        <v>45358</v>
      </c>
      <c r="S1076" s="25" t="str">
        <f t="shared" si="50"/>
        <v>2024/3</v>
      </c>
      <c r="T1076" s="21">
        <f>IFERROR(
(VLOOKUP(MONTH(R1076),Meses!$B$3:$C$14,2,FALSE)-DAY(R1076))/VLOOKUP(MONTH(R1076),Meses!$B$3:$C$14,2,FALSE)*U1076,
"")</f>
        <v>0</v>
      </c>
      <c r="U1076" s="22">
        <f t="shared" si="49"/>
        <v>0</v>
      </c>
    </row>
    <row r="1077" spans="1:21" ht="63" hidden="1" thickBot="1" x14ac:dyDescent="0.6">
      <c r="A1077" s="10" t="s">
        <v>1292</v>
      </c>
      <c r="B1077" s="10" t="s">
        <v>1368</v>
      </c>
      <c r="C1077" s="12">
        <v>45316</v>
      </c>
      <c r="D1077" s="10" t="s">
        <v>23</v>
      </c>
      <c r="E1077" s="10" t="s">
        <v>23</v>
      </c>
      <c r="F1077" s="10">
        <v>249</v>
      </c>
      <c r="G1077" s="10" t="s">
        <v>15</v>
      </c>
      <c r="H1077" s="10" t="s">
        <v>17</v>
      </c>
      <c r="I1077" s="10" t="s">
        <v>18</v>
      </c>
      <c r="J1077" s="10" t="s">
        <v>292</v>
      </c>
      <c r="K1077" s="10" t="s">
        <v>293</v>
      </c>
      <c r="L1077" s="10" t="s">
        <v>279</v>
      </c>
      <c r="M1077" s="12"/>
      <c r="N1077" s="10" t="s">
        <v>15</v>
      </c>
      <c r="O1077" s="10" t="s">
        <v>2054</v>
      </c>
      <c r="P1077" s="25" t="str">
        <f>IFERROR(
IF(OR(O1077="anulado",O1077="stand by"),CONCATENATE(O1077,": ",H1077),
IF(OR(YEAR(M1077)=2022,YEAR(M1077)=2023),CONCATENATE("Se activó en ",YEAR(M1077)),
IF(AND(OR(O1077="En proceso",O1077="facturando"),AND(J1077="-",M1077="")),"Por revisar",
IF(M1077="",IF(J1077="NUEVAS",CONCATENATE("Estado: ",O1077,", ",J1077),
IF(L1077=Meses!$A$3,"Por revisar",
IF(H1077="","Sin registro","En programación Frcst."))),"En programación")))),
"Error")</f>
        <v>En programación Frcst.</v>
      </c>
      <c r="Q1077" s="9" t="str">
        <f t="shared" si="48"/>
        <v/>
      </c>
      <c r="R1077" s="25">
        <f>IF(P1077="En programación Frcst.",VLOOKUP(L1077,Meses!$A$1:$H$14,3+HLOOKUP(Cronograma!J1077,Meses!$D$1:$G$2,2,FALSE),FALSE),
IF(P1077="En programación",M1077,""))</f>
        <v>45316</v>
      </c>
      <c r="S1077" s="25" t="str">
        <f t="shared" si="50"/>
        <v>2024/1</v>
      </c>
      <c r="T1077" s="21">
        <f>IFERROR(
(VLOOKUP(MONTH(R1077),Meses!$B$3:$C$14,2,FALSE)-DAY(R1077))/VLOOKUP(MONTH(R1077),Meses!$B$3:$C$14,2,FALSE)*U1077,
"")</f>
        <v>48.193548387096776</v>
      </c>
      <c r="U1077" s="22">
        <f t="shared" si="49"/>
        <v>249</v>
      </c>
    </row>
    <row r="1078" spans="1:21" ht="63" hidden="1" thickBot="1" x14ac:dyDescent="0.6">
      <c r="A1078" s="10" t="s">
        <v>1292</v>
      </c>
      <c r="B1078" s="10" t="s">
        <v>1369</v>
      </c>
      <c r="C1078" s="12">
        <v>45316</v>
      </c>
      <c r="D1078" s="10" t="s">
        <v>23</v>
      </c>
      <c r="E1078" s="10" t="s">
        <v>23</v>
      </c>
      <c r="F1078" s="10">
        <v>0</v>
      </c>
      <c r="G1078" s="10" t="s">
        <v>15</v>
      </c>
      <c r="H1078" s="10" t="s">
        <v>17</v>
      </c>
      <c r="I1078" s="10" t="s">
        <v>18</v>
      </c>
      <c r="J1078" s="10" t="s">
        <v>292</v>
      </c>
      <c r="K1078" s="10" t="s">
        <v>293</v>
      </c>
      <c r="L1078" s="10" t="s">
        <v>279</v>
      </c>
      <c r="M1078" s="12"/>
      <c r="N1078" s="10" t="s">
        <v>15</v>
      </c>
      <c r="O1078" s="10" t="s">
        <v>2054</v>
      </c>
      <c r="P1078" s="25" t="str">
        <f>IFERROR(
IF(OR(O1078="anulado",O1078="stand by"),CONCATENATE(O1078,": ",H1078),
IF(OR(YEAR(M1078)=2022,YEAR(M1078)=2023),CONCATENATE("Se activó en ",YEAR(M1078)),
IF(AND(OR(O1078="En proceso",O1078="facturando"),AND(J1078="-",M1078="")),"Por revisar",
IF(M1078="",IF(J1078="NUEVAS",CONCATENATE("Estado: ",O1078,", ",J1078),
IF(L1078=Meses!$A$3,"Por revisar",
IF(H1078="","Sin registro","En programación Frcst."))),"En programación")))),
"Error")</f>
        <v>En programación Frcst.</v>
      </c>
      <c r="Q1078" s="9" t="str">
        <f t="shared" si="48"/>
        <v/>
      </c>
      <c r="R1078" s="25">
        <f>IF(P1078="En programación Frcst.",VLOOKUP(L1078,Meses!$A$1:$H$14,3+HLOOKUP(Cronograma!J1078,Meses!$D$1:$G$2,2,FALSE),FALSE),
IF(P1078="En programación",M1078,""))</f>
        <v>45316</v>
      </c>
      <c r="S1078" s="25" t="str">
        <f t="shared" si="50"/>
        <v>2024/1</v>
      </c>
      <c r="T1078" s="21">
        <f>IFERROR(
(VLOOKUP(MONTH(R1078),Meses!$B$3:$C$14,2,FALSE)-DAY(R1078))/VLOOKUP(MONTH(R1078),Meses!$B$3:$C$14,2,FALSE)*U1078,
"")</f>
        <v>0</v>
      </c>
      <c r="U1078" s="22">
        <f t="shared" si="49"/>
        <v>0</v>
      </c>
    </row>
    <row r="1079" spans="1:21" ht="63" hidden="1" thickBot="1" x14ac:dyDescent="0.6">
      <c r="A1079" s="10" t="s">
        <v>1292</v>
      </c>
      <c r="B1079" s="10" t="s">
        <v>1370</v>
      </c>
      <c r="C1079" s="12">
        <v>45316</v>
      </c>
      <c r="D1079" s="10" t="s">
        <v>23</v>
      </c>
      <c r="E1079" s="10" t="s">
        <v>23</v>
      </c>
      <c r="F1079" s="10">
        <v>0</v>
      </c>
      <c r="G1079" s="10" t="s">
        <v>15</v>
      </c>
      <c r="H1079" s="10" t="s">
        <v>17</v>
      </c>
      <c r="I1079" s="10" t="s">
        <v>18</v>
      </c>
      <c r="J1079" s="10" t="s">
        <v>292</v>
      </c>
      <c r="K1079" s="10" t="s">
        <v>293</v>
      </c>
      <c r="L1079" s="10" t="s">
        <v>279</v>
      </c>
      <c r="M1079" s="12"/>
      <c r="N1079" s="10" t="s">
        <v>15</v>
      </c>
      <c r="O1079" s="10" t="s">
        <v>2054</v>
      </c>
      <c r="P1079" s="25" t="str">
        <f>IFERROR(
IF(OR(O1079="anulado",O1079="stand by"),CONCATENATE(O1079,": ",H1079),
IF(OR(YEAR(M1079)=2022,YEAR(M1079)=2023),CONCATENATE("Se activó en ",YEAR(M1079)),
IF(AND(OR(O1079="En proceso",O1079="facturando"),AND(J1079="-",M1079="")),"Por revisar",
IF(M1079="",IF(J1079="NUEVAS",CONCATENATE("Estado: ",O1079,", ",J1079),
IF(L1079=Meses!$A$3,"Por revisar",
IF(H1079="","Sin registro","En programación Frcst."))),"En programación")))),
"Error")</f>
        <v>En programación Frcst.</v>
      </c>
      <c r="Q1079" s="9" t="str">
        <f t="shared" si="48"/>
        <v/>
      </c>
      <c r="R1079" s="25">
        <f>IF(P1079="En programación Frcst.",VLOOKUP(L1079,Meses!$A$1:$H$14,3+HLOOKUP(Cronograma!J1079,Meses!$D$1:$G$2,2,FALSE),FALSE),
IF(P1079="En programación",M1079,""))</f>
        <v>45316</v>
      </c>
      <c r="S1079" s="25" t="str">
        <f t="shared" si="50"/>
        <v>2024/1</v>
      </c>
      <c r="T1079" s="21">
        <f>IFERROR(
(VLOOKUP(MONTH(R1079),Meses!$B$3:$C$14,2,FALSE)-DAY(R1079))/VLOOKUP(MONTH(R1079),Meses!$B$3:$C$14,2,FALSE)*U1079,
"")</f>
        <v>0</v>
      </c>
      <c r="U1079" s="22">
        <f t="shared" si="49"/>
        <v>0</v>
      </c>
    </row>
    <row r="1080" spans="1:21" ht="63" hidden="1" thickBot="1" x14ac:dyDescent="0.6">
      <c r="A1080" s="10" t="s">
        <v>1292</v>
      </c>
      <c r="B1080" s="10" t="s">
        <v>1371</v>
      </c>
      <c r="C1080" s="12">
        <v>45316</v>
      </c>
      <c r="D1080" s="10" t="s">
        <v>23</v>
      </c>
      <c r="E1080" s="10" t="s">
        <v>23</v>
      </c>
      <c r="F1080" s="10">
        <v>0</v>
      </c>
      <c r="G1080" s="10" t="s">
        <v>15</v>
      </c>
      <c r="H1080" s="10" t="s">
        <v>2406</v>
      </c>
      <c r="I1080" s="10" t="s">
        <v>18</v>
      </c>
      <c r="J1080" s="10" t="s">
        <v>292</v>
      </c>
      <c r="K1080" s="10" t="s">
        <v>293</v>
      </c>
      <c r="L1080" s="10" t="s">
        <v>279</v>
      </c>
      <c r="M1080" s="12"/>
      <c r="N1080" s="10" t="s">
        <v>15</v>
      </c>
      <c r="O1080" s="10" t="s">
        <v>2054</v>
      </c>
      <c r="P1080" s="25" t="str">
        <f>IFERROR(
IF(OR(O1080="anulado",O1080="stand by"),CONCATENATE(O1080,": ",H1080),
IF(OR(YEAR(M1080)=2022,YEAR(M1080)=2023),CONCATENATE("Se activó en ",YEAR(M1080)),
IF(AND(OR(O1080="En proceso",O1080="facturando"),AND(J1080="-",M1080="")),"Por revisar",
IF(M1080="",IF(J1080="NUEVAS",CONCATENATE("Estado: ",O1080,", ",J1080),
IF(L1080=Meses!$A$3,"Por revisar",
IF(H1080="","Sin registro","En programación Frcst."))),"En programación")))),
"Error")</f>
        <v>En programación Frcst.</v>
      </c>
      <c r="Q1080" s="9" t="str">
        <f t="shared" si="48"/>
        <v/>
      </c>
      <c r="R1080" s="25">
        <f>IF(P1080="En programación Frcst.",VLOOKUP(L1080,Meses!$A$1:$H$14,3+HLOOKUP(Cronograma!J1080,Meses!$D$1:$G$2,2,FALSE),FALSE),
IF(P1080="En programación",M1080,""))</f>
        <v>45316</v>
      </c>
      <c r="S1080" s="25" t="str">
        <f t="shared" si="50"/>
        <v>2024/1</v>
      </c>
      <c r="T1080" s="21">
        <f>IFERROR(
(VLOOKUP(MONTH(R1080),Meses!$B$3:$C$14,2,FALSE)-DAY(R1080))/VLOOKUP(MONTH(R1080),Meses!$B$3:$C$14,2,FALSE)*U1080,
"")</f>
        <v>0</v>
      </c>
      <c r="U1080" s="22">
        <f t="shared" si="49"/>
        <v>0</v>
      </c>
    </row>
    <row r="1081" spans="1:21" ht="63" hidden="1" thickBot="1" x14ac:dyDescent="0.6">
      <c r="A1081" s="10" t="s">
        <v>1292</v>
      </c>
      <c r="B1081" s="10" t="s">
        <v>1372</v>
      </c>
      <c r="C1081" s="12">
        <v>45316</v>
      </c>
      <c r="D1081" s="10" t="s">
        <v>23</v>
      </c>
      <c r="E1081" s="10" t="s">
        <v>23</v>
      </c>
      <c r="F1081" s="10">
        <v>10</v>
      </c>
      <c r="G1081" s="10" t="s">
        <v>15</v>
      </c>
      <c r="H1081" s="10" t="s">
        <v>17</v>
      </c>
      <c r="I1081" s="10" t="s">
        <v>18</v>
      </c>
      <c r="J1081" s="10" t="s">
        <v>292</v>
      </c>
      <c r="K1081" s="10" t="s">
        <v>293</v>
      </c>
      <c r="L1081" s="10" t="s">
        <v>279</v>
      </c>
      <c r="M1081" s="12"/>
      <c r="N1081" s="10" t="s">
        <v>15</v>
      </c>
      <c r="O1081" s="10" t="s">
        <v>2054</v>
      </c>
      <c r="P1081" s="25" t="str">
        <f>IFERROR(
IF(OR(O1081="anulado",O1081="stand by"),CONCATENATE(O1081,": ",H1081),
IF(OR(YEAR(M1081)=2022,YEAR(M1081)=2023),CONCATENATE("Se activó en ",YEAR(M1081)),
IF(AND(OR(O1081="En proceso",O1081="facturando"),AND(J1081="-",M1081="")),"Por revisar",
IF(M1081="",IF(J1081="NUEVAS",CONCATENATE("Estado: ",O1081,", ",J1081),
IF(L1081=Meses!$A$3,"Por revisar",
IF(H1081="","Sin registro","En programación Frcst."))),"En programación")))),
"Error")</f>
        <v>En programación Frcst.</v>
      </c>
      <c r="Q1081" s="9" t="str">
        <f t="shared" si="48"/>
        <v/>
      </c>
      <c r="R1081" s="25">
        <f>IF(P1081="En programación Frcst.",VLOOKUP(L1081,Meses!$A$1:$H$14,3+HLOOKUP(Cronograma!J1081,Meses!$D$1:$G$2,2,FALSE),FALSE),
IF(P1081="En programación",M1081,""))</f>
        <v>45316</v>
      </c>
      <c r="S1081" s="25" t="str">
        <f t="shared" si="50"/>
        <v>2024/1</v>
      </c>
      <c r="T1081" s="21">
        <f>IFERROR(
(VLOOKUP(MONTH(R1081),Meses!$B$3:$C$14,2,FALSE)-DAY(R1081))/VLOOKUP(MONTH(R1081),Meses!$B$3:$C$14,2,FALSE)*U1081,
"")</f>
        <v>1.935483870967742</v>
      </c>
      <c r="U1081" s="22">
        <f t="shared" si="49"/>
        <v>10</v>
      </c>
    </row>
    <row r="1082" spans="1:21" ht="63" hidden="1" thickBot="1" x14ac:dyDescent="0.6">
      <c r="A1082" s="10" t="s">
        <v>1292</v>
      </c>
      <c r="B1082" s="10" t="s">
        <v>1373</v>
      </c>
      <c r="C1082" s="12">
        <v>45316</v>
      </c>
      <c r="D1082" s="10" t="s">
        <v>23</v>
      </c>
      <c r="E1082" s="10" t="s">
        <v>23</v>
      </c>
      <c r="F1082" s="10">
        <v>3211</v>
      </c>
      <c r="G1082" s="10" t="s">
        <v>15</v>
      </c>
      <c r="H1082" s="10" t="s">
        <v>17</v>
      </c>
      <c r="I1082" s="10" t="s">
        <v>18</v>
      </c>
      <c r="J1082" s="10" t="s">
        <v>292</v>
      </c>
      <c r="K1082" s="10" t="s">
        <v>293</v>
      </c>
      <c r="L1082" s="10" t="s">
        <v>279</v>
      </c>
      <c r="M1082" s="12"/>
      <c r="N1082" s="10" t="s">
        <v>15</v>
      </c>
      <c r="O1082" s="10" t="s">
        <v>2054</v>
      </c>
      <c r="P1082" s="25" t="str">
        <f>IFERROR(
IF(OR(O1082="anulado",O1082="stand by"),CONCATENATE(O1082,": ",H1082),
IF(OR(YEAR(M1082)=2022,YEAR(M1082)=2023),CONCATENATE("Se activó en ",YEAR(M1082)),
IF(AND(OR(O1082="En proceso",O1082="facturando"),AND(J1082="-",M1082="")),"Por revisar",
IF(M1082="",IF(J1082="NUEVAS",CONCATENATE("Estado: ",O1082,", ",J1082),
IF(L1082=Meses!$A$3,"Por revisar",
IF(H1082="","Sin registro","En programación Frcst."))),"En programación")))),
"Error")</f>
        <v>En programación Frcst.</v>
      </c>
      <c r="Q1082" s="9" t="str">
        <f t="shared" si="48"/>
        <v/>
      </c>
      <c r="R1082" s="25">
        <f>IF(P1082="En programación Frcst.",VLOOKUP(L1082,Meses!$A$1:$H$14,3+HLOOKUP(Cronograma!J1082,Meses!$D$1:$G$2,2,FALSE),FALSE),
IF(P1082="En programación",M1082,""))</f>
        <v>45316</v>
      </c>
      <c r="S1082" s="25" t="str">
        <f t="shared" si="50"/>
        <v>2024/1</v>
      </c>
      <c r="T1082" s="21">
        <f>IFERROR(
(VLOOKUP(MONTH(R1082),Meses!$B$3:$C$14,2,FALSE)-DAY(R1082))/VLOOKUP(MONTH(R1082),Meses!$B$3:$C$14,2,FALSE)*U1082,
"")</f>
        <v>621.48387096774195</v>
      </c>
      <c r="U1082" s="22">
        <f t="shared" si="49"/>
        <v>3211</v>
      </c>
    </row>
    <row r="1083" spans="1:21" ht="63" hidden="1" thickBot="1" x14ac:dyDescent="0.6">
      <c r="A1083" s="10" t="s">
        <v>1292</v>
      </c>
      <c r="B1083" s="10" t="s">
        <v>1374</v>
      </c>
      <c r="C1083" s="12">
        <v>45316</v>
      </c>
      <c r="D1083" s="10" t="s">
        <v>23</v>
      </c>
      <c r="E1083" s="10" t="s">
        <v>23</v>
      </c>
      <c r="F1083" s="10">
        <v>1499</v>
      </c>
      <c r="G1083" s="10" t="s">
        <v>15</v>
      </c>
      <c r="H1083" s="10" t="s">
        <v>17</v>
      </c>
      <c r="I1083" s="10" t="s">
        <v>18</v>
      </c>
      <c r="J1083" s="10" t="s">
        <v>292</v>
      </c>
      <c r="K1083" s="10" t="s">
        <v>293</v>
      </c>
      <c r="L1083" s="10" t="s">
        <v>279</v>
      </c>
      <c r="M1083" s="12"/>
      <c r="N1083" s="10" t="s">
        <v>15</v>
      </c>
      <c r="O1083" s="10" t="s">
        <v>2054</v>
      </c>
      <c r="P1083" s="25" t="str">
        <f>IFERROR(
IF(OR(O1083="anulado",O1083="stand by"),CONCATENATE(O1083,": ",H1083),
IF(OR(YEAR(M1083)=2022,YEAR(M1083)=2023),CONCATENATE("Se activó en ",YEAR(M1083)),
IF(AND(OR(O1083="En proceso",O1083="facturando"),AND(J1083="-",M1083="")),"Por revisar",
IF(M1083="",IF(J1083="NUEVAS",CONCATENATE("Estado: ",O1083,", ",J1083),
IF(L1083=Meses!$A$3,"Por revisar",
IF(H1083="","Sin registro","En programación Frcst."))),"En programación")))),
"Error")</f>
        <v>En programación Frcst.</v>
      </c>
      <c r="Q1083" s="9" t="str">
        <f t="shared" si="48"/>
        <v/>
      </c>
      <c r="R1083" s="25">
        <f>IF(P1083="En programación Frcst.",VLOOKUP(L1083,Meses!$A$1:$H$14,3+HLOOKUP(Cronograma!J1083,Meses!$D$1:$G$2,2,FALSE),FALSE),
IF(P1083="En programación",M1083,""))</f>
        <v>45316</v>
      </c>
      <c r="S1083" s="25" t="str">
        <f t="shared" si="50"/>
        <v>2024/1</v>
      </c>
      <c r="T1083" s="21">
        <f>IFERROR(
(VLOOKUP(MONTH(R1083),Meses!$B$3:$C$14,2,FALSE)-DAY(R1083))/VLOOKUP(MONTH(R1083),Meses!$B$3:$C$14,2,FALSE)*U1083,
"")</f>
        <v>290.12903225806451</v>
      </c>
      <c r="U1083" s="22">
        <f t="shared" si="49"/>
        <v>1499</v>
      </c>
    </row>
    <row r="1084" spans="1:21" ht="63" hidden="1" thickBot="1" x14ac:dyDescent="0.6">
      <c r="A1084" s="10" t="s">
        <v>1292</v>
      </c>
      <c r="B1084" s="10" t="s">
        <v>1375</v>
      </c>
      <c r="C1084" s="12">
        <v>45316</v>
      </c>
      <c r="D1084" s="10" t="s">
        <v>23</v>
      </c>
      <c r="E1084" s="10" t="s">
        <v>23</v>
      </c>
      <c r="F1084" s="10">
        <v>0</v>
      </c>
      <c r="G1084" s="10" t="s">
        <v>15</v>
      </c>
      <c r="H1084" s="10" t="s">
        <v>17</v>
      </c>
      <c r="I1084" s="10" t="s">
        <v>18</v>
      </c>
      <c r="J1084" s="10" t="s">
        <v>292</v>
      </c>
      <c r="K1084" s="10" t="s">
        <v>293</v>
      </c>
      <c r="L1084" s="10" t="s">
        <v>279</v>
      </c>
      <c r="M1084" s="12"/>
      <c r="N1084" s="10" t="s">
        <v>15</v>
      </c>
      <c r="O1084" s="10" t="s">
        <v>2054</v>
      </c>
      <c r="P1084" s="25" t="str">
        <f>IFERROR(
IF(OR(O1084="anulado",O1084="stand by"),CONCATENATE(O1084,": ",H1084),
IF(OR(YEAR(M1084)=2022,YEAR(M1084)=2023),CONCATENATE("Se activó en ",YEAR(M1084)),
IF(AND(OR(O1084="En proceso",O1084="facturando"),AND(J1084="-",M1084="")),"Por revisar",
IF(M1084="",IF(J1084="NUEVAS",CONCATENATE("Estado: ",O1084,", ",J1084),
IF(L1084=Meses!$A$3,"Por revisar",
IF(H1084="","Sin registro","En programación Frcst."))),"En programación")))),
"Error")</f>
        <v>En programación Frcst.</v>
      </c>
      <c r="Q1084" s="9" t="str">
        <f t="shared" si="48"/>
        <v/>
      </c>
      <c r="R1084" s="25">
        <f>IF(P1084="En programación Frcst.",VLOOKUP(L1084,Meses!$A$1:$H$14,3+HLOOKUP(Cronograma!J1084,Meses!$D$1:$G$2,2,FALSE),FALSE),
IF(P1084="En programación",M1084,""))</f>
        <v>45316</v>
      </c>
      <c r="S1084" s="25" t="str">
        <f t="shared" si="50"/>
        <v>2024/1</v>
      </c>
      <c r="T1084" s="21">
        <f>IFERROR(
(VLOOKUP(MONTH(R1084),Meses!$B$3:$C$14,2,FALSE)-DAY(R1084))/VLOOKUP(MONTH(R1084),Meses!$B$3:$C$14,2,FALSE)*U1084,
"")</f>
        <v>0</v>
      </c>
      <c r="U1084" s="22">
        <f t="shared" si="49"/>
        <v>0</v>
      </c>
    </row>
    <row r="1085" spans="1:21" ht="63" hidden="1" thickBot="1" x14ac:dyDescent="0.6">
      <c r="A1085" s="10" t="s">
        <v>1292</v>
      </c>
      <c r="B1085" s="10" t="s">
        <v>1376</v>
      </c>
      <c r="C1085" s="12">
        <v>45316</v>
      </c>
      <c r="D1085" s="10" t="s">
        <v>23</v>
      </c>
      <c r="E1085" s="10" t="s">
        <v>23</v>
      </c>
      <c r="F1085" s="10">
        <v>594</v>
      </c>
      <c r="G1085" s="10" t="s">
        <v>15</v>
      </c>
      <c r="H1085" s="10" t="s">
        <v>17</v>
      </c>
      <c r="I1085" s="10" t="s">
        <v>18</v>
      </c>
      <c r="J1085" s="10" t="s">
        <v>292</v>
      </c>
      <c r="K1085" s="10" t="s">
        <v>293</v>
      </c>
      <c r="L1085" s="10" t="s">
        <v>279</v>
      </c>
      <c r="M1085" s="12"/>
      <c r="N1085" s="10" t="s">
        <v>15</v>
      </c>
      <c r="O1085" s="10" t="s">
        <v>2054</v>
      </c>
      <c r="P1085" s="25" t="str">
        <f>IFERROR(
IF(OR(O1085="anulado",O1085="stand by"),CONCATENATE(O1085,": ",H1085),
IF(OR(YEAR(M1085)=2022,YEAR(M1085)=2023),CONCATENATE("Se activó en ",YEAR(M1085)),
IF(AND(OR(O1085="En proceso",O1085="facturando"),AND(J1085="-",M1085="")),"Por revisar",
IF(M1085="",IF(J1085="NUEVAS",CONCATENATE("Estado: ",O1085,", ",J1085),
IF(L1085=Meses!$A$3,"Por revisar",
IF(H1085="","Sin registro","En programación Frcst."))),"En programación")))),
"Error")</f>
        <v>En programación Frcst.</v>
      </c>
      <c r="Q1085" s="9" t="str">
        <f t="shared" si="48"/>
        <v/>
      </c>
      <c r="R1085" s="25">
        <f>IF(P1085="En programación Frcst.",VLOOKUP(L1085,Meses!$A$1:$H$14,3+HLOOKUP(Cronograma!J1085,Meses!$D$1:$G$2,2,FALSE),FALSE),
IF(P1085="En programación",M1085,""))</f>
        <v>45316</v>
      </c>
      <c r="S1085" s="25" t="str">
        <f t="shared" si="50"/>
        <v>2024/1</v>
      </c>
      <c r="T1085" s="21">
        <f>IFERROR(
(VLOOKUP(MONTH(R1085),Meses!$B$3:$C$14,2,FALSE)-DAY(R1085))/VLOOKUP(MONTH(R1085),Meses!$B$3:$C$14,2,FALSE)*U1085,
"")</f>
        <v>114.96774193548387</v>
      </c>
      <c r="U1085" s="22">
        <f t="shared" si="49"/>
        <v>594</v>
      </c>
    </row>
    <row r="1086" spans="1:21" ht="63" hidden="1" thickBot="1" x14ac:dyDescent="0.6">
      <c r="A1086" s="10" t="s">
        <v>1292</v>
      </c>
      <c r="B1086" s="10" t="s">
        <v>1377</v>
      </c>
      <c r="C1086" s="12">
        <v>45316</v>
      </c>
      <c r="D1086" s="10" t="s">
        <v>23</v>
      </c>
      <c r="E1086" s="10" t="s">
        <v>23</v>
      </c>
      <c r="F1086" s="10">
        <v>444</v>
      </c>
      <c r="G1086" s="10" t="s">
        <v>15</v>
      </c>
      <c r="H1086" s="10" t="s">
        <v>17</v>
      </c>
      <c r="I1086" s="10" t="s">
        <v>18</v>
      </c>
      <c r="J1086" s="10" t="s">
        <v>292</v>
      </c>
      <c r="K1086" s="10" t="s">
        <v>293</v>
      </c>
      <c r="L1086" s="10" t="s">
        <v>279</v>
      </c>
      <c r="M1086" s="12"/>
      <c r="N1086" s="10" t="s">
        <v>15</v>
      </c>
      <c r="O1086" s="10" t="s">
        <v>2054</v>
      </c>
      <c r="P1086" s="25" t="str">
        <f>IFERROR(
IF(OR(O1086="anulado",O1086="stand by"),CONCATENATE(O1086,": ",H1086),
IF(OR(YEAR(M1086)=2022,YEAR(M1086)=2023),CONCATENATE("Se activó en ",YEAR(M1086)),
IF(AND(OR(O1086="En proceso",O1086="facturando"),AND(J1086="-",M1086="")),"Por revisar",
IF(M1086="",IF(J1086="NUEVAS",CONCATENATE("Estado: ",O1086,", ",J1086),
IF(L1086=Meses!$A$3,"Por revisar",
IF(H1086="","Sin registro","En programación Frcst."))),"En programación")))),
"Error")</f>
        <v>En programación Frcst.</v>
      </c>
      <c r="Q1086" s="9" t="str">
        <f t="shared" si="48"/>
        <v/>
      </c>
      <c r="R1086" s="25">
        <f>IF(P1086="En programación Frcst.",VLOOKUP(L1086,Meses!$A$1:$H$14,3+HLOOKUP(Cronograma!J1086,Meses!$D$1:$G$2,2,FALSE),FALSE),
IF(P1086="En programación",M1086,""))</f>
        <v>45316</v>
      </c>
      <c r="S1086" s="25" t="str">
        <f t="shared" si="50"/>
        <v>2024/1</v>
      </c>
      <c r="T1086" s="21">
        <f>IFERROR(
(VLOOKUP(MONTH(R1086),Meses!$B$3:$C$14,2,FALSE)-DAY(R1086))/VLOOKUP(MONTH(R1086),Meses!$B$3:$C$14,2,FALSE)*U1086,
"")</f>
        <v>85.935483870967744</v>
      </c>
      <c r="U1086" s="22">
        <f t="shared" si="49"/>
        <v>444</v>
      </c>
    </row>
    <row r="1087" spans="1:21" ht="63" hidden="1" thickBot="1" x14ac:dyDescent="0.6">
      <c r="A1087" s="10" t="s">
        <v>1292</v>
      </c>
      <c r="B1087" s="10" t="s">
        <v>1378</v>
      </c>
      <c r="C1087" s="12">
        <v>45316</v>
      </c>
      <c r="D1087" s="10" t="s">
        <v>23</v>
      </c>
      <c r="E1087" s="10" t="s">
        <v>23</v>
      </c>
      <c r="F1087" s="10">
        <v>360</v>
      </c>
      <c r="G1087" s="10" t="s">
        <v>15</v>
      </c>
      <c r="H1087" s="10" t="s">
        <v>17</v>
      </c>
      <c r="I1087" s="10" t="s">
        <v>18</v>
      </c>
      <c r="J1087" s="10" t="s">
        <v>292</v>
      </c>
      <c r="K1087" s="10" t="s">
        <v>293</v>
      </c>
      <c r="L1087" s="10" t="s">
        <v>279</v>
      </c>
      <c r="M1087" s="12"/>
      <c r="N1087" s="10" t="s">
        <v>15</v>
      </c>
      <c r="O1087" s="10" t="s">
        <v>2054</v>
      </c>
      <c r="P1087" s="25" t="str">
        <f>IFERROR(
IF(OR(O1087="anulado",O1087="stand by"),CONCATENATE(O1087,": ",H1087),
IF(OR(YEAR(M1087)=2022,YEAR(M1087)=2023),CONCATENATE("Se activó en ",YEAR(M1087)),
IF(AND(OR(O1087="En proceso",O1087="facturando"),AND(J1087="-",M1087="")),"Por revisar",
IF(M1087="",IF(J1087="NUEVAS",CONCATENATE("Estado: ",O1087,", ",J1087),
IF(L1087=Meses!$A$3,"Por revisar",
IF(H1087="","Sin registro","En programación Frcst."))),"En programación")))),
"Error")</f>
        <v>En programación Frcst.</v>
      </c>
      <c r="Q1087" s="9" t="str">
        <f t="shared" si="48"/>
        <v/>
      </c>
      <c r="R1087" s="25">
        <f>IF(P1087="En programación Frcst.",VLOOKUP(L1087,Meses!$A$1:$H$14,3+HLOOKUP(Cronograma!J1087,Meses!$D$1:$G$2,2,FALSE),FALSE),
IF(P1087="En programación",M1087,""))</f>
        <v>45316</v>
      </c>
      <c r="S1087" s="25" t="str">
        <f t="shared" si="50"/>
        <v>2024/1</v>
      </c>
      <c r="T1087" s="21">
        <f>IFERROR(
(VLOOKUP(MONTH(R1087),Meses!$B$3:$C$14,2,FALSE)-DAY(R1087))/VLOOKUP(MONTH(R1087),Meses!$B$3:$C$14,2,FALSE)*U1087,
"")</f>
        <v>69.677419354838705</v>
      </c>
      <c r="U1087" s="22">
        <f t="shared" si="49"/>
        <v>360</v>
      </c>
    </row>
    <row r="1088" spans="1:21" ht="63" hidden="1" thickBot="1" x14ac:dyDescent="0.6">
      <c r="A1088" s="10" t="s">
        <v>1292</v>
      </c>
      <c r="B1088" s="10" t="s">
        <v>1379</v>
      </c>
      <c r="C1088" s="12">
        <v>45316</v>
      </c>
      <c r="D1088" s="10" t="s">
        <v>23</v>
      </c>
      <c r="E1088" s="10" t="s">
        <v>23</v>
      </c>
      <c r="F1088" s="10">
        <v>389</v>
      </c>
      <c r="G1088" s="10" t="s">
        <v>15</v>
      </c>
      <c r="H1088" s="10" t="s">
        <v>17</v>
      </c>
      <c r="I1088" s="10" t="s">
        <v>18</v>
      </c>
      <c r="J1088" s="10" t="s">
        <v>292</v>
      </c>
      <c r="K1088" s="10" t="s">
        <v>293</v>
      </c>
      <c r="L1088" s="10" t="s">
        <v>279</v>
      </c>
      <c r="M1088" s="12"/>
      <c r="N1088" s="10" t="s">
        <v>15</v>
      </c>
      <c r="O1088" s="10" t="s">
        <v>2054</v>
      </c>
      <c r="P1088" s="25" t="str">
        <f>IFERROR(
IF(OR(O1088="anulado",O1088="stand by"),CONCATENATE(O1088,": ",H1088),
IF(OR(YEAR(M1088)=2022,YEAR(M1088)=2023),CONCATENATE("Se activó en ",YEAR(M1088)),
IF(AND(OR(O1088="En proceso",O1088="facturando"),AND(J1088="-",M1088="")),"Por revisar",
IF(M1088="",IF(J1088="NUEVAS",CONCATENATE("Estado: ",O1088,", ",J1088),
IF(L1088=Meses!$A$3,"Por revisar",
IF(H1088="","Sin registro","En programación Frcst."))),"En programación")))),
"Error")</f>
        <v>En programación Frcst.</v>
      </c>
      <c r="Q1088" s="9" t="str">
        <f t="shared" si="48"/>
        <v/>
      </c>
      <c r="R1088" s="25">
        <f>IF(P1088="En programación Frcst.",VLOOKUP(L1088,Meses!$A$1:$H$14,3+HLOOKUP(Cronograma!J1088,Meses!$D$1:$G$2,2,FALSE),FALSE),
IF(P1088="En programación",M1088,""))</f>
        <v>45316</v>
      </c>
      <c r="S1088" s="25" t="str">
        <f t="shared" si="50"/>
        <v>2024/1</v>
      </c>
      <c r="T1088" s="21">
        <f>IFERROR(
(VLOOKUP(MONTH(R1088),Meses!$B$3:$C$14,2,FALSE)-DAY(R1088))/VLOOKUP(MONTH(R1088),Meses!$B$3:$C$14,2,FALSE)*U1088,
"")</f>
        <v>75.290322580645153</v>
      </c>
      <c r="U1088" s="22">
        <f t="shared" si="49"/>
        <v>389</v>
      </c>
    </row>
    <row r="1089" spans="1:21" ht="63" hidden="1" thickBot="1" x14ac:dyDescent="0.6">
      <c r="A1089" s="10" t="s">
        <v>1292</v>
      </c>
      <c r="B1089" s="10" t="s">
        <v>1380</v>
      </c>
      <c r="C1089" s="12">
        <v>45316</v>
      </c>
      <c r="D1089" s="10" t="s">
        <v>23</v>
      </c>
      <c r="E1089" s="10" t="s">
        <v>23</v>
      </c>
      <c r="F1089" s="10">
        <v>0</v>
      </c>
      <c r="G1089" s="10" t="s">
        <v>15</v>
      </c>
      <c r="H1089" s="10" t="s">
        <v>17</v>
      </c>
      <c r="I1089" s="10" t="s">
        <v>18</v>
      </c>
      <c r="J1089" s="10" t="s">
        <v>292</v>
      </c>
      <c r="K1089" s="10" t="s">
        <v>293</v>
      </c>
      <c r="L1089" s="10" t="s">
        <v>279</v>
      </c>
      <c r="M1089" s="12"/>
      <c r="N1089" s="10" t="s">
        <v>15</v>
      </c>
      <c r="O1089" s="10" t="s">
        <v>2054</v>
      </c>
      <c r="P1089" s="25" t="str">
        <f>IFERROR(
IF(OR(O1089="anulado",O1089="stand by"),CONCATENATE(O1089,": ",H1089),
IF(OR(YEAR(M1089)=2022,YEAR(M1089)=2023),CONCATENATE("Se activó en ",YEAR(M1089)),
IF(AND(OR(O1089="En proceso",O1089="facturando"),AND(J1089="-",M1089="")),"Por revisar",
IF(M1089="",IF(J1089="NUEVAS",CONCATENATE("Estado: ",O1089,", ",J1089),
IF(L1089=Meses!$A$3,"Por revisar",
IF(H1089="","Sin registro","En programación Frcst."))),"En programación")))),
"Error")</f>
        <v>En programación Frcst.</v>
      </c>
      <c r="Q1089" s="9" t="str">
        <f t="shared" si="48"/>
        <v/>
      </c>
      <c r="R1089" s="25">
        <f>IF(P1089="En programación Frcst.",VLOOKUP(L1089,Meses!$A$1:$H$14,3+HLOOKUP(Cronograma!J1089,Meses!$D$1:$G$2,2,FALSE),FALSE),
IF(P1089="En programación",M1089,""))</f>
        <v>45316</v>
      </c>
      <c r="S1089" s="25" t="str">
        <f t="shared" si="50"/>
        <v>2024/1</v>
      </c>
      <c r="T1089" s="21">
        <f>IFERROR(
(VLOOKUP(MONTH(R1089),Meses!$B$3:$C$14,2,FALSE)-DAY(R1089))/VLOOKUP(MONTH(R1089),Meses!$B$3:$C$14,2,FALSE)*U1089,
"")</f>
        <v>0</v>
      </c>
      <c r="U1089" s="22">
        <f t="shared" si="49"/>
        <v>0</v>
      </c>
    </row>
    <row r="1090" spans="1:21" ht="63" hidden="1" thickBot="1" x14ac:dyDescent="0.6">
      <c r="A1090" s="10" t="s">
        <v>1292</v>
      </c>
      <c r="B1090" s="10" t="s">
        <v>1381</v>
      </c>
      <c r="C1090" s="12">
        <v>45316</v>
      </c>
      <c r="D1090" s="10" t="s">
        <v>23</v>
      </c>
      <c r="E1090" s="10" t="s">
        <v>23</v>
      </c>
      <c r="F1090" s="10">
        <v>1</v>
      </c>
      <c r="G1090" s="10" t="s">
        <v>15</v>
      </c>
      <c r="H1090" s="10" t="s">
        <v>17</v>
      </c>
      <c r="I1090" s="10" t="s">
        <v>18</v>
      </c>
      <c r="J1090" s="10" t="s">
        <v>292</v>
      </c>
      <c r="K1090" s="10" t="s">
        <v>293</v>
      </c>
      <c r="L1090" s="10" t="s">
        <v>279</v>
      </c>
      <c r="M1090" s="12"/>
      <c r="N1090" s="10" t="s">
        <v>15</v>
      </c>
      <c r="O1090" s="10" t="s">
        <v>2054</v>
      </c>
      <c r="P1090" s="25" t="str">
        <f>IFERROR(
IF(OR(O1090="anulado",O1090="stand by"),CONCATENATE(O1090,": ",H1090),
IF(OR(YEAR(M1090)=2022,YEAR(M1090)=2023),CONCATENATE("Se activó en ",YEAR(M1090)),
IF(AND(OR(O1090="En proceso",O1090="facturando"),AND(J1090="-",M1090="")),"Por revisar",
IF(M1090="",IF(J1090="NUEVAS",CONCATENATE("Estado: ",O1090,", ",J1090),
IF(L1090=Meses!$A$3,"Por revisar",
IF(H1090="","Sin registro","En programación Frcst."))),"En programación")))),
"Error")</f>
        <v>En programación Frcst.</v>
      </c>
      <c r="Q1090" s="9" t="str">
        <f t="shared" ref="Q1090:Q1153" si="51">IF(P1090="Por revisar",CONCATENATE("programación de act. ",N1090,", estado: ",O1090,", Comercializador: ",D1090,", Etapa: ",H1090),"")</f>
        <v/>
      </c>
      <c r="R1090" s="25">
        <f>IF(P1090="En programación Frcst.",VLOOKUP(L1090,Meses!$A$1:$H$14,3+HLOOKUP(Cronograma!J1090,Meses!$D$1:$G$2,2,FALSE),FALSE),
IF(P1090="En programación",M1090,""))</f>
        <v>45316</v>
      </c>
      <c r="S1090" s="25" t="str">
        <f t="shared" si="50"/>
        <v>2024/1</v>
      </c>
      <c r="T1090" s="21">
        <f>IFERROR(
(VLOOKUP(MONTH(R1090),Meses!$B$3:$C$14,2,FALSE)-DAY(R1090))/VLOOKUP(MONTH(R1090),Meses!$B$3:$C$14,2,FALSE)*U1090,
"")</f>
        <v>0.19354838709677419</v>
      </c>
      <c r="U1090" s="22">
        <f t="shared" ref="U1090:U1153" si="52">F1090</f>
        <v>1</v>
      </c>
    </row>
    <row r="1091" spans="1:21" ht="63" hidden="1" thickBot="1" x14ac:dyDescent="0.6">
      <c r="A1091" s="10" t="s">
        <v>1292</v>
      </c>
      <c r="B1091" s="10" t="s">
        <v>1382</v>
      </c>
      <c r="C1091" s="12">
        <v>45316</v>
      </c>
      <c r="D1091" s="10" t="s">
        <v>23</v>
      </c>
      <c r="E1091" s="10" t="s">
        <v>23</v>
      </c>
      <c r="F1091" s="10">
        <v>967</v>
      </c>
      <c r="G1091" s="10" t="s">
        <v>15</v>
      </c>
      <c r="H1091" s="10" t="s">
        <v>17</v>
      </c>
      <c r="I1091" s="10" t="s">
        <v>18</v>
      </c>
      <c r="J1091" s="10" t="s">
        <v>292</v>
      </c>
      <c r="K1091" s="10" t="s">
        <v>293</v>
      </c>
      <c r="L1091" s="10" t="s">
        <v>279</v>
      </c>
      <c r="M1091" s="12"/>
      <c r="N1091" s="10" t="s">
        <v>15</v>
      </c>
      <c r="O1091" s="10" t="s">
        <v>2054</v>
      </c>
      <c r="P1091" s="25" t="str">
        <f>IFERROR(
IF(OR(O1091="anulado",O1091="stand by"),CONCATENATE(O1091,": ",H1091),
IF(OR(YEAR(M1091)=2022,YEAR(M1091)=2023),CONCATENATE("Se activó en ",YEAR(M1091)),
IF(AND(OR(O1091="En proceso",O1091="facturando"),AND(J1091="-",M1091="")),"Por revisar",
IF(M1091="",IF(J1091="NUEVAS",CONCATENATE("Estado: ",O1091,", ",J1091),
IF(L1091=Meses!$A$3,"Por revisar",
IF(H1091="","Sin registro","En programación Frcst."))),"En programación")))),
"Error")</f>
        <v>En programación Frcst.</v>
      </c>
      <c r="Q1091" s="9" t="str">
        <f t="shared" si="51"/>
        <v/>
      </c>
      <c r="R1091" s="25">
        <f>IF(P1091="En programación Frcst.",VLOOKUP(L1091,Meses!$A$1:$H$14,3+HLOOKUP(Cronograma!J1091,Meses!$D$1:$G$2,2,FALSE),FALSE),
IF(P1091="En programación",M1091,""))</f>
        <v>45316</v>
      </c>
      <c r="S1091" s="25" t="str">
        <f t="shared" ref="S1091:S1154" si="53">IFERROR(CONCATENATE(YEAR(R1091),"/",MONTH(R1091)),"")</f>
        <v>2024/1</v>
      </c>
      <c r="T1091" s="21">
        <f>IFERROR(
(VLOOKUP(MONTH(R1091),Meses!$B$3:$C$14,2,FALSE)-DAY(R1091))/VLOOKUP(MONTH(R1091),Meses!$B$3:$C$14,2,FALSE)*U1091,
"")</f>
        <v>187.16129032258064</v>
      </c>
      <c r="U1091" s="22">
        <f t="shared" si="52"/>
        <v>967</v>
      </c>
    </row>
    <row r="1092" spans="1:21" ht="63" hidden="1" thickBot="1" x14ac:dyDescent="0.6">
      <c r="A1092" s="10" t="s">
        <v>1292</v>
      </c>
      <c r="B1092" s="10" t="s">
        <v>1383</v>
      </c>
      <c r="C1092" s="12">
        <v>45316</v>
      </c>
      <c r="D1092" s="10" t="s">
        <v>23</v>
      </c>
      <c r="E1092" s="10" t="s">
        <v>23</v>
      </c>
      <c r="F1092" s="10">
        <v>1735</v>
      </c>
      <c r="G1092" s="10" t="s">
        <v>15</v>
      </c>
      <c r="H1092" s="10" t="s">
        <v>17</v>
      </c>
      <c r="I1092" s="10" t="s">
        <v>18</v>
      </c>
      <c r="J1092" s="10" t="s">
        <v>292</v>
      </c>
      <c r="K1092" s="10" t="s">
        <v>293</v>
      </c>
      <c r="L1092" s="10" t="s">
        <v>279</v>
      </c>
      <c r="M1092" s="12"/>
      <c r="N1092" s="10" t="s">
        <v>15</v>
      </c>
      <c r="O1092" s="10" t="s">
        <v>2054</v>
      </c>
      <c r="P1092" s="25" t="str">
        <f>IFERROR(
IF(OR(O1092="anulado",O1092="stand by"),CONCATENATE(O1092,": ",H1092),
IF(OR(YEAR(M1092)=2022,YEAR(M1092)=2023),CONCATENATE("Se activó en ",YEAR(M1092)),
IF(AND(OR(O1092="En proceso",O1092="facturando"),AND(J1092="-",M1092="")),"Por revisar",
IF(M1092="",IF(J1092="NUEVAS",CONCATENATE("Estado: ",O1092,", ",J1092),
IF(L1092=Meses!$A$3,"Por revisar",
IF(H1092="","Sin registro","En programación Frcst."))),"En programación")))),
"Error")</f>
        <v>En programación Frcst.</v>
      </c>
      <c r="Q1092" s="9" t="str">
        <f t="shared" si="51"/>
        <v/>
      </c>
      <c r="R1092" s="25">
        <f>IF(P1092="En programación Frcst.",VLOOKUP(L1092,Meses!$A$1:$H$14,3+HLOOKUP(Cronograma!J1092,Meses!$D$1:$G$2,2,FALSE),FALSE),
IF(P1092="En programación",M1092,""))</f>
        <v>45316</v>
      </c>
      <c r="S1092" s="25" t="str">
        <f t="shared" si="53"/>
        <v>2024/1</v>
      </c>
      <c r="T1092" s="21">
        <f>IFERROR(
(VLOOKUP(MONTH(R1092),Meses!$B$3:$C$14,2,FALSE)-DAY(R1092))/VLOOKUP(MONTH(R1092),Meses!$B$3:$C$14,2,FALSE)*U1092,
"")</f>
        <v>335.80645161290323</v>
      </c>
      <c r="U1092" s="22">
        <f t="shared" si="52"/>
        <v>1735</v>
      </c>
    </row>
    <row r="1093" spans="1:21" ht="63" hidden="1" thickBot="1" x14ac:dyDescent="0.6">
      <c r="A1093" s="10" t="s">
        <v>1292</v>
      </c>
      <c r="B1093" s="10" t="s">
        <v>1384</v>
      </c>
      <c r="C1093" s="12"/>
      <c r="D1093" s="10" t="s">
        <v>23</v>
      </c>
      <c r="E1093" s="10" t="s">
        <v>23</v>
      </c>
      <c r="F1093" s="10">
        <v>139</v>
      </c>
      <c r="G1093" s="10" t="s">
        <v>15</v>
      </c>
      <c r="H1093" s="10" t="s">
        <v>2917</v>
      </c>
      <c r="I1093" s="10" t="s">
        <v>18</v>
      </c>
      <c r="J1093" s="10" t="s">
        <v>282</v>
      </c>
      <c r="K1093" s="10" t="s">
        <v>1119</v>
      </c>
      <c r="L1093" s="10" t="s">
        <v>1120</v>
      </c>
      <c r="M1093" s="12">
        <v>45358</v>
      </c>
      <c r="N1093" s="10" t="s">
        <v>15</v>
      </c>
      <c r="O1093" s="10" t="s">
        <v>2057</v>
      </c>
      <c r="P1093" s="25" t="str">
        <f>IFERROR(
IF(OR(O1093="anulado",O1093="stand by"),CONCATENATE(O1093,": ",H1093),
IF(OR(YEAR(M1093)=2022,YEAR(M1093)=2023),CONCATENATE("Se activó en ",YEAR(M1093)),
IF(AND(OR(O1093="En proceso",O1093="facturando"),AND(J1093="-",M1093="")),"Por revisar",
IF(M1093="",IF(J1093="NUEVAS",CONCATENATE("Estado: ",O1093,", ",J1093),
IF(L1093=Meses!$A$3,"Por revisar",
IF(H1093="","Sin registro","En programación Frcst."))),"En programación")))),
"Error")</f>
        <v>En programación</v>
      </c>
      <c r="Q1093" s="9" t="str">
        <f t="shared" si="51"/>
        <v/>
      </c>
      <c r="R1093" s="25">
        <f>IF(P1093="En programación Frcst.",VLOOKUP(L1093,Meses!$A$1:$H$14,3+HLOOKUP(Cronograma!J1093,Meses!$D$1:$G$2,2,FALSE),FALSE),
IF(P1093="En programación",M1093,""))</f>
        <v>45358</v>
      </c>
      <c r="S1093" s="25" t="str">
        <f t="shared" si="53"/>
        <v>2024/3</v>
      </c>
      <c r="T1093" s="21">
        <f>IFERROR(
(VLOOKUP(MONTH(R1093),Meses!$B$3:$C$14,2,FALSE)-DAY(R1093))/VLOOKUP(MONTH(R1093),Meses!$B$3:$C$14,2,FALSE)*U1093,
"")</f>
        <v>107.61290322580645</v>
      </c>
      <c r="U1093" s="22">
        <f t="shared" si="52"/>
        <v>139</v>
      </c>
    </row>
    <row r="1094" spans="1:21" ht="63" hidden="1" thickBot="1" x14ac:dyDescent="0.6">
      <c r="A1094" s="10" t="s">
        <v>1292</v>
      </c>
      <c r="B1094" s="10" t="s">
        <v>1385</v>
      </c>
      <c r="C1094" s="12">
        <v>45316</v>
      </c>
      <c r="D1094" s="10" t="s">
        <v>23</v>
      </c>
      <c r="E1094" s="10" t="s">
        <v>23</v>
      </c>
      <c r="F1094" s="10">
        <v>912</v>
      </c>
      <c r="G1094" s="10" t="s">
        <v>15</v>
      </c>
      <c r="H1094" s="10" t="s">
        <v>17</v>
      </c>
      <c r="I1094" s="10" t="s">
        <v>18</v>
      </c>
      <c r="J1094" s="10" t="s">
        <v>292</v>
      </c>
      <c r="K1094" s="10" t="s">
        <v>293</v>
      </c>
      <c r="L1094" s="10" t="s">
        <v>279</v>
      </c>
      <c r="M1094" s="12"/>
      <c r="N1094" s="10" t="s">
        <v>15</v>
      </c>
      <c r="O1094" s="10" t="s">
        <v>2054</v>
      </c>
      <c r="P1094" s="25" t="str">
        <f>IFERROR(
IF(OR(O1094="anulado",O1094="stand by"),CONCATENATE(O1094,": ",H1094),
IF(OR(YEAR(M1094)=2022,YEAR(M1094)=2023),CONCATENATE("Se activó en ",YEAR(M1094)),
IF(AND(OR(O1094="En proceso",O1094="facturando"),AND(J1094="-",M1094="")),"Por revisar",
IF(M1094="",IF(J1094="NUEVAS",CONCATENATE("Estado: ",O1094,", ",J1094),
IF(L1094=Meses!$A$3,"Por revisar",
IF(H1094="","Sin registro","En programación Frcst."))),"En programación")))),
"Error")</f>
        <v>En programación Frcst.</v>
      </c>
      <c r="Q1094" s="9" t="str">
        <f t="shared" si="51"/>
        <v/>
      </c>
      <c r="R1094" s="25">
        <f>IF(P1094="En programación Frcst.",VLOOKUP(L1094,Meses!$A$1:$H$14,3+HLOOKUP(Cronograma!J1094,Meses!$D$1:$G$2,2,FALSE),FALSE),
IF(P1094="En programación",M1094,""))</f>
        <v>45316</v>
      </c>
      <c r="S1094" s="25" t="str">
        <f t="shared" si="53"/>
        <v>2024/1</v>
      </c>
      <c r="T1094" s="21">
        <f>IFERROR(
(VLOOKUP(MONTH(R1094),Meses!$B$3:$C$14,2,FALSE)-DAY(R1094))/VLOOKUP(MONTH(R1094),Meses!$B$3:$C$14,2,FALSE)*U1094,
"")</f>
        <v>176.51612903225805</v>
      </c>
      <c r="U1094" s="22">
        <f t="shared" si="52"/>
        <v>912</v>
      </c>
    </row>
    <row r="1095" spans="1:21" ht="63" hidden="1" thickBot="1" x14ac:dyDescent="0.6">
      <c r="A1095" s="10" t="s">
        <v>1292</v>
      </c>
      <c r="B1095" s="10" t="s">
        <v>1386</v>
      </c>
      <c r="C1095" s="12">
        <v>45316</v>
      </c>
      <c r="D1095" s="10" t="s">
        <v>23</v>
      </c>
      <c r="E1095" s="10" t="s">
        <v>23</v>
      </c>
      <c r="F1095" s="10">
        <v>418</v>
      </c>
      <c r="G1095" s="10" t="s">
        <v>15</v>
      </c>
      <c r="H1095" s="10" t="s">
        <v>17</v>
      </c>
      <c r="I1095" s="10" t="s">
        <v>18</v>
      </c>
      <c r="J1095" s="10" t="s">
        <v>292</v>
      </c>
      <c r="K1095" s="10" t="s">
        <v>293</v>
      </c>
      <c r="L1095" s="10" t="s">
        <v>279</v>
      </c>
      <c r="M1095" s="12"/>
      <c r="N1095" s="10" t="s">
        <v>15</v>
      </c>
      <c r="O1095" s="10" t="s">
        <v>2054</v>
      </c>
      <c r="P1095" s="25" t="str">
        <f>IFERROR(
IF(OR(O1095="anulado",O1095="stand by"),CONCATENATE(O1095,": ",H1095),
IF(OR(YEAR(M1095)=2022,YEAR(M1095)=2023),CONCATENATE("Se activó en ",YEAR(M1095)),
IF(AND(OR(O1095="En proceso",O1095="facturando"),AND(J1095="-",M1095="")),"Por revisar",
IF(M1095="",IF(J1095="NUEVAS",CONCATENATE("Estado: ",O1095,", ",J1095),
IF(L1095=Meses!$A$3,"Por revisar",
IF(H1095="","Sin registro","En programación Frcst."))),"En programación")))),
"Error")</f>
        <v>En programación Frcst.</v>
      </c>
      <c r="Q1095" s="9" t="str">
        <f t="shared" si="51"/>
        <v/>
      </c>
      <c r="R1095" s="25">
        <f>IF(P1095="En programación Frcst.",VLOOKUP(L1095,Meses!$A$1:$H$14,3+HLOOKUP(Cronograma!J1095,Meses!$D$1:$G$2,2,FALSE),FALSE),
IF(P1095="En programación",M1095,""))</f>
        <v>45316</v>
      </c>
      <c r="S1095" s="25" t="str">
        <f t="shared" si="53"/>
        <v>2024/1</v>
      </c>
      <c r="T1095" s="21">
        <f>IFERROR(
(VLOOKUP(MONTH(R1095),Meses!$B$3:$C$14,2,FALSE)-DAY(R1095))/VLOOKUP(MONTH(R1095),Meses!$B$3:$C$14,2,FALSE)*U1095,
"")</f>
        <v>80.903225806451616</v>
      </c>
      <c r="U1095" s="22">
        <f t="shared" si="52"/>
        <v>418</v>
      </c>
    </row>
    <row r="1096" spans="1:21" ht="63" hidden="1" thickBot="1" x14ac:dyDescent="0.6">
      <c r="A1096" s="10" t="s">
        <v>1292</v>
      </c>
      <c r="B1096" s="10" t="s">
        <v>1387</v>
      </c>
      <c r="C1096" s="12"/>
      <c r="D1096" s="10" t="s">
        <v>23</v>
      </c>
      <c r="E1096" s="10" t="s">
        <v>23</v>
      </c>
      <c r="F1096" s="10">
        <v>0</v>
      </c>
      <c r="G1096" s="10" t="s">
        <v>15</v>
      </c>
      <c r="H1096" s="10" t="s">
        <v>2917</v>
      </c>
      <c r="I1096" s="10" t="s">
        <v>18</v>
      </c>
      <c r="J1096" s="10" t="s">
        <v>282</v>
      </c>
      <c r="K1096" s="10" t="s">
        <v>1119</v>
      </c>
      <c r="L1096" s="10" t="s">
        <v>1120</v>
      </c>
      <c r="M1096" s="12">
        <v>45358</v>
      </c>
      <c r="N1096" s="10" t="s">
        <v>15</v>
      </c>
      <c r="O1096" s="10" t="s">
        <v>2057</v>
      </c>
      <c r="P1096" s="25" t="str">
        <f>IFERROR(
IF(OR(O1096="anulado",O1096="stand by"),CONCATENATE(O1096,": ",H1096),
IF(OR(YEAR(M1096)=2022,YEAR(M1096)=2023),CONCATENATE("Se activó en ",YEAR(M1096)),
IF(AND(OR(O1096="En proceso",O1096="facturando"),AND(J1096="-",M1096="")),"Por revisar",
IF(M1096="",IF(J1096="NUEVAS",CONCATENATE("Estado: ",O1096,", ",J1096),
IF(L1096=Meses!$A$3,"Por revisar",
IF(H1096="","Sin registro","En programación Frcst."))),"En programación")))),
"Error")</f>
        <v>En programación</v>
      </c>
      <c r="Q1096" s="9" t="str">
        <f t="shared" si="51"/>
        <v/>
      </c>
      <c r="R1096" s="25">
        <f>IF(P1096="En programación Frcst.",VLOOKUP(L1096,Meses!$A$1:$H$14,3+HLOOKUP(Cronograma!J1096,Meses!$D$1:$G$2,2,FALSE),FALSE),
IF(P1096="En programación",M1096,""))</f>
        <v>45358</v>
      </c>
      <c r="S1096" s="25" t="str">
        <f t="shared" si="53"/>
        <v>2024/3</v>
      </c>
      <c r="T1096" s="21">
        <f>IFERROR(
(VLOOKUP(MONTH(R1096),Meses!$B$3:$C$14,2,FALSE)-DAY(R1096))/VLOOKUP(MONTH(R1096),Meses!$B$3:$C$14,2,FALSE)*U1096,
"")</f>
        <v>0</v>
      </c>
      <c r="U1096" s="22">
        <f t="shared" si="52"/>
        <v>0</v>
      </c>
    </row>
    <row r="1097" spans="1:21" ht="63" hidden="1" thickBot="1" x14ac:dyDescent="0.6">
      <c r="A1097" s="10" t="s">
        <v>1292</v>
      </c>
      <c r="B1097" s="10" t="s">
        <v>1388</v>
      </c>
      <c r="C1097" s="12">
        <v>45316</v>
      </c>
      <c r="D1097" s="10" t="s">
        <v>23</v>
      </c>
      <c r="E1097" s="10" t="s">
        <v>23</v>
      </c>
      <c r="F1097" s="10">
        <v>881</v>
      </c>
      <c r="G1097" s="10" t="s">
        <v>15</v>
      </c>
      <c r="H1097" s="10" t="s">
        <v>17</v>
      </c>
      <c r="I1097" s="10" t="s">
        <v>18</v>
      </c>
      <c r="J1097" s="10" t="s">
        <v>292</v>
      </c>
      <c r="K1097" s="10" t="s">
        <v>293</v>
      </c>
      <c r="L1097" s="10" t="s">
        <v>279</v>
      </c>
      <c r="M1097" s="12"/>
      <c r="N1097" s="10" t="s">
        <v>15</v>
      </c>
      <c r="O1097" s="10" t="s">
        <v>2054</v>
      </c>
      <c r="P1097" s="25" t="str">
        <f>IFERROR(
IF(OR(O1097="anulado",O1097="stand by"),CONCATENATE(O1097,": ",H1097),
IF(OR(YEAR(M1097)=2022,YEAR(M1097)=2023),CONCATENATE("Se activó en ",YEAR(M1097)),
IF(AND(OR(O1097="En proceso",O1097="facturando"),AND(J1097="-",M1097="")),"Por revisar",
IF(M1097="",IF(J1097="NUEVAS",CONCATENATE("Estado: ",O1097,", ",J1097),
IF(L1097=Meses!$A$3,"Por revisar",
IF(H1097="","Sin registro","En programación Frcst."))),"En programación")))),
"Error")</f>
        <v>En programación Frcst.</v>
      </c>
      <c r="Q1097" s="9" t="str">
        <f t="shared" si="51"/>
        <v/>
      </c>
      <c r="R1097" s="25">
        <f>IF(P1097="En programación Frcst.",VLOOKUP(L1097,Meses!$A$1:$H$14,3+HLOOKUP(Cronograma!J1097,Meses!$D$1:$G$2,2,FALSE),FALSE),
IF(P1097="En programación",M1097,""))</f>
        <v>45316</v>
      </c>
      <c r="S1097" s="25" t="str">
        <f t="shared" si="53"/>
        <v>2024/1</v>
      </c>
      <c r="T1097" s="21">
        <f>IFERROR(
(VLOOKUP(MONTH(R1097),Meses!$B$3:$C$14,2,FALSE)-DAY(R1097))/VLOOKUP(MONTH(R1097),Meses!$B$3:$C$14,2,FALSE)*U1097,
"")</f>
        <v>170.51612903225805</v>
      </c>
      <c r="U1097" s="22">
        <f t="shared" si="52"/>
        <v>881</v>
      </c>
    </row>
    <row r="1098" spans="1:21" ht="63" hidden="1" thickBot="1" x14ac:dyDescent="0.6">
      <c r="A1098" s="10" t="s">
        <v>1292</v>
      </c>
      <c r="B1098" s="10" t="s">
        <v>1389</v>
      </c>
      <c r="C1098" s="12">
        <v>45316</v>
      </c>
      <c r="D1098" s="10" t="s">
        <v>23</v>
      </c>
      <c r="E1098" s="10" t="s">
        <v>23</v>
      </c>
      <c r="F1098" s="10">
        <v>9</v>
      </c>
      <c r="G1098" s="10" t="s">
        <v>15</v>
      </c>
      <c r="H1098" s="10" t="s">
        <v>17</v>
      </c>
      <c r="I1098" s="10" t="s">
        <v>18</v>
      </c>
      <c r="J1098" s="10" t="s">
        <v>292</v>
      </c>
      <c r="K1098" s="10" t="s">
        <v>293</v>
      </c>
      <c r="L1098" s="10" t="s">
        <v>279</v>
      </c>
      <c r="M1098" s="12"/>
      <c r="N1098" s="10" t="s">
        <v>15</v>
      </c>
      <c r="O1098" s="10" t="s">
        <v>2054</v>
      </c>
      <c r="P1098" s="25" t="str">
        <f>IFERROR(
IF(OR(O1098="anulado",O1098="stand by"),CONCATENATE(O1098,": ",H1098),
IF(OR(YEAR(M1098)=2022,YEAR(M1098)=2023),CONCATENATE("Se activó en ",YEAR(M1098)),
IF(AND(OR(O1098="En proceso",O1098="facturando"),AND(J1098="-",M1098="")),"Por revisar",
IF(M1098="",IF(J1098="NUEVAS",CONCATENATE("Estado: ",O1098,", ",J1098),
IF(L1098=Meses!$A$3,"Por revisar",
IF(H1098="","Sin registro","En programación Frcst."))),"En programación")))),
"Error")</f>
        <v>En programación Frcst.</v>
      </c>
      <c r="Q1098" s="9" t="str">
        <f t="shared" si="51"/>
        <v/>
      </c>
      <c r="R1098" s="25">
        <f>IF(P1098="En programación Frcst.",VLOOKUP(L1098,Meses!$A$1:$H$14,3+HLOOKUP(Cronograma!J1098,Meses!$D$1:$G$2,2,FALSE),FALSE),
IF(P1098="En programación",M1098,""))</f>
        <v>45316</v>
      </c>
      <c r="S1098" s="25" t="str">
        <f t="shared" si="53"/>
        <v>2024/1</v>
      </c>
      <c r="T1098" s="21">
        <f>IFERROR(
(VLOOKUP(MONTH(R1098),Meses!$B$3:$C$14,2,FALSE)-DAY(R1098))/VLOOKUP(MONTH(R1098),Meses!$B$3:$C$14,2,FALSE)*U1098,
"")</f>
        <v>1.7419354838709677</v>
      </c>
      <c r="U1098" s="22">
        <f t="shared" si="52"/>
        <v>9</v>
      </c>
    </row>
    <row r="1099" spans="1:21" ht="63" hidden="1" thickBot="1" x14ac:dyDescent="0.6">
      <c r="A1099" s="10" t="s">
        <v>1292</v>
      </c>
      <c r="B1099" s="10" t="s">
        <v>1390</v>
      </c>
      <c r="C1099" s="12"/>
      <c r="D1099" s="10" t="s">
        <v>23</v>
      </c>
      <c r="E1099" s="10" t="s">
        <v>23</v>
      </c>
      <c r="F1099" s="10">
        <v>141</v>
      </c>
      <c r="G1099" s="10" t="s">
        <v>15</v>
      </c>
      <c r="H1099" s="10" t="s">
        <v>2917</v>
      </c>
      <c r="I1099" s="10" t="s">
        <v>18</v>
      </c>
      <c r="J1099" s="10" t="s">
        <v>282</v>
      </c>
      <c r="K1099" s="10" t="s">
        <v>1119</v>
      </c>
      <c r="L1099" s="10" t="s">
        <v>1120</v>
      </c>
      <c r="M1099" s="12">
        <v>45358</v>
      </c>
      <c r="N1099" s="10" t="s">
        <v>15</v>
      </c>
      <c r="O1099" s="10" t="s">
        <v>2057</v>
      </c>
      <c r="P1099" s="25" t="str">
        <f>IFERROR(
IF(OR(O1099="anulado",O1099="stand by"),CONCATENATE(O1099,": ",H1099),
IF(OR(YEAR(M1099)=2022,YEAR(M1099)=2023),CONCATENATE("Se activó en ",YEAR(M1099)),
IF(AND(OR(O1099="En proceso",O1099="facturando"),AND(J1099="-",M1099="")),"Por revisar",
IF(M1099="",IF(J1099="NUEVAS",CONCATENATE("Estado: ",O1099,", ",J1099),
IF(L1099=Meses!$A$3,"Por revisar",
IF(H1099="","Sin registro","En programación Frcst."))),"En programación")))),
"Error")</f>
        <v>En programación</v>
      </c>
      <c r="Q1099" s="9" t="str">
        <f t="shared" si="51"/>
        <v/>
      </c>
      <c r="R1099" s="25">
        <f>IF(P1099="En programación Frcst.",VLOOKUP(L1099,Meses!$A$1:$H$14,3+HLOOKUP(Cronograma!J1099,Meses!$D$1:$G$2,2,FALSE),FALSE),
IF(P1099="En programación",M1099,""))</f>
        <v>45358</v>
      </c>
      <c r="S1099" s="25" t="str">
        <f t="shared" si="53"/>
        <v>2024/3</v>
      </c>
      <c r="T1099" s="21">
        <f>IFERROR(
(VLOOKUP(MONTH(R1099),Meses!$B$3:$C$14,2,FALSE)-DAY(R1099))/VLOOKUP(MONTH(R1099),Meses!$B$3:$C$14,2,FALSE)*U1099,
"")</f>
        <v>109.16129032258064</v>
      </c>
      <c r="U1099" s="22">
        <f t="shared" si="52"/>
        <v>141</v>
      </c>
    </row>
    <row r="1100" spans="1:21" ht="63" hidden="1" thickBot="1" x14ac:dyDescent="0.6">
      <c r="A1100" s="10" t="s">
        <v>1292</v>
      </c>
      <c r="B1100" s="10" t="s">
        <v>1391</v>
      </c>
      <c r="C1100" s="12"/>
      <c r="D1100" s="10" t="s">
        <v>23</v>
      </c>
      <c r="E1100" s="10" t="s">
        <v>23</v>
      </c>
      <c r="F1100" s="10">
        <v>431</v>
      </c>
      <c r="G1100" s="10" t="s">
        <v>15</v>
      </c>
      <c r="H1100" s="10" t="s">
        <v>2917</v>
      </c>
      <c r="I1100" s="10" t="s">
        <v>18</v>
      </c>
      <c r="J1100" s="10" t="s">
        <v>282</v>
      </c>
      <c r="K1100" s="10" t="s">
        <v>1119</v>
      </c>
      <c r="L1100" s="10" t="s">
        <v>1120</v>
      </c>
      <c r="M1100" s="12">
        <v>45358</v>
      </c>
      <c r="N1100" s="10" t="s">
        <v>15</v>
      </c>
      <c r="O1100" s="10" t="s">
        <v>2057</v>
      </c>
      <c r="P1100" s="25" t="str">
        <f>IFERROR(
IF(OR(O1100="anulado",O1100="stand by"),CONCATENATE(O1100,": ",H1100),
IF(OR(YEAR(M1100)=2022,YEAR(M1100)=2023),CONCATENATE("Se activó en ",YEAR(M1100)),
IF(AND(OR(O1100="En proceso",O1100="facturando"),AND(J1100="-",M1100="")),"Por revisar",
IF(M1100="",IF(J1100="NUEVAS",CONCATENATE("Estado: ",O1100,", ",J1100),
IF(L1100=Meses!$A$3,"Por revisar",
IF(H1100="","Sin registro","En programación Frcst."))),"En programación")))),
"Error")</f>
        <v>En programación</v>
      </c>
      <c r="Q1100" s="9" t="str">
        <f t="shared" si="51"/>
        <v/>
      </c>
      <c r="R1100" s="25">
        <f>IF(P1100="En programación Frcst.",VLOOKUP(L1100,Meses!$A$1:$H$14,3+HLOOKUP(Cronograma!J1100,Meses!$D$1:$G$2,2,FALSE),FALSE),
IF(P1100="En programación",M1100,""))</f>
        <v>45358</v>
      </c>
      <c r="S1100" s="25" t="str">
        <f t="shared" si="53"/>
        <v>2024/3</v>
      </c>
      <c r="T1100" s="21">
        <f>IFERROR(
(VLOOKUP(MONTH(R1100),Meses!$B$3:$C$14,2,FALSE)-DAY(R1100))/VLOOKUP(MONTH(R1100),Meses!$B$3:$C$14,2,FALSE)*U1100,
"")</f>
        <v>333.67741935483872</v>
      </c>
      <c r="U1100" s="22">
        <f t="shared" si="52"/>
        <v>431</v>
      </c>
    </row>
    <row r="1101" spans="1:21" ht="63" hidden="1" thickBot="1" x14ac:dyDescent="0.6">
      <c r="A1101" s="10" t="s">
        <v>1292</v>
      </c>
      <c r="B1101" s="10" t="s">
        <v>1392</v>
      </c>
      <c r="C1101" s="12"/>
      <c r="D1101" s="10" t="s">
        <v>23</v>
      </c>
      <c r="E1101" s="10" t="s">
        <v>23</v>
      </c>
      <c r="F1101" s="10">
        <v>630</v>
      </c>
      <c r="G1101" s="10" t="s">
        <v>15</v>
      </c>
      <c r="H1101" s="10" t="s">
        <v>2917</v>
      </c>
      <c r="I1101" s="10" t="s">
        <v>18</v>
      </c>
      <c r="J1101" s="10" t="s">
        <v>282</v>
      </c>
      <c r="K1101" s="10" t="s">
        <v>1119</v>
      </c>
      <c r="L1101" s="10" t="s">
        <v>1120</v>
      </c>
      <c r="M1101" s="12">
        <v>45358</v>
      </c>
      <c r="N1101" s="10" t="s">
        <v>15</v>
      </c>
      <c r="O1101" s="10" t="s">
        <v>2057</v>
      </c>
      <c r="P1101" s="25" t="str">
        <f>IFERROR(
IF(OR(O1101="anulado",O1101="stand by"),CONCATENATE(O1101,": ",H1101),
IF(OR(YEAR(M1101)=2022,YEAR(M1101)=2023),CONCATENATE("Se activó en ",YEAR(M1101)),
IF(AND(OR(O1101="En proceso",O1101="facturando"),AND(J1101="-",M1101="")),"Por revisar",
IF(M1101="",IF(J1101="NUEVAS",CONCATENATE("Estado: ",O1101,", ",J1101),
IF(L1101=Meses!$A$3,"Por revisar",
IF(H1101="","Sin registro","En programación Frcst."))),"En programación")))),
"Error")</f>
        <v>En programación</v>
      </c>
      <c r="Q1101" s="9" t="str">
        <f t="shared" si="51"/>
        <v/>
      </c>
      <c r="R1101" s="25">
        <f>IF(P1101="En programación Frcst.",VLOOKUP(L1101,Meses!$A$1:$H$14,3+HLOOKUP(Cronograma!J1101,Meses!$D$1:$G$2,2,FALSE),FALSE),
IF(P1101="En programación",M1101,""))</f>
        <v>45358</v>
      </c>
      <c r="S1101" s="25" t="str">
        <f t="shared" si="53"/>
        <v>2024/3</v>
      </c>
      <c r="T1101" s="21">
        <f>IFERROR(
(VLOOKUP(MONTH(R1101),Meses!$B$3:$C$14,2,FALSE)-DAY(R1101))/VLOOKUP(MONTH(R1101),Meses!$B$3:$C$14,2,FALSE)*U1101,
"")</f>
        <v>487.74193548387098</v>
      </c>
      <c r="U1101" s="22">
        <f t="shared" si="52"/>
        <v>630</v>
      </c>
    </row>
    <row r="1102" spans="1:21" ht="63" hidden="1" thickBot="1" x14ac:dyDescent="0.6">
      <c r="A1102" s="10" t="s">
        <v>1292</v>
      </c>
      <c r="B1102" s="10" t="s">
        <v>1393</v>
      </c>
      <c r="C1102" s="12">
        <v>45316</v>
      </c>
      <c r="D1102" s="10" t="s">
        <v>23</v>
      </c>
      <c r="E1102" s="10" t="s">
        <v>23</v>
      </c>
      <c r="F1102" s="10">
        <v>65</v>
      </c>
      <c r="G1102" s="10" t="s">
        <v>15</v>
      </c>
      <c r="H1102" s="10" t="s">
        <v>2406</v>
      </c>
      <c r="I1102" s="10" t="s">
        <v>18</v>
      </c>
      <c r="J1102" s="10" t="s">
        <v>292</v>
      </c>
      <c r="K1102" s="10" t="s">
        <v>293</v>
      </c>
      <c r="L1102" s="10" t="s">
        <v>279</v>
      </c>
      <c r="M1102" s="12"/>
      <c r="N1102" s="10" t="s">
        <v>15</v>
      </c>
      <c r="O1102" s="10" t="s">
        <v>2054</v>
      </c>
      <c r="P1102" s="25" t="str">
        <f>IFERROR(
IF(OR(O1102="anulado",O1102="stand by"),CONCATENATE(O1102,": ",H1102),
IF(OR(YEAR(M1102)=2022,YEAR(M1102)=2023),CONCATENATE("Se activó en ",YEAR(M1102)),
IF(AND(OR(O1102="En proceso",O1102="facturando"),AND(J1102="-",M1102="")),"Por revisar",
IF(M1102="",IF(J1102="NUEVAS",CONCATENATE("Estado: ",O1102,", ",J1102),
IF(L1102=Meses!$A$3,"Por revisar",
IF(H1102="","Sin registro","En programación Frcst."))),"En programación")))),
"Error")</f>
        <v>En programación Frcst.</v>
      </c>
      <c r="Q1102" s="9" t="str">
        <f t="shared" si="51"/>
        <v/>
      </c>
      <c r="R1102" s="25">
        <f>IF(P1102="En programación Frcst.",VLOOKUP(L1102,Meses!$A$1:$H$14,3+HLOOKUP(Cronograma!J1102,Meses!$D$1:$G$2,2,FALSE),FALSE),
IF(P1102="En programación",M1102,""))</f>
        <v>45316</v>
      </c>
      <c r="S1102" s="25" t="str">
        <f t="shared" si="53"/>
        <v>2024/1</v>
      </c>
      <c r="T1102" s="21">
        <f>IFERROR(
(VLOOKUP(MONTH(R1102),Meses!$B$3:$C$14,2,FALSE)-DAY(R1102))/VLOOKUP(MONTH(R1102),Meses!$B$3:$C$14,2,FALSE)*U1102,
"")</f>
        <v>12.580645161290322</v>
      </c>
      <c r="U1102" s="22">
        <f t="shared" si="52"/>
        <v>65</v>
      </c>
    </row>
    <row r="1103" spans="1:21" ht="63" hidden="1" thickBot="1" x14ac:dyDescent="0.6">
      <c r="A1103" s="10" t="s">
        <v>1292</v>
      </c>
      <c r="B1103" s="10" t="s">
        <v>1394</v>
      </c>
      <c r="C1103" s="12"/>
      <c r="D1103" s="10" t="s">
        <v>23</v>
      </c>
      <c r="E1103" s="10" t="s">
        <v>23</v>
      </c>
      <c r="F1103" s="10">
        <v>6767</v>
      </c>
      <c r="G1103" s="10" t="s">
        <v>15</v>
      </c>
      <c r="H1103" s="10" t="s">
        <v>2917</v>
      </c>
      <c r="I1103" s="10" t="s">
        <v>18</v>
      </c>
      <c r="J1103" s="10" t="s">
        <v>282</v>
      </c>
      <c r="K1103" s="10" t="s">
        <v>1119</v>
      </c>
      <c r="L1103" s="10" t="s">
        <v>1120</v>
      </c>
      <c r="M1103" s="12">
        <v>45358</v>
      </c>
      <c r="N1103" s="10" t="s">
        <v>15</v>
      </c>
      <c r="O1103" s="10" t="s">
        <v>2057</v>
      </c>
      <c r="P1103" s="25" t="str">
        <f>IFERROR(
IF(OR(O1103="anulado",O1103="stand by"),CONCATENATE(O1103,": ",H1103),
IF(OR(YEAR(M1103)=2022,YEAR(M1103)=2023),CONCATENATE("Se activó en ",YEAR(M1103)),
IF(AND(OR(O1103="En proceso",O1103="facturando"),AND(J1103="-",M1103="")),"Por revisar",
IF(M1103="",IF(J1103="NUEVAS",CONCATENATE("Estado: ",O1103,", ",J1103),
IF(L1103=Meses!$A$3,"Por revisar",
IF(H1103="","Sin registro","En programación Frcst."))),"En programación")))),
"Error")</f>
        <v>En programación</v>
      </c>
      <c r="Q1103" s="9" t="str">
        <f t="shared" si="51"/>
        <v/>
      </c>
      <c r="R1103" s="25">
        <f>IF(P1103="En programación Frcst.",VLOOKUP(L1103,Meses!$A$1:$H$14,3+HLOOKUP(Cronograma!J1103,Meses!$D$1:$G$2,2,FALSE),FALSE),
IF(P1103="En programación",M1103,""))</f>
        <v>45358</v>
      </c>
      <c r="S1103" s="25" t="str">
        <f t="shared" si="53"/>
        <v>2024/3</v>
      </c>
      <c r="T1103" s="21">
        <f>IFERROR(
(VLOOKUP(MONTH(R1103),Meses!$B$3:$C$14,2,FALSE)-DAY(R1103))/VLOOKUP(MONTH(R1103),Meses!$B$3:$C$14,2,FALSE)*U1103,
"")</f>
        <v>5238.9677419354839</v>
      </c>
      <c r="U1103" s="22">
        <f t="shared" si="52"/>
        <v>6767</v>
      </c>
    </row>
    <row r="1104" spans="1:21" ht="63" hidden="1" thickBot="1" x14ac:dyDescent="0.6">
      <c r="A1104" s="10" t="s">
        <v>1292</v>
      </c>
      <c r="B1104" s="10" t="s">
        <v>1395</v>
      </c>
      <c r="C1104" s="12"/>
      <c r="D1104" s="10" t="s">
        <v>23</v>
      </c>
      <c r="E1104" s="10" t="s">
        <v>23</v>
      </c>
      <c r="F1104" s="10">
        <v>4820</v>
      </c>
      <c r="G1104" s="10" t="s">
        <v>15</v>
      </c>
      <c r="H1104" s="10" t="s">
        <v>2917</v>
      </c>
      <c r="I1104" s="10" t="s">
        <v>18</v>
      </c>
      <c r="J1104" s="10" t="s">
        <v>282</v>
      </c>
      <c r="K1104" s="10" t="s">
        <v>1119</v>
      </c>
      <c r="L1104" s="10" t="s">
        <v>1120</v>
      </c>
      <c r="M1104" s="12">
        <v>45358</v>
      </c>
      <c r="N1104" s="10" t="s">
        <v>15</v>
      </c>
      <c r="O1104" s="10" t="s">
        <v>2057</v>
      </c>
      <c r="P1104" s="25" t="str">
        <f>IFERROR(
IF(OR(O1104="anulado",O1104="stand by"),CONCATENATE(O1104,": ",H1104),
IF(OR(YEAR(M1104)=2022,YEAR(M1104)=2023),CONCATENATE("Se activó en ",YEAR(M1104)),
IF(AND(OR(O1104="En proceso",O1104="facturando"),AND(J1104="-",M1104="")),"Por revisar",
IF(M1104="",IF(J1104="NUEVAS",CONCATENATE("Estado: ",O1104,", ",J1104),
IF(L1104=Meses!$A$3,"Por revisar",
IF(H1104="","Sin registro","En programación Frcst."))),"En programación")))),
"Error")</f>
        <v>En programación</v>
      </c>
      <c r="Q1104" s="9" t="str">
        <f t="shared" si="51"/>
        <v/>
      </c>
      <c r="R1104" s="25">
        <f>IF(P1104="En programación Frcst.",VLOOKUP(L1104,Meses!$A$1:$H$14,3+HLOOKUP(Cronograma!J1104,Meses!$D$1:$G$2,2,FALSE),FALSE),
IF(P1104="En programación",M1104,""))</f>
        <v>45358</v>
      </c>
      <c r="S1104" s="25" t="str">
        <f t="shared" si="53"/>
        <v>2024/3</v>
      </c>
      <c r="T1104" s="21">
        <f>IFERROR(
(VLOOKUP(MONTH(R1104),Meses!$B$3:$C$14,2,FALSE)-DAY(R1104))/VLOOKUP(MONTH(R1104),Meses!$B$3:$C$14,2,FALSE)*U1104,
"")</f>
        <v>3731.6129032258063</v>
      </c>
      <c r="U1104" s="22">
        <f t="shared" si="52"/>
        <v>4820</v>
      </c>
    </row>
    <row r="1105" spans="1:21" ht="63" hidden="1" thickBot="1" x14ac:dyDescent="0.6">
      <c r="A1105" s="10" t="s">
        <v>1292</v>
      </c>
      <c r="B1105" s="10" t="s">
        <v>1396</v>
      </c>
      <c r="C1105" s="12">
        <v>45316</v>
      </c>
      <c r="D1105" s="10" t="s">
        <v>23</v>
      </c>
      <c r="E1105" s="10" t="s">
        <v>23</v>
      </c>
      <c r="F1105" s="10">
        <v>2862</v>
      </c>
      <c r="G1105" s="10" t="s">
        <v>15</v>
      </c>
      <c r="H1105" s="10" t="s">
        <v>2406</v>
      </c>
      <c r="I1105" s="10" t="s">
        <v>18</v>
      </c>
      <c r="J1105" s="10" t="s">
        <v>292</v>
      </c>
      <c r="K1105" s="10" t="s">
        <v>293</v>
      </c>
      <c r="L1105" s="10" t="s">
        <v>279</v>
      </c>
      <c r="M1105" s="12"/>
      <c r="N1105" s="10" t="s">
        <v>15</v>
      </c>
      <c r="O1105" s="10" t="s">
        <v>2054</v>
      </c>
      <c r="P1105" s="25" t="str">
        <f>IFERROR(
IF(OR(O1105="anulado",O1105="stand by"),CONCATENATE(O1105,": ",H1105),
IF(OR(YEAR(M1105)=2022,YEAR(M1105)=2023),CONCATENATE("Se activó en ",YEAR(M1105)),
IF(AND(OR(O1105="En proceso",O1105="facturando"),AND(J1105="-",M1105="")),"Por revisar",
IF(M1105="",IF(J1105="NUEVAS",CONCATENATE("Estado: ",O1105,", ",J1105),
IF(L1105=Meses!$A$3,"Por revisar",
IF(H1105="","Sin registro","En programación Frcst."))),"En programación")))),
"Error")</f>
        <v>En programación Frcst.</v>
      </c>
      <c r="Q1105" s="9" t="str">
        <f t="shared" si="51"/>
        <v/>
      </c>
      <c r="R1105" s="25">
        <f>IF(P1105="En programación Frcst.",VLOOKUP(L1105,Meses!$A$1:$H$14,3+HLOOKUP(Cronograma!J1105,Meses!$D$1:$G$2,2,FALSE),FALSE),
IF(P1105="En programación",M1105,""))</f>
        <v>45316</v>
      </c>
      <c r="S1105" s="25" t="str">
        <f t="shared" si="53"/>
        <v>2024/1</v>
      </c>
      <c r="T1105" s="21">
        <f>IFERROR(
(VLOOKUP(MONTH(R1105),Meses!$B$3:$C$14,2,FALSE)-DAY(R1105))/VLOOKUP(MONTH(R1105),Meses!$B$3:$C$14,2,FALSE)*U1105,
"")</f>
        <v>553.93548387096769</v>
      </c>
      <c r="U1105" s="22">
        <f t="shared" si="52"/>
        <v>2862</v>
      </c>
    </row>
    <row r="1106" spans="1:21" ht="63" hidden="1" thickBot="1" x14ac:dyDescent="0.6">
      <c r="A1106" s="10" t="s">
        <v>1292</v>
      </c>
      <c r="B1106" s="10" t="s">
        <v>1397</v>
      </c>
      <c r="C1106" s="12">
        <v>45316</v>
      </c>
      <c r="D1106" s="10" t="s">
        <v>23</v>
      </c>
      <c r="E1106" s="10" t="s">
        <v>23</v>
      </c>
      <c r="F1106" s="10">
        <v>38</v>
      </c>
      <c r="G1106" s="10" t="s">
        <v>15</v>
      </c>
      <c r="H1106" s="10" t="s">
        <v>2406</v>
      </c>
      <c r="I1106" s="10" t="s">
        <v>18</v>
      </c>
      <c r="J1106" s="10" t="s">
        <v>292</v>
      </c>
      <c r="K1106" s="10" t="s">
        <v>293</v>
      </c>
      <c r="L1106" s="10" t="s">
        <v>279</v>
      </c>
      <c r="M1106" s="12"/>
      <c r="N1106" s="10" t="s">
        <v>15</v>
      </c>
      <c r="O1106" s="10" t="s">
        <v>2054</v>
      </c>
      <c r="P1106" s="25" t="str">
        <f>IFERROR(
IF(OR(O1106="anulado",O1106="stand by"),CONCATENATE(O1106,": ",H1106),
IF(OR(YEAR(M1106)=2022,YEAR(M1106)=2023),CONCATENATE("Se activó en ",YEAR(M1106)),
IF(AND(OR(O1106="En proceso",O1106="facturando"),AND(J1106="-",M1106="")),"Por revisar",
IF(M1106="",IF(J1106="NUEVAS",CONCATENATE("Estado: ",O1106,", ",J1106),
IF(L1106=Meses!$A$3,"Por revisar",
IF(H1106="","Sin registro","En programación Frcst."))),"En programación")))),
"Error")</f>
        <v>En programación Frcst.</v>
      </c>
      <c r="Q1106" s="9" t="str">
        <f t="shared" si="51"/>
        <v/>
      </c>
      <c r="R1106" s="25">
        <f>IF(P1106="En programación Frcst.",VLOOKUP(L1106,Meses!$A$1:$H$14,3+HLOOKUP(Cronograma!J1106,Meses!$D$1:$G$2,2,FALSE),FALSE),
IF(P1106="En programación",M1106,""))</f>
        <v>45316</v>
      </c>
      <c r="S1106" s="25" t="str">
        <f t="shared" si="53"/>
        <v>2024/1</v>
      </c>
      <c r="T1106" s="21">
        <f>IFERROR(
(VLOOKUP(MONTH(R1106),Meses!$B$3:$C$14,2,FALSE)-DAY(R1106))/VLOOKUP(MONTH(R1106),Meses!$B$3:$C$14,2,FALSE)*U1106,
"")</f>
        <v>7.354838709677419</v>
      </c>
      <c r="U1106" s="22">
        <f t="shared" si="52"/>
        <v>38</v>
      </c>
    </row>
    <row r="1107" spans="1:21" ht="63" hidden="1" thickBot="1" x14ac:dyDescent="0.6">
      <c r="A1107" s="10" t="s">
        <v>1292</v>
      </c>
      <c r="B1107" s="10" t="s">
        <v>1398</v>
      </c>
      <c r="C1107" s="12">
        <v>45316</v>
      </c>
      <c r="D1107" s="10" t="s">
        <v>23</v>
      </c>
      <c r="E1107" s="10" t="s">
        <v>23</v>
      </c>
      <c r="F1107" s="10">
        <v>148</v>
      </c>
      <c r="G1107" s="10" t="s">
        <v>15</v>
      </c>
      <c r="H1107" s="10" t="s">
        <v>2406</v>
      </c>
      <c r="I1107" s="10" t="s">
        <v>18</v>
      </c>
      <c r="J1107" s="10" t="s">
        <v>292</v>
      </c>
      <c r="K1107" s="10" t="s">
        <v>293</v>
      </c>
      <c r="L1107" s="10" t="s">
        <v>279</v>
      </c>
      <c r="M1107" s="12"/>
      <c r="N1107" s="10" t="s">
        <v>15</v>
      </c>
      <c r="O1107" s="10" t="s">
        <v>2054</v>
      </c>
      <c r="P1107" s="25" t="str">
        <f>IFERROR(
IF(OR(O1107="anulado",O1107="stand by"),CONCATENATE(O1107,": ",H1107),
IF(OR(YEAR(M1107)=2022,YEAR(M1107)=2023),CONCATENATE("Se activó en ",YEAR(M1107)),
IF(AND(OR(O1107="En proceso",O1107="facturando"),AND(J1107="-",M1107="")),"Por revisar",
IF(M1107="",IF(J1107="NUEVAS",CONCATENATE("Estado: ",O1107,", ",J1107),
IF(L1107=Meses!$A$3,"Por revisar",
IF(H1107="","Sin registro","En programación Frcst."))),"En programación")))),
"Error")</f>
        <v>En programación Frcst.</v>
      </c>
      <c r="Q1107" s="9" t="str">
        <f t="shared" si="51"/>
        <v/>
      </c>
      <c r="R1107" s="25">
        <f>IF(P1107="En programación Frcst.",VLOOKUP(L1107,Meses!$A$1:$H$14,3+HLOOKUP(Cronograma!J1107,Meses!$D$1:$G$2,2,FALSE),FALSE),
IF(P1107="En programación",M1107,""))</f>
        <v>45316</v>
      </c>
      <c r="S1107" s="25" t="str">
        <f t="shared" si="53"/>
        <v>2024/1</v>
      </c>
      <c r="T1107" s="21">
        <f>IFERROR(
(VLOOKUP(MONTH(R1107),Meses!$B$3:$C$14,2,FALSE)-DAY(R1107))/VLOOKUP(MONTH(R1107),Meses!$B$3:$C$14,2,FALSE)*U1107,
"")</f>
        <v>28.64516129032258</v>
      </c>
      <c r="U1107" s="22">
        <f t="shared" si="52"/>
        <v>148</v>
      </c>
    </row>
    <row r="1108" spans="1:21" ht="63" hidden="1" thickBot="1" x14ac:dyDescent="0.6">
      <c r="A1108" s="10" t="s">
        <v>1292</v>
      </c>
      <c r="B1108" s="10" t="s">
        <v>1399</v>
      </c>
      <c r="C1108" s="12"/>
      <c r="D1108" s="10" t="s">
        <v>23</v>
      </c>
      <c r="E1108" s="10" t="s">
        <v>23</v>
      </c>
      <c r="F1108" s="10">
        <v>0</v>
      </c>
      <c r="G1108" s="10" t="s">
        <v>15</v>
      </c>
      <c r="H1108" s="10" t="s">
        <v>2917</v>
      </c>
      <c r="I1108" s="10" t="s">
        <v>18</v>
      </c>
      <c r="J1108" s="10" t="s">
        <v>282</v>
      </c>
      <c r="K1108" s="10" t="s">
        <v>1119</v>
      </c>
      <c r="L1108" s="10" t="s">
        <v>1120</v>
      </c>
      <c r="M1108" s="12">
        <v>45358</v>
      </c>
      <c r="N1108" s="10" t="s">
        <v>15</v>
      </c>
      <c r="O1108" s="10" t="s">
        <v>2057</v>
      </c>
      <c r="P1108" s="25" t="str">
        <f>IFERROR(
IF(OR(O1108="anulado",O1108="stand by"),CONCATENATE(O1108,": ",H1108),
IF(OR(YEAR(M1108)=2022,YEAR(M1108)=2023),CONCATENATE("Se activó en ",YEAR(M1108)),
IF(AND(OR(O1108="En proceso",O1108="facturando"),AND(J1108="-",M1108="")),"Por revisar",
IF(M1108="",IF(J1108="NUEVAS",CONCATENATE("Estado: ",O1108,", ",J1108),
IF(L1108=Meses!$A$3,"Por revisar",
IF(H1108="","Sin registro","En programación Frcst."))),"En programación")))),
"Error")</f>
        <v>En programación</v>
      </c>
      <c r="Q1108" s="9" t="str">
        <f t="shared" si="51"/>
        <v/>
      </c>
      <c r="R1108" s="25">
        <f>IF(P1108="En programación Frcst.",VLOOKUP(L1108,Meses!$A$1:$H$14,3+HLOOKUP(Cronograma!J1108,Meses!$D$1:$G$2,2,FALSE),FALSE),
IF(P1108="En programación",M1108,""))</f>
        <v>45358</v>
      </c>
      <c r="S1108" s="25" t="str">
        <f t="shared" si="53"/>
        <v>2024/3</v>
      </c>
      <c r="T1108" s="21">
        <f>IFERROR(
(VLOOKUP(MONTH(R1108),Meses!$B$3:$C$14,2,FALSE)-DAY(R1108))/VLOOKUP(MONTH(R1108),Meses!$B$3:$C$14,2,FALSE)*U1108,
"")</f>
        <v>0</v>
      </c>
      <c r="U1108" s="22">
        <f t="shared" si="52"/>
        <v>0</v>
      </c>
    </row>
    <row r="1109" spans="1:21" ht="63" hidden="1" thickBot="1" x14ac:dyDescent="0.6">
      <c r="A1109" s="10" t="s">
        <v>1292</v>
      </c>
      <c r="B1109" s="10" t="s">
        <v>1400</v>
      </c>
      <c r="C1109" s="12"/>
      <c r="D1109" s="10" t="s">
        <v>23</v>
      </c>
      <c r="E1109" s="10" t="s">
        <v>23</v>
      </c>
      <c r="F1109" s="10">
        <v>337</v>
      </c>
      <c r="G1109" s="10" t="s">
        <v>15</v>
      </c>
      <c r="H1109" s="10" t="s">
        <v>2917</v>
      </c>
      <c r="I1109" s="10" t="s">
        <v>18</v>
      </c>
      <c r="J1109" s="10" t="s">
        <v>282</v>
      </c>
      <c r="K1109" s="10" t="s">
        <v>1119</v>
      </c>
      <c r="L1109" s="10" t="s">
        <v>1120</v>
      </c>
      <c r="M1109" s="12">
        <v>45358</v>
      </c>
      <c r="N1109" s="10" t="s">
        <v>15</v>
      </c>
      <c r="O1109" s="10" t="s">
        <v>2057</v>
      </c>
      <c r="P1109" s="25" t="str">
        <f>IFERROR(
IF(OR(O1109="anulado",O1109="stand by"),CONCATENATE(O1109,": ",H1109),
IF(OR(YEAR(M1109)=2022,YEAR(M1109)=2023),CONCATENATE("Se activó en ",YEAR(M1109)),
IF(AND(OR(O1109="En proceso",O1109="facturando"),AND(J1109="-",M1109="")),"Por revisar",
IF(M1109="",IF(J1109="NUEVAS",CONCATENATE("Estado: ",O1109,", ",J1109),
IF(L1109=Meses!$A$3,"Por revisar",
IF(H1109="","Sin registro","En programación Frcst."))),"En programación")))),
"Error")</f>
        <v>En programación</v>
      </c>
      <c r="Q1109" s="9" t="str">
        <f t="shared" si="51"/>
        <v/>
      </c>
      <c r="R1109" s="25">
        <f>IF(P1109="En programación Frcst.",VLOOKUP(L1109,Meses!$A$1:$H$14,3+HLOOKUP(Cronograma!J1109,Meses!$D$1:$G$2,2,FALSE),FALSE),
IF(P1109="En programación",M1109,""))</f>
        <v>45358</v>
      </c>
      <c r="S1109" s="25" t="str">
        <f t="shared" si="53"/>
        <v>2024/3</v>
      </c>
      <c r="T1109" s="21">
        <f>IFERROR(
(VLOOKUP(MONTH(R1109),Meses!$B$3:$C$14,2,FALSE)-DAY(R1109))/VLOOKUP(MONTH(R1109),Meses!$B$3:$C$14,2,FALSE)*U1109,
"")</f>
        <v>260.90322580645159</v>
      </c>
      <c r="U1109" s="22">
        <f t="shared" si="52"/>
        <v>337</v>
      </c>
    </row>
    <row r="1110" spans="1:21" ht="63" hidden="1" thickBot="1" x14ac:dyDescent="0.6">
      <c r="A1110" s="10" t="s">
        <v>1292</v>
      </c>
      <c r="B1110" s="10" t="s">
        <v>1401</v>
      </c>
      <c r="C1110" s="12"/>
      <c r="D1110" s="10" t="s">
        <v>23</v>
      </c>
      <c r="E1110" s="10" t="s">
        <v>23</v>
      </c>
      <c r="F1110" s="10">
        <v>0</v>
      </c>
      <c r="G1110" s="10" t="s">
        <v>15</v>
      </c>
      <c r="H1110" s="10" t="s">
        <v>2917</v>
      </c>
      <c r="I1110" s="10" t="s">
        <v>18</v>
      </c>
      <c r="J1110" s="10" t="s">
        <v>282</v>
      </c>
      <c r="K1110" s="10" t="s">
        <v>1119</v>
      </c>
      <c r="L1110" s="10" t="s">
        <v>1120</v>
      </c>
      <c r="M1110" s="12">
        <v>45358</v>
      </c>
      <c r="N1110" s="10" t="s">
        <v>15</v>
      </c>
      <c r="O1110" s="10" t="s">
        <v>2057</v>
      </c>
      <c r="P1110" s="25" t="str">
        <f>IFERROR(
IF(OR(O1110="anulado",O1110="stand by"),CONCATENATE(O1110,": ",H1110),
IF(OR(YEAR(M1110)=2022,YEAR(M1110)=2023),CONCATENATE("Se activó en ",YEAR(M1110)),
IF(AND(OR(O1110="En proceso",O1110="facturando"),AND(J1110="-",M1110="")),"Por revisar",
IF(M1110="",IF(J1110="NUEVAS",CONCATENATE("Estado: ",O1110,", ",J1110),
IF(L1110=Meses!$A$3,"Por revisar",
IF(H1110="","Sin registro","En programación Frcst."))),"En programación")))),
"Error")</f>
        <v>En programación</v>
      </c>
      <c r="Q1110" s="9" t="str">
        <f t="shared" si="51"/>
        <v/>
      </c>
      <c r="R1110" s="25">
        <f>IF(P1110="En programación Frcst.",VLOOKUP(L1110,Meses!$A$1:$H$14,3+HLOOKUP(Cronograma!J1110,Meses!$D$1:$G$2,2,FALSE),FALSE),
IF(P1110="En programación",M1110,""))</f>
        <v>45358</v>
      </c>
      <c r="S1110" s="25" t="str">
        <f t="shared" si="53"/>
        <v>2024/3</v>
      </c>
      <c r="T1110" s="21">
        <f>IFERROR(
(VLOOKUP(MONTH(R1110),Meses!$B$3:$C$14,2,FALSE)-DAY(R1110))/VLOOKUP(MONTH(R1110),Meses!$B$3:$C$14,2,FALSE)*U1110,
"")</f>
        <v>0</v>
      </c>
      <c r="U1110" s="22">
        <f t="shared" si="52"/>
        <v>0</v>
      </c>
    </row>
    <row r="1111" spans="1:21" ht="63" hidden="1" thickBot="1" x14ac:dyDescent="0.6">
      <c r="A1111" s="10" t="s">
        <v>1292</v>
      </c>
      <c r="B1111" s="10" t="s">
        <v>1402</v>
      </c>
      <c r="C1111" s="12"/>
      <c r="D1111" s="10" t="s">
        <v>23</v>
      </c>
      <c r="E1111" s="10" t="s">
        <v>23</v>
      </c>
      <c r="F1111" s="10">
        <v>2908</v>
      </c>
      <c r="G1111" s="10" t="s">
        <v>15</v>
      </c>
      <c r="H1111" s="10" t="s">
        <v>2917</v>
      </c>
      <c r="I1111" s="10" t="s">
        <v>18</v>
      </c>
      <c r="J1111" s="10" t="s">
        <v>282</v>
      </c>
      <c r="K1111" s="10" t="s">
        <v>1119</v>
      </c>
      <c r="L1111" s="10" t="s">
        <v>1120</v>
      </c>
      <c r="M1111" s="12">
        <v>45358</v>
      </c>
      <c r="N1111" s="10" t="s">
        <v>15</v>
      </c>
      <c r="O1111" s="10" t="s">
        <v>2057</v>
      </c>
      <c r="P1111" s="25" t="str">
        <f>IFERROR(
IF(OR(O1111="anulado",O1111="stand by"),CONCATENATE(O1111,": ",H1111),
IF(OR(YEAR(M1111)=2022,YEAR(M1111)=2023),CONCATENATE("Se activó en ",YEAR(M1111)),
IF(AND(OR(O1111="En proceso",O1111="facturando"),AND(J1111="-",M1111="")),"Por revisar",
IF(M1111="",IF(J1111="NUEVAS",CONCATENATE("Estado: ",O1111,", ",J1111),
IF(L1111=Meses!$A$3,"Por revisar",
IF(H1111="","Sin registro","En programación Frcst."))),"En programación")))),
"Error")</f>
        <v>En programación</v>
      </c>
      <c r="Q1111" s="9" t="str">
        <f t="shared" si="51"/>
        <v/>
      </c>
      <c r="R1111" s="25">
        <f>IF(P1111="En programación Frcst.",VLOOKUP(L1111,Meses!$A$1:$H$14,3+HLOOKUP(Cronograma!J1111,Meses!$D$1:$G$2,2,FALSE),FALSE),
IF(P1111="En programación",M1111,""))</f>
        <v>45358</v>
      </c>
      <c r="S1111" s="25" t="str">
        <f t="shared" si="53"/>
        <v>2024/3</v>
      </c>
      <c r="T1111" s="21">
        <f>IFERROR(
(VLOOKUP(MONTH(R1111),Meses!$B$3:$C$14,2,FALSE)-DAY(R1111))/VLOOKUP(MONTH(R1111),Meses!$B$3:$C$14,2,FALSE)*U1111,
"")</f>
        <v>2251.3548387096776</v>
      </c>
      <c r="U1111" s="22">
        <f t="shared" si="52"/>
        <v>2908</v>
      </c>
    </row>
    <row r="1112" spans="1:21" ht="63" hidden="1" thickBot="1" x14ac:dyDescent="0.6">
      <c r="A1112" s="10" t="s">
        <v>1292</v>
      </c>
      <c r="B1112" s="10" t="s">
        <v>1403</v>
      </c>
      <c r="C1112" s="12"/>
      <c r="D1112" s="10" t="s">
        <v>23</v>
      </c>
      <c r="E1112" s="10" t="s">
        <v>23</v>
      </c>
      <c r="F1112" s="10">
        <v>0</v>
      </c>
      <c r="G1112" s="10" t="s">
        <v>15</v>
      </c>
      <c r="H1112" s="10" t="s">
        <v>2917</v>
      </c>
      <c r="I1112" s="10" t="s">
        <v>18</v>
      </c>
      <c r="J1112" s="10" t="s">
        <v>282</v>
      </c>
      <c r="K1112" s="10" t="s">
        <v>1119</v>
      </c>
      <c r="L1112" s="10" t="s">
        <v>1120</v>
      </c>
      <c r="M1112" s="12">
        <v>45358</v>
      </c>
      <c r="N1112" s="10" t="s">
        <v>15</v>
      </c>
      <c r="O1112" s="10" t="s">
        <v>2057</v>
      </c>
      <c r="P1112" s="25" t="str">
        <f>IFERROR(
IF(OR(O1112="anulado",O1112="stand by"),CONCATENATE(O1112,": ",H1112),
IF(OR(YEAR(M1112)=2022,YEAR(M1112)=2023),CONCATENATE("Se activó en ",YEAR(M1112)),
IF(AND(OR(O1112="En proceso",O1112="facturando"),AND(J1112="-",M1112="")),"Por revisar",
IF(M1112="",IF(J1112="NUEVAS",CONCATENATE("Estado: ",O1112,", ",J1112),
IF(L1112=Meses!$A$3,"Por revisar",
IF(H1112="","Sin registro","En programación Frcst."))),"En programación")))),
"Error")</f>
        <v>En programación</v>
      </c>
      <c r="Q1112" s="9" t="str">
        <f t="shared" si="51"/>
        <v/>
      </c>
      <c r="R1112" s="25">
        <f>IF(P1112="En programación Frcst.",VLOOKUP(L1112,Meses!$A$1:$H$14,3+HLOOKUP(Cronograma!J1112,Meses!$D$1:$G$2,2,FALSE),FALSE),
IF(P1112="En programación",M1112,""))</f>
        <v>45358</v>
      </c>
      <c r="S1112" s="25" t="str">
        <f t="shared" si="53"/>
        <v>2024/3</v>
      </c>
      <c r="T1112" s="21">
        <f>IFERROR(
(VLOOKUP(MONTH(R1112),Meses!$B$3:$C$14,2,FALSE)-DAY(R1112))/VLOOKUP(MONTH(R1112),Meses!$B$3:$C$14,2,FALSE)*U1112,
"")</f>
        <v>0</v>
      </c>
      <c r="U1112" s="22">
        <f t="shared" si="52"/>
        <v>0</v>
      </c>
    </row>
    <row r="1113" spans="1:21" ht="63" hidden="1" thickBot="1" x14ac:dyDescent="0.6">
      <c r="A1113" s="10" t="s">
        <v>1292</v>
      </c>
      <c r="B1113" s="10" t="s">
        <v>1404</v>
      </c>
      <c r="C1113" s="12"/>
      <c r="D1113" s="10" t="s">
        <v>23</v>
      </c>
      <c r="E1113" s="10" t="s">
        <v>23</v>
      </c>
      <c r="F1113" s="10">
        <v>154</v>
      </c>
      <c r="G1113" s="10" t="s">
        <v>15</v>
      </c>
      <c r="H1113" s="10" t="s">
        <v>2917</v>
      </c>
      <c r="I1113" s="10" t="s">
        <v>18</v>
      </c>
      <c r="J1113" s="10" t="s">
        <v>282</v>
      </c>
      <c r="K1113" s="10" t="s">
        <v>1119</v>
      </c>
      <c r="L1113" s="10" t="s">
        <v>1120</v>
      </c>
      <c r="M1113" s="12">
        <v>45358</v>
      </c>
      <c r="N1113" s="10" t="s">
        <v>15</v>
      </c>
      <c r="O1113" s="10" t="s">
        <v>2057</v>
      </c>
      <c r="P1113" s="25" t="str">
        <f>IFERROR(
IF(OR(O1113="anulado",O1113="stand by"),CONCATENATE(O1113,": ",H1113),
IF(OR(YEAR(M1113)=2022,YEAR(M1113)=2023),CONCATENATE("Se activó en ",YEAR(M1113)),
IF(AND(OR(O1113="En proceso",O1113="facturando"),AND(J1113="-",M1113="")),"Por revisar",
IF(M1113="",IF(J1113="NUEVAS",CONCATENATE("Estado: ",O1113,", ",J1113),
IF(L1113=Meses!$A$3,"Por revisar",
IF(H1113="","Sin registro","En programación Frcst."))),"En programación")))),
"Error")</f>
        <v>En programación</v>
      </c>
      <c r="Q1113" s="9" t="str">
        <f t="shared" si="51"/>
        <v/>
      </c>
      <c r="R1113" s="25">
        <f>IF(P1113="En programación Frcst.",VLOOKUP(L1113,Meses!$A$1:$H$14,3+HLOOKUP(Cronograma!J1113,Meses!$D$1:$G$2,2,FALSE),FALSE),
IF(P1113="En programación",M1113,""))</f>
        <v>45358</v>
      </c>
      <c r="S1113" s="25" t="str">
        <f t="shared" si="53"/>
        <v>2024/3</v>
      </c>
      <c r="T1113" s="21">
        <f>IFERROR(
(VLOOKUP(MONTH(R1113),Meses!$B$3:$C$14,2,FALSE)-DAY(R1113))/VLOOKUP(MONTH(R1113),Meses!$B$3:$C$14,2,FALSE)*U1113,
"")</f>
        <v>119.2258064516129</v>
      </c>
      <c r="U1113" s="22">
        <f t="shared" si="52"/>
        <v>154</v>
      </c>
    </row>
    <row r="1114" spans="1:21" ht="63" hidden="1" thickBot="1" x14ac:dyDescent="0.6">
      <c r="A1114" s="10" t="s">
        <v>1292</v>
      </c>
      <c r="B1114" s="10" t="s">
        <v>1405</v>
      </c>
      <c r="C1114" s="12"/>
      <c r="D1114" s="10" t="s">
        <v>23</v>
      </c>
      <c r="E1114" s="10" t="s">
        <v>23</v>
      </c>
      <c r="F1114" s="10">
        <v>5854</v>
      </c>
      <c r="G1114" s="10" t="s">
        <v>15</v>
      </c>
      <c r="H1114" s="10" t="s">
        <v>2917</v>
      </c>
      <c r="I1114" s="10" t="s">
        <v>18</v>
      </c>
      <c r="J1114" s="10" t="s">
        <v>282</v>
      </c>
      <c r="K1114" s="10" t="s">
        <v>1119</v>
      </c>
      <c r="L1114" s="10" t="s">
        <v>1120</v>
      </c>
      <c r="M1114" s="12">
        <v>45358</v>
      </c>
      <c r="N1114" s="10" t="s">
        <v>15</v>
      </c>
      <c r="O1114" s="10" t="s">
        <v>2057</v>
      </c>
      <c r="P1114" s="25" t="str">
        <f>IFERROR(
IF(OR(O1114="anulado",O1114="stand by"),CONCATENATE(O1114,": ",H1114),
IF(OR(YEAR(M1114)=2022,YEAR(M1114)=2023),CONCATENATE("Se activó en ",YEAR(M1114)),
IF(AND(OR(O1114="En proceso",O1114="facturando"),AND(J1114="-",M1114="")),"Por revisar",
IF(M1114="",IF(J1114="NUEVAS",CONCATENATE("Estado: ",O1114,", ",J1114),
IF(L1114=Meses!$A$3,"Por revisar",
IF(H1114="","Sin registro","En programación Frcst."))),"En programación")))),
"Error")</f>
        <v>En programación</v>
      </c>
      <c r="Q1114" s="9" t="str">
        <f t="shared" si="51"/>
        <v/>
      </c>
      <c r="R1114" s="25">
        <f>IF(P1114="En programación Frcst.",VLOOKUP(L1114,Meses!$A$1:$H$14,3+HLOOKUP(Cronograma!J1114,Meses!$D$1:$G$2,2,FALSE),FALSE),
IF(P1114="En programación",M1114,""))</f>
        <v>45358</v>
      </c>
      <c r="S1114" s="25" t="str">
        <f t="shared" si="53"/>
        <v>2024/3</v>
      </c>
      <c r="T1114" s="21">
        <f>IFERROR(
(VLOOKUP(MONTH(R1114),Meses!$B$3:$C$14,2,FALSE)-DAY(R1114))/VLOOKUP(MONTH(R1114),Meses!$B$3:$C$14,2,FALSE)*U1114,
"")</f>
        <v>4532.1290322580644</v>
      </c>
      <c r="U1114" s="22">
        <f t="shared" si="52"/>
        <v>5854</v>
      </c>
    </row>
    <row r="1115" spans="1:21" ht="63" hidden="1" thickBot="1" x14ac:dyDescent="0.6">
      <c r="A1115" s="10" t="s">
        <v>1292</v>
      </c>
      <c r="B1115" s="10" t="s">
        <v>1406</v>
      </c>
      <c r="C1115" s="12"/>
      <c r="D1115" s="10" t="s">
        <v>23</v>
      </c>
      <c r="E1115" s="10" t="s">
        <v>23</v>
      </c>
      <c r="F1115" s="10">
        <v>8545</v>
      </c>
      <c r="G1115" s="10" t="s">
        <v>15</v>
      </c>
      <c r="H1115" s="10" t="s">
        <v>2917</v>
      </c>
      <c r="I1115" s="10" t="s">
        <v>18</v>
      </c>
      <c r="J1115" s="10" t="s">
        <v>282</v>
      </c>
      <c r="K1115" s="10" t="s">
        <v>1119</v>
      </c>
      <c r="L1115" s="10" t="s">
        <v>1120</v>
      </c>
      <c r="M1115" s="12">
        <v>45358</v>
      </c>
      <c r="N1115" s="10" t="s">
        <v>15</v>
      </c>
      <c r="O1115" s="10" t="s">
        <v>2057</v>
      </c>
      <c r="P1115" s="25" t="str">
        <f>IFERROR(
IF(OR(O1115="anulado",O1115="stand by"),CONCATENATE(O1115,": ",H1115),
IF(OR(YEAR(M1115)=2022,YEAR(M1115)=2023),CONCATENATE("Se activó en ",YEAR(M1115)),
IF(AND(OR(O1115="En proceso",O1115="facturando"),AND(J1115="-",M1115="")),"Por revisar",
IF(M1115="",IF(J1115="NUEVAS",CONCATENATE("Estado: ",O1115,", ",J1115),
IF(L1115=Meses!$A$3,"Por revisar",
IF(H1115="","Sin registro","En programación Frcst."))),"En programación")))),
"Error")</f>
        <v>En programación</v>
      </c>
      <c r="Q1115" s="9" t="str">
        <f t="shared" si="51"/>
        <v/>
      </c>
      <c r="R1115" s="25">
        <f>IF(P1115="En programación Frcst.",VLOOKUP(L1115,Meses!$A$1:$H$14,3+HLOOKUP(Cronograma!J1115,Meses!$D$1:$G$2,2,FALSE),FALSE),
IF(P1115="En programación",M1115,""))</f>
        <v>45358</v>
      </c>
      <c r="S1115" s="25" t="str">
        <f t="shared" si="53"/>
        <v>2024/3</v>
      </c>
      <c r="T1115" s="21">
        <f>IFERROR(
(VLOOKUP(MONTH(R1115),Meses!$B$3:$C$14,2,FALSE)-DAY(R1115))/VLOOKUP(MONTH(R1115),Meses!$B$3:$C$14,2,FALSE)*U1115,
"")</f>
        <v>6615.4838709677415</v>
      </c>
      <c r="U1115" s="22">
        <f t="shared" si="52"/>
        <v>8545</v>
      </c>
    </row>
    <row r="1116" spans="1:21" ht="63" hidden="1" thickBot="1" x14ac:dyDescent="0.6">
      <c r="A1116" s="10" t="s">
        <v>1292</v>
      </c>
      <c r="B1116" s="10" t="s">
        <v>1407</v>
      </c>
      <c r="C1116" s="12"/>
      <c r="D1116" s="10" t="s">
        <v>23</v>
      </c>
      <c r="E1116" s="10" t="s">
        <v>23</v>
      </c>
      <c r="F1116" s="10">
        <v>5588</v>
      </c>
      <c r="G1116" s="10" t="s">
        <v>15</v>
      </c>
      <c r="H1116" s="10" t="s">
        <v>2917</v>
      </c>
      <c r="I1116" s="10" t="s">
        <v>18</v>
      </c>
      <c r="J1116" s="10" t="s">
        <v>282</v>
      </c>
      <c r="K1116" s="10" t="s">
        <v>1119</v>
      </c>
      <c r="L1116" s="10" t="s">
        <v>1120</v>
      </c>
      <c r="M1116" s="12">
        <v>45358</v>
      </c>
      <c r="N1116" s="10" t="s">
        <v>15</v>
      </c>
      <c r="O1116" s="10" t="s">
        <v>2057</v>
      </c>
      <c r="P1116" s="25" t="str">
        <f>IFERROR(
IF(OR(O1116="anulado",O1116="stand by"),CONCATENATE(O1116,": ",H1116),
IF(OR(YEAR(M1116)=2022,YEAR(M1116)=2023),CONCATENATE("Se activó en ",YEAR(M1116)),
IF(AND(OR(O1116="En proceso",O1116="facturando"),AND(J1116="-",M1116="")),"Por revisar",
IF(M1116="",IF(J1116="NUEVAS",CONCATENATE("Estado: ",O1116,", ",J1116),
IF(L1116=Meses!$A$3,"Por revisar",
IF(H1116="","Sin registro","En programación Frcst."))),"En programación")))),
"Error")</f>
        <v>En programación</v>
      </c>
      <c r="Q1116" s="9" t="str">
        <f t="shared" si="51"/>
        <v/>
      </c>
      <c r="R1116" s="25">
        <f>IF(P1116="En programación Frcst.",VLOOKUP(L1116,Meses!$A$1:$H$14,3+HLOOKUP(Cronograma!J1116,Meses!$D$1:$G$2,2,FALSE),FALSE),
IF(P1116="En programación",M1116,""))</f>
        <v>45358</v>
      </c>
      <c r="S1116" s="25" t="str">
        <f t="shared" si="53"/>
        <v>2024/3</v>
      </c>
      <c r="T1116" s="21">
        <f>IFERROR(
(VLOOKUP(MONTH(R1116),Meses!$B$3:$C$14,2,FALSE)-DAY(R1116))/VLOOKUP(MONTH(R1116),Meses!$B$3:$C$14,2,FALSE)*U1116,
"")</f>
        <v>4326.1935483870966</v>
      </c>
      <c r="U1116" s="22">
        <f t="shared" si="52"/>
        <v>5588</v>
      </c>
    </row>
    <row r="1117" spans="1:21" ht="63" hidden="1" thickBot="1" x14ac:dyDescent="0.6">
      <c r="A1117" s="10" t="s">
        <v>1292</v>
      </c>
      <c r="B1117" s="10" t="s">
        <v>1408</v>
      </c>
      <c r="C1117" s="12"/>
      <c r="D1117" s="10" t="s">
        <v>23</v>
      </c>
      <c r="E1117" s="10" t="s">
        <v>23</v>
      </c>
      <c r="F1117" s="10">
        <v>15</v>
      </c>
      <c r="G1117" s="10" t="s">
        <v>15</v>
      </c>
      <c r="H1117" s="10" t="s">
        <v>2917</v>
      </c>
      <c r="I1117" s="10" t="s">
        <v>18</v>
      </c>
      <c r="J1117" s="10" t="s">
        <v>282</v>
      </c>
      <c r="K1117" s="10" t="s">
        <v>1119</v>
      </c>
      <c r="L1117" s="10" t="s">
        <v>1120</v>
      </c>
      <c r="M1117" s="12">
        <v>45358</v>
      </c>
      <c r="N1117" s="10" t="s">
        <v>15</v>
      </c>
      <c r="O1117" s="10" t="s">
        <v>2057</v>
      </c>
      <c r="P1117" s="25" t="str">
        <f>IFERROR(
IF(OR(O1117="anulado",O1117="stand by"),CONCATENATE(O1117,": ",H1117),
IF(OR(YEAR(M1117)=2022,YEAR(M1117)=2023),CONCATENATE("Se activó en ",YEAR(M1117)),
IF(AND(OR(O1117="En proceso",O1117="facturando"),AND(J1117="-",M1117="")),"Por revisar",
IF(M1117="",IF(J1117="NUEVAS",CONCATENATE("Estado: ",O1117,", ",J1117),
IF(L1117=Meses!$A$3,"Por revisar",
IF(H1117="","Sin registro","En programación Frcst."))),"En programación")))),
"Error")</f>
        <v>En programación</v>
      </c>
      <c r="Q1117" s="9" t="str">
        <f t="shared" si="51"/>
        <v/>
      </c>
      <c r="R1117" s="25">
        <f>IF(P1117="En programación Frcst.",VLOOKUP(L1117,Meses!$A$1:$H$14,3+HLOOKUP(Cronograma!J1117,Meses!$D$1:$G$2,2,FALSE),FALSE),
IF(P1117="En programación",M1117,""))</f>
        <v>45358</v>
      </c>
      <c r="S1117" s="25" t="str">
        <f t="shared" si="53"/>
        <v>2024/3</v>
      </c>
      <c r="T1117" s="21">
        <f>IFERROR(
(VLOOKUP(MONTH(R1117),Meses!$B$3:$C$14,2,FALSE)-DAY(R1117))/VLOOKUP(MONTH(R1117),Meses!$B$3:$C$14,2,FALSE)*U1117,
"")</f>
        <v>11.612903225806452</v>
      </c>
      <c r="U1117" s="22">
        <f t="shared" si="52"/>
        <v>15</v>
      </c>
    </row>
    <row r="1118" spans="1:21" ht="63" hidden="1" thickBot="1" x14ac:dyDescent="0.6">
      <c r="A1118" s="10" t="s">
        <v>1292</v>
      </c>
      <c r="B1118" s="10" t="s">
        <v>1409</v>
      </c>
      <c r="C1118" s="12"/>
      <c r="D1118" s="10" t="s">
        <v>23</v>
      </c>
      <c r="E1118" s="10" t="s">
        <v>23</v>
      </c>
      <c r="F1118" s="10">
        <v>0</v>
      </c>
      <c r="G1118" s="10" t="s">
        <v>15</v>
      </c>
      <c r="H1118" s="10" t="s">
        <v>2917</v>
      </c>
      <c r="I1118" s="10" t="s">
        <v>18</v>
      </c>
      <c r="J1118" s="10" t="s">
        <v>282</v>
      </c>
      <c r="K1118" s="10" t="s">
        <v>1119</v>
      </c>
      <c r="L1118" s="10" t="s">
        <v>1120</v>
      </c>
      <c r="M1118" s="12">
        <v>45358</v>
      </c>
      <c r="N1118" s="10" t="s">
        <v>15</v>
      </c>
      <c r="O1118" s="10" t="s">
        <v>2057</v>
      </c>
      <c r="P1118" s="25" t="str">
        <f>IFERROR(
IF(OR(O1118="anulado",O1118="stand by"),CONCATENATE(O1118,": ",H1118),
IF(OR(YEAR(M1118)=2022,YEAR(M1118)=2023),CONCATENATE("Se activó en ",YEAR(M1118)),
IF(AND(OR(O1118="En proceso",O1118="facturando"),AND(J1118="-",M1118="")),"Por revisar",
IF(M1118="",IF(J1118="NUEVAS",CONCATENATE("Estado: ",O1118,", ",J1118),
IF(L1118=Meses!$A$3,"Por revisar",
IF(H1118="","Sin registro","En programación Frcst."))),"En programación")))),
"Error")</f>
        <v>En programación</v>
      </c>
      <c r="Q1118" s="9" t="str">
        <f t="shared" si="51"/>
        <v/>
      </c>
      <c r="R1118" s="25">
        <f>IF(P1118="En programación Frcst.",VLOOKUP(L1118,Meses!$A$1:$H$14,3+HLOOKUP(Cronograma!J1118,Meses!$D$1:$G$2,2,FALSE),FALSE),
IF(P1118="En programación",M1118,""))</f>
        <v>45358</v>
      </c>
      <c r="S1118" s="25" t="str">
        <f t="shared" si="53"/>
        <v>2024/3</v>
      </c>
      <c r="T1118" s="21">
        <f>IFERROR(
(VLOOKUP(MONTH(R1118),Meses!$B$3:$C$14,2,FALSE)-DAY(R1118))/VLOOKUP(MONTH(R1118),Meses!$B$3:$C$14,2,FALSE)*U1118,
"")</f>
        <v>0</v>
      </c>
      <c r="U1118" s="22">
        <f t="shared" si="52"/>
        <v>0</v>
      </c>
    </row>
    <row r="1119" spans="1:21" ht="63" hidden="1" thickBot="1" x14ac:dyDescent="0.6">
      <c r="A1119" s="10" t="s">
        <v>1292</v>
      </c>
      <c r="B1119" s="10" t="s">
        <v>1410</v>
      </c>
      <c r="C1119" s="12"/>
      <c r="D1119" s="10" t="s">
        <v>23</v>
      </c>
      <c r="E1119" s="10" t="s">
        <v>23</v>
      </c>
      <c r="F1119" s="10">
        <v>803</v>
      </c>
      <c r="G1119" s="10" t="s">
        <v>15</v>
      </c>
      <c r="H1119" s="10" t="s">
        <v>2917</v>
      </c>
      <c r="I1119" s="10" t="s">
        <v>18</v>
      </c>
      <c r="J1119" s="10" t="s">
        <v>282</v>
      </c>
      <c r="K1119" s="10" t="s">
        <v>1119</v>
      </c>
      <c r="L1119" s="10" t="s">
        <v>1120</v>
      </c>
      <c r="M1119" s="12">
        <v>45358</v>
      </c>
      <c r="N1119" s="10" t="s">
        <v>15</v>
      </c>
      <c r="O1119" s="10" t="s">
        <v>2057</v>
      </c>
      <c r="P1119" s="25" t="str">
        <f>IFERROR(
IF(OR(O1119="anulado",O1119="stand by"),CONCATENATE(O1119,": ",H1119),
IF(OR(YEAR(M1119)=2022,YEAR(M1119)=2023),CONCATENATE("Se activó en ",YEAR(M1119)),
IF(AND(OR(O1119="En proceso",O1119="facturando"),AND(J1119="-",M1119="")),"Por revisar",
IF(M1119="",IF(J1119="NUEVAS",CONCATENATE("Estado: ",O1119,", ",J1119),
IF(L1119=Meses!$A$3,"Por revisar",
IF(H1119="","Sin registro","En programación Frcst."))),"En programación")))),
"Error")</f>
        <v>En programación</v>
      </c>
      <c r="Q1119" s="9" t="str">
        <f t="shared" si="51"/>
        <v/>
      </c>
      <c r="R1119" s="25">
        <f>IF(P1119="En programación Frcst.",VLOOKUP(L1119,Meses!$A$1:$H$14,3+HLOOKUP(Cronograma!J1119,Meses!$D$1:$G$2,2,FALSE),FALSE),
IF(P1119="En programación",M1119,""))</f>
        <v>45358</v>
      </c>
      <c r="S1119" s="25" t="str">
        <f t="shared" si="53"/>
        <v>2024/3</v>
      </c>
      <c r="T1119" s="21">
        <f>IFERROR(
(VLOOKUP(MONTH(R1119),Meses!$B$3:$C$14,2,FALSE)-DAY(R1119))/VLOOKUP(MONTH(R1119),Meses!$B$3:$C$14,2,FALSE)*U1119,
"")</f>
        <v>621.67741935483866</v>
      </c>
      <c r="U1119" s="22">
        <f t="shared" si="52"/>
        <v>803</v>
      </c>
    </row>
    <row r="1120" spans="1:21" ht="63" hidden="1" thickBot="1" x14ac:dyDescent="0.6">
      <c r="A1120" s="10" t="s">
        <v>1292</v>
      </c>
      <c r="B1120" s="10" t="s">
        <v>1411</v>
      </c>
      <c r="C1120" s="12"/>
      <c r="D1120" s="10" t="s">
        <v>23</v>
      </c>
      <c r="E1120" s="10" t="s">
        <v>23</v>
      </c>
      <c r="F1120" s="10">
        <v>0</v>
      </c>
      <c r="G1120" s="10" t="s">
        <v>15</v>
      </c>
      <c r="H1120" s="10" t="s">
        <v>2917</v>
      </c>
      <c r="I1120" s="10" t="s">
        <v>18</v>
      </c>
      <c r="J1120" s="10" t="s">
        <v>282</v>
      </c>
      <c r="K1120" s="10" t="s">
        <v>1119</v>
      </c>
      <c r="L1120" s="10" t="s">
        <v>1120</v>
      </c>
      <c r="M1120" s="12">
        <v>45358</v>
      </c>
      <c r="N1120" s="10" t="s">
        <v>15</v>
      </c>
      <c r="O1120" s="10" t="s">
        <v>2057</v>
      </c>
      <c r="P1120" s="25" t="str">
        <f>IFERROR(
IF(OR(O1120="anulado",O1120="stand by"),CONCATENATE(O1120,": ",H1120),
IF(OR(YEAR(M1120)=2022,YEAR(M1120)=2023),CONCATENATE("Se activó en ",YEAR(M1120)),
IF(AND(OR(O1120="En proceso",O1120="facturando"),AND(J1120="-",M1120="")),"Por revisar",
IF(M1120="",IF(J1120="NUEVAS",CONCATENATE("Estado: ",O1120,", ",J1120),
IF(L1120=Meses!$A$3,"Por revisar",
IF(H1120="","Sin registro","En programación Frcst."))),"En programación")))),
"Error")</f>
        <v>En programación</v>
      </c>
      <c r="Q1120" s="9" t="str">
        <f t="shared" si="51"/>
        <v/>
      </c>
      <c r="R1120" s="25">
        <f>IF(P1120="En programación Frcst.",VLOOKUP(L1120,Meses!$A$1:$H$14,3+HLOOKUP(Cronograma!J1120,Meses!$D$1:$G$2,2,FALSE),FALSE),
IF(P1120="En programación",M1120,""))</f>
        <v>45358</v>
      </c>
      <c r="S1120" s="25" t="str">
        <f t="shared" si="53"/>
        <v>2024/3</v>
      </c>
      <c r="T1120" s="21">
        <f>IFERROR(
(VLOOKUP(MONTH(R1120),Meses!$B$3:$C$14,2,FALSE)-DAY(R1120))/VLOOKUP(MONTH(R1120),Meses!$B$3:$C$14,2,FALSE)*U1120,
"")</f>
        <v>0</v>
      </c>
      <c r="U1120" s="22">
        <f t="shared" si="52"/>
        <v>0</v>
      </c>
    </row>
    <row r="1121" spans="1:21" ht="63" hidden="1" thickBot="1" x14ac:dyDescent="0.6">
      <c r="A1121" s="10" t="s">
        <v>1292</v>
      </c>
      <c r="B1121" s="10" t="s">
        <v>1412</v>
      </c>
      <c r="C1121" s="12"/>
      <c r="D1121" s="10" t="s">
        <v>23</v>
      </c>
      <c r="E1121" s="10" t="s">
        <v>23</v>
      </c>
      <c r="F1121" s="10">
        <v>320</v>
      </c>
      <c r="G1121" s="10" t="s">
        <v>15</v>
      </c>
      <c r="H1121" s="10" t="s">
        <v>2917</v>
      </c>
      <c r="I1121" s="10" t="s">
        <v>18</v>
      </c>
      <c r="J1121" s="10" t="s">
        <v>282</v>
      </c>
      <c r="K1121" s="10" t="s">
        <v>1119</v>
      </c>
      <c r="L1121" s="10" t="s">
        <v>1120</v>
      </c>
      <c r="M1121" s="12">
        <v>45358</v>
      </c>
      <c r="N1121" s="10" t="s">
        <v>15</v>
      </c>
      <c r="O1121" s="10" t="s">
        <v>2057</v>
      </c>
      <c r="P1121" s="25" t="str">
        <f>IFERROR(
IF(OR(O1121="anulado",O1121="stand by"),CONCATENATE(O1121,": ",H1121),
IF(OR(YEAR(M1121)=2022,YEAR(M1121)=2023),CONCATENATE("Se activó en ",YEAR(M1121)),
IF(AND(OR(O1121="En proceso",O1121="facturando"),AND(J1121="-",M1121="")),"Por revisar",
IF(M1121="",IF(J1121="NUEVAS",CONCATENATE("Estado: ",O1121,", ",J1121),
IF(L1121=Meses!$A$3,"Por revisar",
IF(H1121="","Sin registro","En programación Frcst."))),"En programación")))),
"Error")</f>
        <v>En programación</v>
      </c>
      <c r="Q1121" s="9" t="str">
        <f t="shared" si="51"/>
        <v/>
      </c>
      <c r="R1121" s="25">
        <f>IF(P1121="En programación Frcst.",VLOOKUP(L1121,Meses!$A$1:$H$14,3+HLOOKUP(Cronograma!J1121,Meses!$D$1:$G$2,2,FALSE),FALSE),
IF(P1121="En programación",M1121,""))</f>
        <v>45358</v>
      </c>
      <c r="S1121" s="25" t="str">
        <f t="shared" si="53"/>
        <v>2024/3</v>
      </c>
      <c r="T1121" s="21">
        <f>IFERROR(
(VLOOKUP(MONTH(R1121),Meses!$B$3:$C$14,2,FALSE)-DAY(R1121))/VLOOKUP(MONTH(R1121),Meses!$B$3:$C$14,2,FALSE)*U1121,
"")</f>
        <v>247.74193548387098</v>
      </c>
      <c r="U1121" s="22">
        <f t="shared" si="52"/>
        <v>320</v>
      </c>
    </row>
    <row r="1122" spans="1:21" ht="63" hidden="1" thickBot="1" x14ac:dyDescent="0.6">
      <c r="A1122" s="10" t="s">
        <v>1292</v>
      </c>
      <c r="B1122" s="10" t="s">
        <v>1413</v>
      </c>
      <c r="C1122" s="12"/>
      <c r="D1122" s="10" t="s">
        <v>23</v>
      </c>
      <c r="E1122" s="10" t="s">
        <v>23</v>
      </c>
      <c r="F1122" s="10">
        <v>0</v>
      </c>
      <c r="G1122" s="10" t="s">
        <v>15</v>
      </c>
      <c r="H1122" s="10" t="s">
        <v>2917</v>
      </c>
      <c r="I1122" s="10" t="s">
        <v>18</v>
      </c>
      <c r="J1122" s="10" t="s">
        <v>282</v>
      </c>
      <c r="K1122" s="10" t="s">
        <v>1119</v>
      </c>
      <c r="L1122" s="10" t="s">
        <v>1120</v>
      </c>
      <c r="M1122" s="12">
        <v>45358</v>
      </c>
      <c r="N1122" s="10" t="s">
        <v>15</v>
      </c>
      <c r="O1122" s="10" t="s">
        <v>2057</v>
      </c>
      <c r="P1122" s="25" t="str">
        <f>IFERROR(
IF(OR(O1122="anulado",O1122="stand by"),CONCATENATE(O1122,": ",H1122),
IF(OR(YEAR(M1122)=2022,YEAR(M1122)=2023),CONCATENATE("Se activó en ",YEAR(M1122)),
IF(AND(OR(O1122="En proceso",O1122="facturando"),AND(J1122="-",M1122="")),"Por revisar",
IF(M1122="",IF(J1122="NUEVAS",CONCATENATE("Estado: ",O1122,", ",J1122),
IF(L1122=Meses!$A$3,"Por revisar",
IF(H1122="","Sin registro","En programación Frcst."))),"En programación")))),
"Error")</f>
        <v>En programación</v>
      </c>
      <c r="Q1122" s="9" t="str">
        <f t="shared" si="51"/>
        <v/>
      </c>
      <c r="R1122" s="25">
        <f>IF(P1122="En programación Frcst.",VLOOKUP(L1122,Meses!$A$1:$H$14,3+HLOOKUP(Cronograma!J1122,Meses!$D$1:$G$2,2,FALSE),FALSE),
IF(P1122="En programación",M1122,""))</f>
        <v>45358</v>
      </c>
      <c r="S1122" s="25" t="str">
        <f t="shared" si="53"/>
        <v>2024/3</v>
      </c>
      <c r="T1122" s="21">
        <f>IFERROR(
(VLOOKUP(MONTH(R1122),Meses!$B$3:$C$14,2,FALSE)-DAY(R1122))/VLOOKUP(MONTH(R1122),Meses!$B$3:$C$14,2,FALSE)*U1122,
"")</f>
        <v>0</v>
      </c>
      <c r="U1122" s="22">
        <f t="shared" si="52"/>
        <v>0</v>
      </c>
    </row>
    <row r="1123" spans="1:21" ht="63" hidden="1" thickBot="1" x14ac:dyDescent="0.6">
      <c r="A1123" s="10" t="s">
        <v>1292</v>
      </c>
      <c r="B1123" s="10" t="s">
        <v>1414</v>
      </c>
      <c r="C1123" s="12"/>
      <c r="D1123" s="10" t="s">
        <v>23</v>
      </c>
      <c r="E1123" s="10" t="s">
        <v>23</v>
      </c>
      <c r="F1123" s="10">
        <v>44</v>
      </c>
      <c r="G1123" s="10" t="s">
        <v>15</v>
      </c>
      <c r="H1123" s="10" t="s">
        <v>2917</v>
      </c>
      <c r="I1123" s="10" t="s">
        <v>18</v>
      </c>
      <c r="J1123" s="10" t="s">
        <v>282</v>
      </c>
      <c r="K1123" s="10" t="s">
        <v>1119</v>
      </c>
      <c r="L1123" s="10" t="s">
        <v>1120</v>
      </c>
      <c r="M1123" s="12">
        <v>45358</v>
      </c>
      <c r="N1123" s="10" t="s">
        <v>15</v>
      </c>
      <c r="O1123" s="10" t="s">
        <v>2057</v>
      </c>
      <c r="P1123" s="25" t="str">
        <f>IFERROR(
IF(OR(O1123="anulado",O1123="stand by"),CONCATENATE(O1123,": ",H1123),
IF(OR(YEAR(M1123)=2022,YEAR(M1123)=2023),CONCATENATE("Se activó en ",YEAR(M1123)),
IF(AND(OR(O1123="En proceso",O1123="facturando"),AND(J1123="-",M1123="")),"Por revisar",
IF(M1123="",IF(J1123="NUEVAS",CONCATENATE("Estado: ",O1123,", ",J1123),
IF(L1123=Meses!$A$3,"Por revisar",
IF(H1123="","Sin registro","En programación Frcst."))),"En programación")))),
"Error")</f>
        <v>En programación</v>
      </c>
      <c r="Q1123" s="9" t="str">
        <f t="shared" si="51"/>
        <v/>
      </c>
      <c r="R1123" s="25">
        <f>IF(P1123="En programación Frcst.",VLOOKUP(L1123,Meses!$A$1:$H$14,3+HLOOKUP(Cronograma!J1123,Meses!$D$1:$G$2,2,FALSE),FALSE),
IF(P1123="En programación",M1123,""))</f>
        <v>45358</v>
      </c>
      <c r="S1123" s="25" t="str">
        <f t="shared" si="53"/>
        <v>2024/3</v>
      </c>
      <c r="T1123" s="21">
        <f>IFERROR(
(VLOOKUP(MONTH(R1123),Meses!$B$3:$C$14,2,FALSE)-DAY(R1123))/VLOOKUP(MONTH(R1123),Meses!$B$3:$C$14,2,FALSE)*U1123,
"")</f>
        <v>34.064516129032256</v>
      </c>
      <c r="U1123" s="22">
        <f t="shared" si="52"/>
        <v>44</v>
      </c>
    </row>
    <row r="1124" spans="1:21" ht="63" hidden="1" thickBot="1" x14ac:dyDescent="0.6">
      <c r="A1124" s="10" t="s">
        <v>1292</v>
      </c>
      <c r="B1124" s="10" t="s">
        <v>1415</v>
      </c>
      <c r="C1124" s="12"/>
      <c r="D1124" s="10" t="s">
        <v>23</v>
      </c>
      <c r="E1124" s="10" t="s">
        <v>23</v>
      </c>
      <c r="F1124" s="10">
        <v>292</v>
      </c>
      <c r="G1124" s="10" t="s">
        <v>15</v>
      </c>
      <c r="H1124" s="10" t="s">
        <v>2917</v>
      </c>
      <c r="I1124" s="10" t="s">
        <v>18</v>
      </c>
      <c r="J1124" s="10" t="s">
        <v>282</v>
      </c>
      <c r="K1124" s="10" t="s">
        <v>1119</v>
      </c>
      <c r="L1124" s="10" t="s">
        <v>1120</v>
      </c>
      <c r="M1124" s="12">
        <v>45358</v>
      </c>
      <c r="N1124" s="10" t="s">
        <v>15</v>
      </c>
      <c r="O1124" s="10" t="s">
        <v>2057</v>
      </c>
      <c r="P1124" s="25" t="str">
        <f>IFERROR(
IF(OR(O1124="anulado",O1124="stand by"),CONCATENATE(O1124,": ",H1124),
IF(OR(YEAR(M1124)=2022,YEAR(M1124)=2023),CONCATENATE("Se activó en ",YEAR(M1124)),
IF(AND(OR(O1124="En proceso",O1124="facturando"),AND(J1124="-",M1124="")),"Por revisar",
IF(M1124="",IF(J1124="NUEVAS",CONCATENATE("Estado: ",O1124,", ",J1124),
IF(L1124=Meses!$A$3,"Por revisar",
IF(H1124="","Sin registro","En programación Frcst."))),"En programación")))),
"Error")</f>
        <v>En programación</v>
      </c>
      <c r="Q1124" s="9" t="str">
        <f t="shared" si="51"/>
        <v/>
      </c>
      <c r="R1124" s="25">
        <f>IF(P1124="En programación Frcst.",VLOOKUP(L1124,Meses!$A$1:$H$14,3+HLOOKUP(Cronograma!J1124,Meses!$D$1:$G$2,2,FALSE),FALSE),
IF(P1124="En programación",M1124,""))</f>
        <v>45358</v>
      </c>
      <c r="S1124" s="25" t="str">
        <f t="shared" si="53"/>
        <v>2024/3</v>
      </c>
      <c r="T1124" s="21">
        <f>IFERROR(
(VLOOKUP(MONTH(R1124),Meses!$B$3:$C$14,2,FALSE)-DAY(R1124))/VLOOKUP(MONTH(R1124),Meses!$B$3:$C$14,2,FALSE)*U1124,
"")</f>
        <v>226.06451612903226</v>
      </c>
      <c r="U1124" s="22">
        <f t="shared" si="52"/>
        <v>292</v>
      </c>
    </row>
    <row r="1125" spans="1:21" ht="63" hidden="1" thickBot="1" x14ac:dyDescent="0.6">
      <c r="A1125" s="10" t="s">
        <v>1292</v>
      </c>
      <c r="B1125" s="10" t="s">
        <v>1416</v>
      </c>
      <c r="C1125" s="12"/>
      <c r="D1125" s="10" t="s">
        <v>23</v>
      </c>
      <c r="E1125" s="10" t="s">
        <v>23</v>
      </c>
      <c r="F1125" s="10">
        <v>412</v>
      </c>
      <c r="G1125" s="10" t="s">
        <v>15</v>
      </c>
      <c r="H1125" s="10" t="s">
        <v>2917</v>
      </c>
      <c r="I1125" s="10" t="s">
        <v>18</v>
      </c>
      <c r="J1125" s="10" t="s">
        <v>282</v>
      </c>
      <c r="K1125" s="10" t="s">
        <v>1119</v>
      </c>
      <c r="L1125" s="10" t="s">
        <v>1120</v>
      </c>
      <c r="M1125" s="12">
        <v>45358</v>
      </c>
      <c r="N1125" s="10" t="s">
        <v>15</v>
      </c>
      <c r="O1125" s="10" t="s">
        <v>2057</v>
      </c>
      <c r="P1125" s="25" t="str">
        <f>IFERROR(
IF(OR(O1125="anulado",O1125="stand by"),CONCATENATE(O1125,": ",H1125),
IF(OR(YEAR(M1125)=2022,YEAR(M1125)=2023),CONCATENATE("Se activó en ",YEAR(M1125)),
IF(AND(OR(O1125="En proceso",O1125="facturando"),AND(J1125="-",M1125="")),"Por revisar",
IF(M1125="",IF(J1125="NUEVAS",CONCATENATE("Estado: ",O1125,", ",J1125),
IF(L1125=Meses!$A$3,"Por revisar",
IF(H1125="","Sin registro","En programación Frcst."))),"En programación")))),
"Error")</f>
        <v>En programación</v>
      </c>
      <c r="Q1125" s="9" t="str">
        <f t="shared" si="51"/>
        <v/>
      </c>
      <c r="R1125" s="25">
        <f>IF(P1125="En programación Frcst.",VLOOKUP(L1125,Meses!$A$1:$H$14,3+HLOOKUP(Cronograma!J1125,Meses!$D$1:$G$2,2,FALSE),FALSE),
IF(P1125="En programación",M1125,""))</f>
        <v>45358</v>
      </c>
      <c r="S1125" s="25" t="str">
        <f t="shared" si="53"/>
        <v>2024/3</v>
      </c>
      <c r="T1125" s="21">
        <f>IFERROR(
(VLOOKUP(MONTH(R1125),Meses!$B$3:$C$14,2,FALSE)-DAY(R1125))/VLOOKUP(MONTH(R1125),Meses!$B$3:$C$14,2,FALSE)*U1125,
"")</f>
        <v>318.96774193548384</v>
      </c>
      <c r="U1125" s="22">
        <f t="shared" si="52"/>
        <v>412</v>
      </c>
    </row>
    <row r="1126" spans="1:21" ht="63" hidden="1" thickBot="1" x14ac:dyDescent="0.6">
      <c r="A1126" s="10" t="s">
        <v>1292</v>
      </c>
      <c r="B1126" s="10" t="s">
        <v>1417</v>
      </c>
      <c r="C1126" s="12"/>
      <c r="D1126" s="10" t="s">
        <v>23</v>
      </c>
      <c r="E1126" s="10" t="s">
        <v>23</v>
      </c>
      <c r="F1126" s="10">
        <v>242</v>
      </c>
      <c r="G1126" s="10" t="s">
        <v>15</v>
      </c>
      <c r="H1126" s="10" t="s">
        <v>2917</v>
      </c>
      <c r="I1126" s="10" t="s">
        <v>18</v>
      </c>
      <c r="J1126" s="10" t="s">
        <v>282</v>
      </c>
      <c r="K1126" s="10" t="s">
        <v>1119</v>
      </c>
      <c r="L1126" s="10" t="s">
        <v>1120</v>
      </c>
      <c r="M1126" s="12">
        <v>45358</v>
      </c>
      <c r="N1126" s="10" t="s">
        <v>15</v>
      </c>
      <c r="O1126" s="10" t="s">
        <v>2057</v>
      </c>
      <c r="P1126" s="25" t="str">
        <f>IFERROR(
IF(OR(O1126="anulado",O1126="stand by"),CONCATENATE(O1126,": ",H1126),
IF(OR(YEAR(M1126)=2022,YEAR(M1126)=2023),CONCATENATE("Se activó en ",YEAR(M1126)),
IF(AND(OR(O1126="En proceso",O1126="facturando"),AND(J1126="-",M1126="")),"Por revisar",
IF(M1126="",IF(J1126="NUEVAS",CONCATENATE("Estado: ",O1126,", ",J1126),
IF(L1126=Meses!$A$3,"Por revisar",
IF(H1126="","Sin registro","En programación Frcst."))),"En programación")))),
"Error")</f>
        <v>En programación</v>
      </c>
      <c r="Q1126" s="9" t="str">
        <f t="shared" si="51"/>
        <v/>
      </c>
      <c r="R1126" s="25">
        <f>IF(P1126="En programación Frcst.",VLOOKUP(L1126,Meses!$A$1:$H$14,3+HLOOKUP(Cronograma!J1126,Meses!$D$1:$G$2,2,FALSE),FALSE),
IF(P1126="En programación",M1126,""))</f>
        <v>45358</v>
      </c>
      <c r="S1126" s="25" t="str">
        <f t="shared" si="53"/>
        <v>2024/3</v>
      </c>
      <c r="T1126" s="21">
        <f>IFERROR(
(VLOOKUP(MONTH(R1126),Meses!$B$3:$C$14,2,FALSE)-DAY(R1126))/VLOOKUP(MONTH(R1126),Meses!$B$3:$C$14,2,FALSE)*U1126,
"")</f>
        <v>187.35483870967741</v>
      </c>
      <c r="U1126" s="22">
        <f t="shared" si="52"/>
        <v>242</v>
      </c>
    </row>
    <row r="1127" spans="1:21" ht="63" hidden="1" thickBot="1" x14ac:dyDescent="0.6">
      <c r="A1127" s="10" t="s">
        <v>1292</v>
      </c>
      <c r="B1127" s="10" t="s">
        <v>1418</v>
      </c>
      <c r="C1127" s="12"/>
      <c r="D1127" s="10" t="s">
        <v>23</v>
      </c>
      <c r="E1127" s="10" t="s">
        <v>23</v>
      </c>
      <c r="F1127" s="10">
        <v>505</v>
      </c>
      <c r="G1127" s="10" t="s">
        <v>15</v>
      </c>
      <c r="H1127" s="10" t="s">
        <v>2917</v>
      </c>
      <c r="I1127" s="10" t="s">
        <v>18</v>
      </c>
      <c r="J1127" s="10" t="s">
        <v>282</v>
      </c>
      <c r="K1127" s="10" t="s">
        <v>1119</v>
      </c>
      <c r="L1127" s="10" t="s">
        <v>1120</v>
      </c>
      <c r="M1127" s="12">
        <v>45358</v>
      </c>
      <c r="N1127" s="10" t="s">
        <v>15</v>
      </c>
      <c r="O1127" s="10" t="s">
        <v>2057</v>
      </c>
      <c r="P1127" s="25" t="str">
        <f>IFERROR(
IF(OR(O1127="anulado",O1127="stand by"),CONCATENATE(O1127,": ",H1127),
IF(OR(YEAR(M1127)=2022,YEAR(M1127)=2023),CONCATENATE("Se activó en ",YEAR(M1127)),
IF(AND(OR(O1127="En proceso",O1127="facturando"),AND(J1127="-",M1127="")),"Por revisar",
IF(M1127="",IF(J1127="NUEVAS",CONCATENATE("Estado: ",O1127,", ",J1127),
IF(L1127=Meses!$A$3,"Por revisar",
IF(H1127="","Sin registro","En programación Frcst."))),"En programación")))),
"Error")</f>
        <v>En programación</v>
      </c>
      <c r="Q1127" s="9" t="str">
        <f t="shared" si="51"/>
        <v/>
      </c>
      <c r="R1127" s="25">
        <f>IF(P1127="En programación Frcst.",VLOOKUP(L1127,Meses!$A$1:$H$14,3+HLOOKUP(Cronograma!J1127,Meses!$D$1:$G$2,2,FALSE),FALSE),
IF(P1127="En programación",M1127,""))</f>
        <v>45358</v>
      </c>
      <c r="S1127" s="25" t="str">
        <f t="shared" si="53"/>
        <v>2024/3</v>
      </c>
      <c r="T1127" s="21">
        <f>IFERROR(
(VLOOKUP(MONTH(R1127),Meses!$B$3:$C$14,2,FALSE)-DAY(R1127))/VLOOKUP(MONTH(R1127),Meses!$B$3:$C$14,2,FALSE)*U1127,
"")</f>
        <v>390.96774193548384</v>
      </c>
      <c r="U1127" s="22">
        <f t="shared" si="52"/>
        <v>505</v>
      </c>
    </row>
    <row r="1128" spans="1:21" ht="63" hidden="1" thickBot="1" x14ac:dyDescent="0.6">
      <c r="A1128" s="10" t="s">
        <v>1292</v>
      </c>
      <c r="B1128" s="10" t="s">
        <v>1419</v>
      </c>
      <c r="C1128" s="12"/>
      <c r="D1128" s="10" t="s">
        <v>23</v>
      </c>
      <c r="E1128" s="10" t="s">
        <v>23</v>
      </c>
      <c r="F1128" s="10">
        <v>453</v>
      </c>
      <c r="G1128" s="10" t="s">
        <v>15</v>
      </c>
      <c r="H1128" s="10" t="s">
        <v>2917</v>
      </c>
      <c r="I1128" s="10" t="s">
        <v>18</v>
      </c>
      <c r="J1128" s="10" t="s">
        <v>282</v>
      </c>
      <c r="K1128" s="10" t="s">
        <v>1119</v>
      </c>
      <c r="L1128" s="10" t="s">
        <v>1120</v>
      </c>
      <c r="M1128" s="12">
        <v>45358</v>
      </c>
      <c r="N1128" s="10" t="s">
        <v>15</v>
      </c>
      <c r="O1128" s="10" t="s">
        <v>2057</v>
      </c>
      <c r="P1128" s="25" t="str">
        <f>IFERROR(
IF(OR(O1128="anulado",O1128="stand by"),CONCATENATE(O1128,": ",H1128),
IF(OR(YEAR(M1128)=2022,YEAR(M1128)=2023),CONCATENATE("Se activó en ",YEAR(M1128)),
IF(AND(OR(O1128="En proceso",O1128="facturando"),AND(J1128="-",M1128="")),"Por revisar",
IF(M1128="",IF(J1128="NUEVAS",CONCATENATE("Estado: ",O1128,", ",J1128),
IF(L1128=Meses!$A$3,"Por revisar",
IF(H1128="","Sin registro","En programación Frcst."))),"En programación")))),
"Error")</f>
        <v>En programación</v>
      </c>
      <c r="Q1128" s="9" t="str">
        <f t="shared" si="51"/>
        <v/>
      </c>
      <c r="R1128" s="25">
        <f>IF(P1128="En programación Frcst.",VLOOKUP(L1128,Meses!$A$1:$H$14,3+HLOOKUP(Cronograma!J1128,Meses!$D$1:$G$2,2,FALSE),FALSE),
IF(P1128="En programación",M1128,""))</f>
        <v>45358</v>
      </c>
      <c r="S1128" s="25" t="str">
        <f t="shared" si="53"/>
        <v>2024/3</v>
      </c>
      <c r="T1128" s="21">
        <f>IFERROR(
(VLOOKUP(MONTH(R1128),Meses!$B$3:$C$14,2,FALSE)-DAY(R1128))/VLOOKUP(MONTH(R1128),Meses!$B$3:$C$14,2,FALSE)*U1128,
"")</f>
        <v>350.70967741935482</v>
      </c>
      <c r="U1128" s="22">
        <f t="shared" si="52"/>
        <v>453</v>
      </c>
    </row>
    <row r="1129" spans="1:21" ht="63" hidden="1" thickBot="1" x14ac:dyDescent="0.6">
      <c r="A1129" s="10" t="s">
        <v>1292</v>
      </c>
      <c r="B1129" s="10" t="s">
        <v>1420</v>
      </c>
      <c r="C1129" s="12"/>
      <c r="D1129" s="10" t="s">
        <v>23</v>
      </c>
      <c r="E1129" s="10" t="s">
        <v>23</v>
      </c>
      <c r="F1129" s="10">
        <v>335</v>
      </c>
      <c r="G1129" s="10" t="s">
        <v>15</v>
      </c>
      <c r="H1129" s="10" t="s">
        <v>2917</v>
      </c>
      <c r="I1129" s="10" t="s">
        <v>18</v>
      </c>
      <c r="J1129" s="10" t="s">
        <v>282</v>
      </c>
      <c r="K1129" s="10" t="s">
        <v>1119</v>
      </c>
      <c r="L1129" s="10" t="s">
        <v>1120</v>
      </c>
      <c r="M1129" s="12">
        <v>45358</v>
      </c>
      <c r="N1129" s="10" t="s">
        <v>15</v>
      </c>
      <c r="O1129" s="10" t="s">
        <v>2057</v>
      </c>
      <c r="P1129" s="25" t="str">
        <f>IFERROR(
IF(OR(O1129="anulado",O1129="stand by"),CONCATENATE(O1129,": ",H1129),
IF(OR(YEAR(M1129)=2022,YEAR(M1129)=2023),CONCATENATE("Se activó en ",YEAR(M1129)),
IF(AND(OR(O1129="En proceso",O1129="facturando"),AND(J1129="-",M1129="")),"Por revisar",
IF(M1129="",IF(J1129="NUEVAS",CONCATENATE("Estado: ",O1129,", ",J1129),
IF(L1129=Meses!$A$3,"Por revisar",
IF(H1129="","Sin registro","En programación Frcst."))),"En programación")))),
"Error")</f>
        <v>En programación</v>
      </c>
      <c r="Q1129" s="9" t="str">
        <f t="shared" si="51"/>
        <v/>
      </c>
      <c r="R1129" s="25">
        <f>IF(P1129="En programación Frcst.",VLOOKUP(L1129,Meses!$A$1:$H$14,3+HLOOKUP(Cronograma!J1129,Meses!$D$1:$G$2,2,FALSE),FALSE),
IF(P1129="En programación",M1129,""))</f>
        <v>45358</v>
      </c>
      <c r="S1129" s="25" t="str">
        <f t="shared" si="53"/>
        <v>2024/3</v>
      </c>
      <c r="T1129" s="21">
        <f>IFERROR(
(VLOOKUP(MONTH(R1129),Meses!$B$3:$C$14,2,FALSE)-DAY(R1129))/VLOOKUP(MONTH(R1129),Meses!$B$3:$C$14,2,FALSE)*U1129,
"")</f>
        <v>259.35483870967744</v>
      </c>
      <c r="U1129" s="22">
        <f t="shared" si="52"/>
        <v>335</v>
      </c>
    </row>
    <row r="1130" spans="1:21" ht="63" hidden="1" thickBot="1" x14ac:dyDescent="0.6">
      <c r="A1130" s="10" t="s">
        <v>1292</v>
      </c>
      <c r="B1130" s="10" t="s">
        <v>1421</v>
      </c>
      <c r="C1130" s="12"/>
      <c r="D1130" s="10" t="s">
        <v>23</v>
      </c>
      <c r="E1130" s="10" t="s">
        <v>23</v>
      </c>
      <c r="F1130" s="10">
        <v>306</v>
      </c>
      <c r="G1130" s="10" t="s">
        <v>15</v>
      </c>
      <c r="H1130" s="10" t="s">
        <v>2917</v>
      </c>
      <c r="I1130" s="10" t="s">
        <v>18</v>
      </c>
      <c r="J1130" s="10" t="s">
        <v>282</v>
      </c>
      <c r="K1130" s="10" t="s">
        <v>1119</v>
      </c>
      <c r="L1130" s="10" t="s">
        <v>1120</v>
      </c>
      <c r="M1130" s="12">
        <v>45358</v>
      </c>
      <c r="N1130" s="10" t="s">
        <v>15</v>
      </c>
      <c r="O1130" s="10" t="s">
        <v>2057</v>
      </c>
      <c r="P1130" s="25" t="str">
        <f>IFERROR(
IF(OR(O1130="anulado",O1130="stand by"),CONCATENATE(O1130,": ",H1130),
IF(OR(YEAR(M1130)=2022,YEAR(M1130)=2023),CONCATENATE("Se activó en ",YEAR(M1130)),
IF(AND(OR(O1130="En proceso",O1130="facturando"),AND(J1130="-",M1130="")),"Por revisar",
IF(M1130="",IF(J1130="NUEVAS",CONCATENATE("Estado: ",O1130,", ",J1130),
IF(L1130=Meses!$A$3,"Por revisar",
IF(H1130="","Sin registro","En programación Frcst."))),"En programación")))),
"Error")</f>
        <v>En programación</v>
      </c>
      <c r="Q1130" s="9" t="str">
        <f t="shared" si="51"/>
        <v/>
      </c>
      <c r="R1130" s="25">
        <f>IF(P1130="En programación Frcst.",VLOOKUP(L1130,Meses!$A$1:$H$14,3+HLOOKUP(Cronograma!J1130,Meses!$D$1:$G$2,2,FALSE),FALSE),
IF(P1130="En programación",M1130,""))</f>
        <v>45358</v>
      </c>
      <c r="S1130" s="25" t="str">
        <f t="shared" si="53"/>
        <v>2024/3</v>
      </c>
      <c r="T1130" s="21">
        <f>IFERROR(
(VLOOKUP(MONTH(R1130),Meses!$B$3:$C$14,2,FALSE)-DAY(R1130))/VLOOKUP(MONTH(R1130),Meses!$B$3:$C$14,2,FALSE)*U1130,
"")</f>
        <v>236.90322580645162</v>
      </c>
      <c r="U1130" s="22">
        <f t="shared" si="52"/>
        <v>306</v>
      </c>
    </row>
    <row r="1131" spans="1:21" ht="63" hidden="1" thickBot="1" x14ac:dyDescent="0.6">
      <c r="A1131" s="10" t="s">
        <v>1292</v>
      </c>
      <c r="B1131" s="10" t="s">
        <v>1422</v>
      </c>
      <c r="C1131" s="12"/>
      <c r="D1131" s="10" t="s">
        <v>23</v>
      </c>
      <c r="E1131" s="10" t="s">
        <v>23</v>
      </c>
      <c r="F1131" s="10">
        <v>440</v>
      </c>
      <c r="G1131" s="10" t="s">
        <v>15</v>
      </c>
      <c r="H1131" s="10" t="s">
        <v>2917</v>
      </c>
      <c r="I1131" s="10" t="s">
        <v>18</v>
      </c>
      <c r="J1131" s="10" t="s">
        <v>282</v>
      </c>
      <c r="K1131" s="10" t="s">
        <v>1119</v>
      </c>
      <c r="L1131" s="10" t="s">
        <v>1120</v>
      </c>
      <c r="M1131" s="12">
        <v>45358</v>
      </c>
      <c r="N1131" s="10" t="s">
        <v>15</v>
      </c>
      <c r="O1131" s="10" t="s">
        <v>2057</v>
      </c>
      <c r="P1131" s="25" t="str">
        <f>IFERROR(
IF(OR(O1131="anulado",O1131="stand by"),CONCATENATE(O1131,": ",H1131),
IF(OR(YEAR(M1131)=2022,YEAR(M1131)=2023),CONCATENATE("Se activó en ",YEAR(M1131)),
IF(AND(OR(O1131="En proceso",O1131="facturando"),AND(J1131="-",M1131="")),"Por revisar",
IF(M1131="",IF(J1131="NUEVAS",CONCATENATE("Estado: ",O1131,", ",J1131),
IF(L1131=Meses!$A$3,"Por revisar",
IF(H1131="","Sin registro","En programación Frcst."))),"En programación")))),
"Error")</f>
        <v>En programación</v>
      </c>
      <c r="Q1131" s="9" t="str">
        <f t="shared" si="51"/>
        <v/>
      </c>
      <c r="R1131" s="25">
        <f>IF(P1131="En programación Frcst.",VLOOKUP(L1131,Meses!$A$1:$H$14,3+HLOOKUP(Cronograma!J1131,Meses!$D$1:$G$2,2,FALSE),FALSE),
IF(P1131="En programación",M1131,""))</f>
        <v>45358</v>
      </c>
      <c r="S1131" s="25" t="str">
        <f t="shared" si="53"/>
        <v>2024/3</v>
      </c>
      <c r="T1131" s="21">
        <f>IFERROR(
(VLOOKUP(MONTH(R1131),Meses!$B$3:$C$14,2,FALSE)-DAY(R1131))/VLOOKUP(MONTH(R1131),Meses!$B$3:$C$14,2,FALSE)*U1131,
"")</f>
        <v>340.64516129032256</v>
      </c>
      <c r="U1131" s="22">
        <f t="shared" si="52"/>
        <v>440</v>
      </c>
    </row>
    <row r="1132" spans="1:21" ht="63" hidden="1" thickBot="1" x14ac:dyDescent="0.6">
      <c r="A1132" s="10" t="s">
        <v>1292</v>
      </c>
      <c r="B1132" s="10" t="s">
        <v>1423</v>
      </c>
      <c r="C1132" s="12"/>
      <c r="D1132" s="10" t="s">
        <v>23</v>
      </c>
      <c r="E1132" s="10" t="s">
        <v>23</v>
      </c>
      <c r="F1132" s="10">
        <v>262</v>
      </c>
      <c r="G1132" s="10" t="s">
        <v>15</v>
      </c>
      <c r="H1132" s="10" t="s">
        <v>2917</v>
      </c>
      <c r="I1132" s="10" t="s">
        <v>18</v>
      </c>
      <c r="J1132" s="10" t="s">
        <v>282</v>
      </c>
      <c r="K1132" s="10" t="s">
        <v>1119</v>
      </c>
      <c r="L1132" s="10" t="s">
        <v>1120</v>
      </c>
      <c r="M1132" s="12">
        <v>45358</v>
      </c>
      <c r="N1132" s="10" t="s">
        <v>15</v>
      </c>
      <c r="O1132" s="10" t="s">
        <v>2057</v>
      </c>
      <c r="P1132" s="25" t="str">
        <f>IFERROR(
IF(OR(O1132="anulado",O1132="stand by"),CONCATENATE(O1132,": ",H1132),
IF(OR(YEAR(M1132)=2022,YEAR(M1132)=2023),CONCATENATE("Se activó en ",YEAR(M1132)),
IF(AND(OR(O1132="En proceso",O1132="facturando"),AND(J1132="-",M1132="")),"Por revisar",
IF(M1132="",IF(J1132="NUEVAS",CONCATENATE("Estado: ",O1132,", ",J1132),
IF(L1132=Meses!$A$3,"Por revisar",
IF(H1132="","Sin registro","En programación Frcst."))),"En programación")))),
"Error")</f>
        <v>En programación</v>
      </c>
      <c r="Q1132" s="9" t="str">
        <f t="shared" si="51"/>
        <v/>
      </c>
      <c r="R1132" s="25">
        <f>IF(P1132="En programación Frcst.",VLOOKUP(L1132,Meses!$A$1:$H$14,3+HLOOKUP(Cronograma!J1132,Meses!$D$1:$G$2,2,FALSE),FALSE),
IF(P1132="En programación",M1132,""))</f>
        <v>45358</v>
      </c>
      <c r="S1132" s="25" t="str">
        <f t="shared" si="53"/>
        <v>2024/3</v>
      </c>
      <c r="T1132" s="21">
        <f>IFERROR(
(VLOOKUP(MONTH(R1132),Meses!$B$3:$C$14,2,FALSE)-DAY(R1132))/VLOOKUP(MONTH(R1132),Meses!$B$3:$C$14,2,FALSE)*U1132,
"")</f>
        <v>202.83870967741936</v>
      </c>
      <c r="U1132" s="22">
        <f t="shared" si="52"/>
        <v>262</v>
      </c>
    </row>
    <row r="1133" spans="1:21" ht="63" hidden="1" thickBot="1" x14ac:dyDescent="0.6">
      <c r="A1133" s="10" t="s">
        <v>1292</v>
      </c>
      <c r="B1133" s="10" t="s">
        <v>1424</v>
      </c>
      <c r="C1133" s="12"/>
      <c r="D1133" s="10" t="s">
        <v>23</v>
      </c>
      <c r="E1133" s="10" t="s">
        <v>23</v>
      </c>
      <c r="F1133" s="10">
        <v>0</v>
      </c>
      <c r="G1133" s="10" t="s">
        <v>15</v>
      </c>
      <c r="H1133" s="10" t="s">
        <v>2917</v>
      </c>
      <c r="I1133" s="10" t="s">
        <v>18</v>
      </c>
      <c r="J1133" s="10" t="s">
        <v>282</v>
      </c>
      <c r="K1133" s="10" t="s">
        <v>1119</v>
      </c>
      <c r="L1133" s="10" t="s">
        <v>1120</v>
      </c>
      <c r="M1133" s="12">
        <v>45358</v>
      </c>
      <c r="N1133" s="10" t="s">
        <v>15</v>
      </c>
      <c r="O1133" s="10" t="s">
        <v>2057</v>
      </c>
      <c r="P1133" s="25" t="str">
        <f>IFERROR(
IF(OR(O1133="anulado",O1133="stand by"),CONCATENATE(O1133,": ",H1133),
IF(OR(YEAR(M1133)=2022,YEAR(M1133)=2023),CONCATENATE("Se activó en ",YEAR(M1133)),
IF(AND(OR(O1133="En proceso",O1133="facturando"),AND(J1133="-",M1133="")),"Por revisar",
IF(M1133="",IF(J1133="NUEVAS",CONCATENATE("Estado: ",O1133,", ",J1133),
IF(L1133=Meses!$A$3,"Por revisar",
IF(H1133="","Sin registro","En programación Frcst."))),"En programación")))),
"Error")</f>
        <v>En programación</v>
      </c>
      <c r="Q1133" s="9" t="str">
        <f t="shared" si="51"/>
        <v/>
      </c>
      <c r="R1133" s="25">
        <f>IF(P1133="En programación Frcst.",VLOOKUP(L1133,Meses!$A$1:$H$14,3+HLOOKUP(Cronograma!J1133,Meses!$D$1:$G$2,2,FALSE),FALSE),
IF(P1133="En programación",M1133,""))</f>
        <v>45358</v>
      </c>
      <c r="S1133" s="25" t="str">
        <f t="shared" si="53"/>
        <v>2024/3</v>
      </c>
      <c r="T1133" s="21">
        <f>IFERROR(
(VLOOKUP(MONTH(R1133),Meses!$B$3:$C$14,2,FALSE)-DAY(R1133))/VLOOKUP(MONTH(R1133),Meses!$B$3:$C$14,2,FALSE)*U1133,
"")</f>
        <v>0</v>
      </c>
      <c r="U1133" s="22">
        <f t="shared" si="52"/>
        <v>0</v>
      </c>
    </row>
    <row r="1134" spans="1:21" ht="63" hidden="1" thickBot="1" x14ac:dyDescent="0.6">
      <c r="A1134" s="10" t="s">
        <v>1292</v>
      </c>
      <c r="B1134" s="10" t="s">
        <v>1425</v>
      </c>
      <c r="C1134" s="12"/>
      <c r="D1134" s="10" t="s">
        <v>23</v>
      </c>
      <c r="E1134" s="10" t="s">
        <v>23</v>
      </c>
      <c r="F1134" s="10">
        <v>0</v>
      </c>
      <c r="G1134" s="10" t="s">
        <v>15</v>
      </c>
      <c r="H1134" s="10" t="s">
        <v>2917</v>
      </c>
      <c r="I1134" s="10" t="s">
        <v>18</v>
      </c>
      <c r="J1134" s="10" t="s">
        <v>282</v>
      </c>
      <c r="K1134" s="10" t="s">
        <v>1119</v>
      </c>
      <c r="L1134" s="10" t="s">
        <v>1120</v>
      </c>
      <c r="M1134" s="12">
        <v>45358</v>
      </c>
      <c r="N1134" s="10" t="s">
        <v>15</v>
      </c>
      <c r="O1134" s="10" t="s">
        <v>2057</v>
      </c>
      <c r="P1134" s="25" t="str">
        <f>IFERROR(
IF(OR(O1134="anulado",O1134="stand by"),CONCATENATE(O1134,": ",H1134),
IF(OR(YEAR(M1134)=2022,YEAR(M1134)=2023),CONCATENATE("Se activó en ",YEAR(M1134)),
IF(AND(OR(O1134="En proceso",O1134="facturando"),AND(J1134="-",M1134="")),"Por revisar",
IF(M1134="",IF(J1134="NUEVAS",CONCATENATE("Estado: ",O1134,", ",J1134),
IF(L1134=Meses!$A$3,"Por revisar",
IF(H1134="","Sin registro","En programación Frcst."))),"En programación")))),
"Error")</f>
        <v>En programación</v>
      </c>
      <c r="Q1134" s="9" t="str">
        <f t="shared" si="51"/>
        <v/>
      </c>
      <c r="R1134" s="25">
        <f>IF(P1134="En programación Frcst.",VLOOKUP(L1134,Meses!$A$1:$H$14,3+HLOOKUP(Cronograma!J1134,Meses!$D$1:$G$2,2,FALSE),FALSE),
IF(P1134="En programación",M1134,""))</f>
        <v>45358</v>
      </c>
      <c r="S1134" s="25" t="str">
        <f t="shared" si="53"/>
        <v>2024/3</v>
      </c>
      <c r="T1134" s="21">
        <f>IFERROR(
(VLOOKUP(MONTH(R1134),Meses!$B$3:$C$14,2,FALSE)-DAY(R1134))/VLOOKUP(MONTH(R1134),Meses!$B$3:$C$14,2,FALSE)*U1134,
"")</f>
        <v>0</v>
      </c>
      <c r="U1134" s="22">
        <f t="shared" si="52"/>
        <v>0</v>
      </c>
    </row>
    <row r="1135" spans="1:21" ht="63" hidden="1" thickBot="1" x14ac:dyDescent="0.6">
      <c r="A1135" s="10" t="s">
        <v>1292</v>
      </c>
      <c r="B1135" s="10" t="s">
        <v>1426</v>
      </c>
      <c r="C1135" s="12"/>
      <c r="D1135" s="10" t="s">
        <v>23</v>
      </c>
      <c r="E1135" s="10" t="s">
        <v>23</v>
      </c>
      <c r="F1135" s="10">
        <v>4682</v>
      </c>
      <c r="G1135" s="10" t="s">
        <v>15</v>
      </c>
      <c r="H1135" s="10" t="s">
        <v>2917</v>
      </c>
      <c r="I1135" s="10" t="s">
        <v>18</v>
      </c>
      <c r="J1135" s="10" t="s">
        <v>282</v>
      </c>
      <c r="K1135" s="10" t="s">
        <v>1119</v>
      </c>
      <c r="L1135" s="10" t="s">
        <v>1120</v>
      </c>
      <c r="M1135" s="12">
        <v>45358</v>
      </c>
      <c r="N1135" s="10" t="s">
        <v>15</v>
      </c>
      <c r="O1135" s="10" t="s">
        <v>2057</v>
      </c>
      <c r="P1135" s="25" t="str">
        <f>IFERROR(
IF(OR(O1135="anulado",O1135="stand by"),CONCATENATE(O1135,": ",H1135),
IF(OR(YEAR(M1135)=2022,YEAR(M1135)=2023),CONCATENATE("Se activó en ",YEAR(M1135)),
IF(AND(OR(O1135="En proceso",O1135="facturando"),AND(J1135="-",M1135="")),"Por revisar",
IF(M1135="",IF(J1135="NUEVAS",CONCATENATE("Estado: ",O1135,", ",J1135),
IF(L1135=Meses!$A$3,"Por revisar",
IF(H1135="","Sin registro","En programación Frcst."))),"En programación")))),
"Error")</f>
        <v>En programación</v>
      </c>
      <c r="Q1135" s="9" t="str">
        <f t="shared" si="51"/>
        <v/>
      </c>
      <c r="R1135" s="25">
        <f>IF(P1135="En programación Frcst.",VLOOKUP(L1135,Meses!$A$1:$H$14,3+HLOOKUP(Cronograma!J1135,Meses!$D$1:$G$2,2,FALSE),FALSE),
IF(P1135="En programación",M1135,""))</f>
        <v>45358</v>
      </c>
      <c r="S1135" s="25" t="str">
        <f t="shared" si="53"/>
        <v>2024/3</v>
      </c>
      <c r="T1135" s="21">
        <f>IFERROR(
(VLOOKUP(MONTH(R1135),Meses!$B$3:$C$14,2,FALSE)-DAY(R1135))/VLOOKUP(MONTH(R1135),Meses!$B$3:$C$14,2,FALSE)*U1135,
"")</f>
        <v>3624.7741935483868</v>
      </c>
      <c r="U1135" s="22">
        <f t="shared" si="52"/>
        <v>4682</v>
      </c>
    </row>
    <row r="1136" spans="1:21" ht="63" hidden="1" thickBot="1" x14ac:dyDescent="0.6">
      <c r="A1136" s="10" t="s">
        <v>1292</v>
      </c>
      <c r="B1136" s="10" t="s">
        <v>1427</v>
      </c>
      <c r="C1136" s="12"/>
      <c r="D1136" s="10" t="s">
        <v>23</v>
      </c>
      <c r="E1136" s="10" t="s">
        <v>23</v>
      </c>
      <c r="F1136" s="10">
        <v>0</v>
      </c>
      <c r="G1136" s="10" t="s">
        <v>15</v>
      </c>
      <c r="H1136" s="10" t="s">
        <v>2917</v>
      </c>
      <c r="I1136" s="10" t="s">
        <v>18</v>
      </c>
      <c r="J1136" s="10" t="s">
        <v>282</v>
      </c>
      <c r="K1136" s="10" t="s">
        <v>1119</v>
      </c>
      <c r="L1136" s="10" t="s">
        <v>1120</v>
      </c>
      <c r="M1136" s="12">
        <v>45358</v>
      </c>
      <c r="N1136" s="10" t="s">
        <v>15</v>
      </c>
      <c r="O1136" s="10" t="s">
        <v>2057</v>
      </c>
      <c r="P1136" s="25" t="str">
        <f>IFERROR(
IF(OR(O1136="anulado",O1136="stand by"),CONCATENATE(O1136,": ",H1136),
IF(OR(YEAR(M1136)=2022,YEAR(M1136)=2023),CONCATENATE("Se activó en ",YEAR(M1136)),
IF(AND(OR(O1136="En proceso",O1136="facturando"),AND(J1136="-",M1136="")),"Por revisar",
IF(M1136="",IF(J1136="NUEVAS",CONCATENATE("Estado: ",O1136,", ",J1136),
IF(L1136=Meses!$A$3,"Por revisar",
IF(H1136="","Sin registro","En programación Frcst."))),"En programación")))),
"Error")</f>
        <v>En programación</v>
      </c>
      <c r="Q1136" s="9" t="str">
        <f t="shared" si="51"/>
        <v/>
      </c>
      <c r="R1136" s="25">
        <f>IF(P1136="En programación Frcst.",VLOOKUP(L1136,Meses!$A$1:$H$14,3+HLOOKUP(Cronograma!J1136,Meses!$D$1:$G$2,2,FALSE),FALSE),
IF(P1136="En programación",M1136,""))</f>
        <v>45358</v>
      </c>
      <c r="S1136" s="25" t="str">
        <f t="shared" si="53"/>
        <v>2024/3</v>
      </c>
      <c r="T1136" s="21">
        <f>IFERROR(
(VLOOKUP(MONTH(R1136),Meses!$B$3:$C$14,2,FALSE)-DAY(R1136))/VLOOKUP(MONTH(R1136),Meses!$B$3:$C$14,2,FALSE)*U1136,
"")</f>
        <v>0</v>
      </c>
      <c r="U1136" s="22">
        <f t="shared" si="52"/>
        <v>0</v>
      </c>
    </row>
    <row r="1137" spans="1:21" ht="63" hidden="1" thickBot="1" x14ac:dyDescent="0.6">
      <c r="A1137" s="10" t="s">
        <v>1292</v>
      </c>
      <c r="B1137" s="10" t="s">
        <v>1428</v>
      </c>
      <c r="C1137" s="12"/>
      <c r="D1137" s="10" t="s">
        <v>23</v>
      </c>
      <c r="E1137" s="10" t="s">
        <v>23</v>
      </c>
      <c r="F1137" s="10">
        <v>1680</v>
      </c>
      <c r="G1137" s="10" t="s">
        <v>15</v>
      </c>
      <c r="H1137" s="10" t="s">
        <v>2917</v>
      </c>
      <c r="I1137" s="10" t="s">
        <v>18</v>
      </c>
      <c r="J1137" s="10" t="s">
        <v>282</v>
      </c>
      <c r="K1137" s="10" t="s">
        <v>1119</v>
      </c>
      <c r="L1137" s="10" t="s">
        <v>1120</v>
      </c>
      <c r="M1137" s="12">
        <v>45358</v>
      </c>
      <c r="N1137" s="10" t="s">
        <v>15</v>
      </c>
      <c r="O1137" s="10" t="s">
        <v>2057</v>
      </c>
      <c r="P1137" s="25" t="str">
        <f>IFERROR(
IF(OR(O1137="anulado",O1137="stand by"),CONCATENATE(O1137,": ",H1137),
IF(OR(YEAR(M1137)=2022,YEAR(M1137)=2023),CONCATENATE("Se activó en ",YEAR(M1137)),
IF(AND(OR(O1137="En proceso",O1137="facturando"),AND(J1137="-",M1137="")),"Por revisar",
IF(M1137="",IF(J1137="NUEVAS",CONCATENATE("Estado: ",O1137,", ",J1137),
IF(L1137=Meses!$A$3,"Por revisar",
IF(H1137="","Sin registro","En programación Frcst."))),"En programación")))),
"Error")</f>
        <v>En programación</v>
      </c>
      <c r="Q1137" s="9" t="str">
        <f t="shared" si="51"/>
        <v/>
      </c>
      <c r="R1137" s="25">
        <f>IF(P1137="En programación Frcst.",VLOOKUP(L1137,Meses!$A$1:$H$14,3+HLOOKUP(Cronograma!J1137,Meses!$D$1:$G$2,2,FALSE),FALSE),
IF(P1137="En programación",M1137,""))</f>
        <v>45358</v>
      </c>
      <c r="S1137" s="25" t="str">
        <f t="shared" si="53"/>
        <v>2024/3</v>
      </c>
      <c r="T1137" s="21">
        <f>IFERROR(
(VLOOKUP(MONTH(R1137),Meses!$B$3:$C$14,2,FALSE)-DAY(R1137))/VLOOKUP(MONTH(R1137),Meses!$B$3:$C$14,2,FALSE)*U1137,
"")</f>
        <v>1300.6451612903224</v>
      </c>
      <c r="U1137" s="22">
        <f t="shared" si="52"/>
        <v>1680</v>
      </c>
    </row>
    <row r="1138" spans="1:21" ht="63" hidden="1" thickBot="1" x14ac:dyDescent="0.6">
      <c r="A1138" s="10" t="s">
        <v>1292</v>
      </c>
      <c r="B1138" s="10" t="s">
        <v>1429</v>
      </c>
      <c r="C1138" s="12"/>
      <c r="D1138" s="10" t="s">
        <v>23</v>
      </c>
      <c r="E1138" s="10" t="s">
        <v>23</v>
      </c>
      <c r="F1138" s="10">
        <v>65</v>
      </c>
      <c r="G1138" s="10" t="s">
        <v>15</v>
      </c>
      <c r="H1138" s="10" t="s">
        <v>2917</v>
      </c>
      <c r="I1138" s="10" t="s">
        <v>18</v>
      </c>
      <c r="J1138" s="10" t="s">
        <v>282</v>
      </c>
      <c r="K1138" s="10" t="s">
        <v>1119</v>
      </c>
      <c r="L1138" s="10" t="s">
        <v>1120</v>
      </c>
      <c r="M1138" s="12">
        <v>45358</v>
      </c>
      <c r="N1138" s="10" t="s">
        <v>15</v>
      </c>
      <c r="O1138" s="10" t="s">
        <v>2057</v>
      </c>
      <c r="P1138" s="25" t="str">
        <f>IFERROR(
IF(OR(O1138="anulado",O1138="stand by"),CONCATENATE(O1138,": ",H1138),
IF(OR(YEAR(M1138)=2022,YEAR(M1138)=2023),CONCATENATE("Se activó en ",YEAR(M1138)),
IF(AND(OR(O1138="En proceso",O1138="facturando"),AND(J1138="-",M1138="")),"Por revisar",
IF(M1138="",IF(J1138="NUEVAS",CONCATENATE("Estado: ",O1138,", ",J1138),
IF(L1138=Meses!$A$3,"Por revisar",
IF(H1138="","Sin registro","En programación Frcst."))),"En programación")))),
"Error")</f>
        <v>En programación</v>
      </c>
      <c r="Q1138" s="9" t="str">
        <f t="shared" si="51"/>
        <v/>
      </c>
      <c r="R1138" s="25">
        <f>IF(P1138="En programación Frcst.",VLOOKUP(L1138,Meses!$A$1:$H$14,3+HLOOKUP(Cronograma!J1138,Meses!$D$1:$G$2,2,FALSE),FALSE),
IF(P1138="En programación",M1138,""))</f>
        <v>45358</v>
      </c>
      <c r="S1138" s="25" t="str">
        <f t="shared" si="53"/>
        <v>2024/3</v>
      </c>
      <c r="T1138" s="21">
        <f>IFERROR(
(VLOOKUP(MONTH(R1138),Meses!$B$3:$C$14,2,FALSE)-DAY(R1138))/VLOOKUP(MONTH(R1138),Meses!$B$3:$C$14,2,FALSE)*U1138,
"")</f>
        <v>50.322580645161288</v>
      </c>
      <c r="U1138" s="22">
        <f t="shared" si="52"/>
        <v>65</v>
      </c>
    </row>
    <row r="1139" spans="1:21" ht="63" hidden="1" thickBot="1" x14ac:dyDescent="0.6">
      <c r="A1139" s="10" t="s">
        <v>1292</v>
      </c>
      <c r="B1139" s="10" t="s">
        <v>1430</v>
      </c>
      <c r="C1139" s="12"/>
      <c r="D1139" s="10" t="s">
        <v>23</v>
      </c>
      <c r="E1139" s="10" t="s">
        <v>23</v>
      </c>
      <c r="F1139" s="10">
        <v>0</v>
      </c>
      <c r="G1139" s="10" t="s">
        <v>15</v>
      </c>
      <c r="H1139" s="10" t="s">
        <v>2917</v>
      </c>
      <c r="I1139" s="10" t="s">
        <v>18</v>
      </c>
      <c r="J1139" s="10" t="s">
        <v>282</v>
      </c>
      <c r="K1139" s="10" t="s">
        <v>1119</v>
      </c>
      <c r="L1139" s="10" t="s">
        <v>1120</v>
      </c>
      <c r="M1139" s="12">
        <v>45358</v>
      </c>
      <c r="N1139" s="10" t="s">
        <v>15</v>
      </c>
      <c r="O1139" s="10" t="s">
        <v>2057</v>
      </c>
      <c r="P1139" s="25" t="str">
        <f>IFERROR(
IF(OR(O1139="anulado",O1139="stand by"),CONCATENATE(O1139,": ",H1139),
IF(OR(YEAR(M1139)=2022,YEAR(M1139)=2023),CONCATENATE("Se activó en ",YEAR(M1139)),
IF(AND(OR(O1139="En proceso",O1139="facturando"),AND(J1139="-",M1139="")),"Por revisar",
IF(M1139="",IF(J1139="NUEVAS",CONCATENATE("Estado: ",O1139,", ",J1139),
IF(L1139=Meses!$A$3,"Por revisar",
IF(H1139="","Sin registro","En programación Frcst."))),"En programación")))),
"Error")</f>
        <v>En programación</v>
      </c>
      <c r="Q1139" s="9" t="str">
        <f t="shared" si="51"/>
        <v/>
      </c>
      <c r="R1139" s="25">
        <f>IF(P1139="En programación Frcst.",VLOOKUP(L1139,Meses!$A$1:$H$14,3+HLOOKUP(Cronograma!J1139,Meses!$D$1:$G$2,2,FALSE),FALSE),
IF(P1139="En programación",M1139,""))</f>
        <v>45358</v>
      </c>
      <c r="S1139" s="25" t="str">
        <f t="shared" si="53"/>
        <v>2024/3</v>
      </c>
      <c r="T1139" s="21">
        <f>IFERROR(
(VLOOKUP(MONTH(R1139),Meses!$B$3:$C$14,2,FALSE)-DAY(R1139))/VLOOKUP(MONTH(R1139),Meses!$B$3:$C$14,2,FALSE)*U1139,
"")</f>
        <v>0</v>
      </c>
      <c r="U1139" s="22">
        <f t="shared" si="52"/>
        <v>0</v>
      </c>
    </row>
    <row r="1140" spans="1:21" ht="63" hidden="1" thickBot="1" x14ac:dyDescent="0.6">
      <c r="A1140" s="10" t="s">
        <v>1292</v>
      </c>
      <c r="B1140" s="10" t="s">
        <v>1431</v>
      </c>
      <c r="C1140" s="12"/>
      <c r="D1140" s="10" t="s">
        <v>23</v>
      </c>
      <c r="E1140" s="10" t="s">
        <v>23</v>
      </c>
      <c r="F1140" s="10">
        <v>0</v>
      </c>
      <c r="G1140" s="10" t="s">
        <v>15</v>
      </c>
      <c r="H1140" s="10" t="s">
        <v>2917</v>
      </c>
      <c r="I1140" s="10" t="s">
        <v>18</v>
      </c>
      <c r="J1140" s="10" t="s">
        <v>282</v>
      </c>
      <c r="K1140" s="10" t="s">
        <v>1119</v>
      </c>
      <c r="L1140" s="10" t="s">
        <v>1120</v>
      </c>
      <c r="M1140" s="12">
        <v>45358</v>
      </c>
      <c r="N1140" s="10" t="s">
        <v>15</v>
      </c>
      <c r="O1140" s="10" t="s">
        <v>2057</v>
      </c>
      <c r="P1140" s="25" t="str">
        <f>IFERROR(
IF(OR(O1140="anulado",O1140="stand by"),CONCATENATE(O1140,": ",H1140),
IF(OR(YEAR(M1140)=2022,YEAR(M1140)=2023),CONCATENATE("Se activó en ",YEAR(M1140)),
IF(AND(OR(O1140="En proceso",O1140="facturando"),AND(J1140="-",M1140="")),"Por revisar",
IF(M1140="",IF(J1140="NUEVAS",CONCATENATE("Estado: ",O1140,", ",J1140),
IF(L1140=Meses!$A$3,"Por revisar",
IF(H1140="","Sin registro","En programación Frcst."))),"En programación")))),
"Error")</f>
        <v>En programación</v>
      </c>
      <c r="Q1140" s="9" t="str">
        <f t="shared" si="51"/>
        <v/>
      </c>
      <c r="R1140" s="25">
        <f>IF(P1140="En programación Frcst.",VLOOKUP(L1140,Meses!$A$1:$H$14,3+HLOOKUP(Cronograma!J1140,Meses!$D$1:$G$2,2,FALSE),FALSE),
IF(P1140="En programación",M1140,""))</f>
        <v>45358</v>
      </c>
      <c r="S1140" s="25" t="str">
        <f t="shared" si="53"/>
        <v>2024/3</v>
      </c>
      <c r="T1140" s="21">
        <f>IFERROR(
(VLOOKUP(MONTH(R1140),Meses!$B$3:$C$14,2,FALSE)-DAY(R1140))/VLOOKUP(MONTH(R1140),Meses!$B$3:$C$14,2,FALSE)*U1140,
"")</f>
        <v>0</v>
      </c>
      <c r="U1140" s="22">
        <f t="shared" si="52"/>
        <v>0</v>
      </c>
    </row>
    <row r="1141" spans="1:21" ht="63" hidden="1" thickBot="1" x14ac:dyDescent="0.6">
      <c r="A1141" s="10" t="s">
        <v>1292</v>
      </c>
      <c r="B1141" s="10" t="s">
        <v>1432</v>
      </c>
      <c r="C1141" s="12"/>
      <c r="D1141" s="10" t="s">
        <v>23</v>
      </c>
      <c r="E1141" s="10" t="s">
        <v>23</v>
      </c>
      <c r="F1141" s="10">
        <v>0</v>
      </c>
      <c r="G1141" s="10" t="s">
        <v>15</v>
      </c>
      <c r="H1141" s="10" t="s">
        <v>2917</v>
      </c>
      <c r="I1141" s="10" t="s">
        <v>18</v>
      </c>
      <c r="J1141" s="10" t="s">
        <v>282</v>
      </c>
      <c r="K1141" s="10" t="s">
        <v>1119</v>
      </c>
      <c r="L1141" s="10" t="s">
        <v>1120</v>
      </c>
      <c r="M1141" s="12">
        <v>45358</v>
      </c>
      <c r="N1141" s="10" t="s">
        <v>15</v>
      </c>
      <c r="O1141" s="10" t="s">
        <v>2057</v>
      </c>
      <c r="P1141" s="25" t="str">
        <f>IFERROR(
IF(OR(O1141="anulado",O1141="stand by"),CONCATENATE(O1141,": ",H1141),
IF(OR(YEAR(M1141)=2022,YEAR(M1141)=2023),CONCATENATE("Se activó en ",YEAR(M1141)),
IF(AND(OR(O1141="En proceso",O1141="facturando"),AND(J1141="-",M1141="")),"Por revisar",
IF(M1141="",IF(J1141="NUEVAS",CONCATENATE("Estado: ",O1141,", ",J1141),
IF(L1141=Meses!$A$3,"Por revisar",
IF(H1141="","Sin registro","En programación Frcst."))),"En programación")))),
"Error")</f>
        <v>En programación</v>
      </c>
      <c r="Q1141" s="9" t="str">
        <f t="shared" si="51"/>
        <v/>
      </c>
      <c r="R1141" s="25">
        <f>IF(P1141="En programación Frcst.",VLOOKUP(L1141,Meses!$A$1:$H$14,3+HLOOKUP(Cronograma!J1141,Meses!$D$1:$G$2,2,FALSE),FALSE),
IF(P1141="En programación",M1141,""))</f>
        <v>45358</v>
      </c>
      <c r="S1141" s="25" t="str">
        <f t="shared" si="53"/>
        <v>2024/3</v>
      </c>
      <c r="T1141" s="21">
        <f>IFERROR(
(VLOOKUP(MONTH(R1141),Meses!$B$3:$C$14,2,FALSE)-DAY(R1141))/VLOOKUP(MONTH(R1141),Meses!$B$3:$C$14,2,FALSE)*U1141,
"")</f>
        <v>0</v>
      </c>
      <c r="U1141" s="22">
        <f t="shared" si="52"/>
        <v>0</v>
      </c>
    </row>
    <row r="1142" spans="1:21" ht="63" hidden="1" thickBot="1" x14ac:dyDescent="0.6">
      <c r="A1142" s="10" t="s">
        <v>1292</v>
      </c>
      <c r="B1142" s="10" t="s">
        <v>1433</v>
      </c>
      <c r="C1142" s="12"/>
      <c r="D1142" s="10" t="s">
        <v>23</v>
      </c>
      <c r="E1142" s="10" t="s">
        <v>23</v>
      </c>
      <c r="F1142" s="10">
        <v>6293</v>
      </c>
      <c r="G1142" s="10" t="s">
        <v>15</v>
      </c>
      <c r="H1142" s="10" t="s">
        <v>2917</v>
      </c>
      <c r="I1142" s="10" t="s">
        <v>18</v>
      </c>
      <c r="J1142" s="10" t="s">
        <v>282</v>
      </c>
      <c r="K1142" s="10" t="s">
        <v>1119</v>
      </c>
      <c r="L1142" s="10" t="s">
        <v>1120</v>
      </c>
      <c r="M1142" s="12">
        <v>45358</v>
      </c>
      <c r="N1142" s="10" t="s">
        <v>15</v>
      </c>
      <c r="O1142" s="10" t="s">
        <v>2057</v>
      </c>
      <c r="P1142" s="25" t="str">
        <f>IFERROR(
IF(OR(O1142="anulado",O1142="stand by"),CONCATENATE(O1142,": ",H1142),
IF(OR(YEAR(M1142)=2022,YEAR(M1142)=2023),CONCATENATE("Se activó en ",YEAR(M1142)),
IF(AND(OR(O1142="En proceso",O1142="facturando"),AND(J1142="-",M1142="")),"Por revisar",
IF(M1142="",IF(J1142="NUEVAS",CONCATENATE("Estado: ",O1142,", ",J1142),
IF(L1142=Meses!$A$3,"Por revisar",
IF(H1142="","Sin registro","En programación Frcst."))),"En programación")))),
"Error")</f>
        <v>En programación</v>
      </c>
      <c r="Q1142" s="9" t="str">
        <f t="shared" si="51"/>
        <v/>
      </c>
      <c r="R1142" s="25">
        <f>IF(P1142="En programación Frcst.",VLOOKUP(L1142,Meses!$A$1:$H$14,3+HLOOKUP(Cronograma!J1142,Meses!$D$1:$G$2,2,FALSE),FALSE),
IF(P1142="En programación",M1142,""))</f>
        <v>45358</v>
      </c>
      <c r="S1142" s="25" t="str">
        <f t="shared" si="53"/>
        <v>2024/3</v>
      </c>
      <c r="T1142" s="21">
        <f>IFERROR(
(VLOOKUP(MONTH(R1142),Meses!$B$3:$C$14,2,FALSE)-DAY(R1142))/VLOOKUP(MONTH(R1142),Meses!$B$3:$C$14,2,FALSE)*U1142,
"")</f>
        <v>4872</v>
      </c>
      <c r="U1142" s="22">
        <f t="shared" si="52"/>
        <v>6293</v>
      </c>
    </row>
    <row r="1143" spans="1:21" ht="63" hidden="1" thickBot="1" x14ac:dyDescent="0.6">
      <c r="A1143" s="10" t="s">
        <v>1292</v>
      </c>
      <c r="B1143" s="10" t="s">
        <v>1434</v>
      </c>
      <c r="C1143" s="12"/>
      <c r="D1143" s="10" t="s">
        <v>23</v>
      </c>
      <c r="E1143" s="10" t="s">
        <v>23</v>
      </c>
      <c r="F1143" s="10">
        <v>0</v>
      </c>
      <c r="G1143" s="10" t="s">
        <v>15</v>
      </c>
      <c r="H1143" s="10" t="s">
        <v>2917</v>
      </c>
      <c r="I1143" s="10" t="s">
        <v>18</v>
      </c>
      <c r="J1143" s="10" t="s">
        <v>282</v>
      </c>
      <c r="K1143" s="10" t="s">
        <v>1119</v>
      </c>
      <c r="L1143" s="10" t="s">
        <v>1120</v>
      </c>
      <c r="M1143" s="12">
        <v>45358</v>
      </c>
      <c r="N1143" s="10" t="s">
        <v>15</v>
      </c>
      <c r="O1143" s="10" t="s">
        <v>2057</v>
      </c>
      <c r="P1143" s="25" t="str">
        <f>IFERROR(
IF(OR(O1143="anulado",O1143="stand by"),CONCATENATE(O1143,": ",H1143),
IF(OR(YEAR(M1143)=2022,YEAR(M1143)=2023),CONCATENATE("Se activó en ",YEAR(M1143)),
IF(AND(OR(O1143="En proceso",O1143="facturando"),AND(J1143="-",M1143="")),"Por revisar",
IF(M1143="",IF(J1143="NUEVAS",CONCATENATE("Estado: ",O1143,", ",J1143),
IF(L1143=Meses!$A$3,"Por revisar",
IF(H1143="","Sin registro","En programación Frcst."))),"En programación")))),
"Error")</f>
        <v>En programación</v>
      </c>
      <c r="Q1143" s="9" t="str">
        <f t="shared" si="51"/>
        <v/>
      </c>
      <c r="R1143" s="25">
        <f>IF(P1143="En programación Frcst.",VLOOKUP(L1143,Meses!$A$1:$H$14,3+HLOOKUP(Cronograma!J1143,Meses!$D$1:$G$2,2,FALSE),FALSE),
IF(P1143="En programación",M1143,""))</f>
        <v>45358</v>
      </c>
      <c r="S1143" s="25" t="str">
        <f t="shared" si="53"/>
        <v>2024/3</v>
      </c>
      <c r="T1143" s="21">
        <f>IFERROR(
(VLOOKUP(MONTH(R1143),Meses!$B$3:$C$14,2,FALSE)-DAY(R1143))/VLOOKUP(MONTH(R1143),Meses!$B$3:$C$14,2,FALSE)*U1143,
"")</f>
        <v>0</v>
      </c>
      <c r="U1143" s="22">
        <f t="shared" si="52"/>
        <v>0</v>
      </c>
    </row>
    <row r="1144" spans="1:21" ht="63" hidden="1" thickBot="1" x14ac:dyDescent="0.6">
      <c r="A1144" s="10" t="s">
        <v>1292</v>
      </c>
      <c r="B1144" s="10" t="s">
        <v>1435</v>
      </c>
      <c r="C1144" s="12"/>
      <c r="D1144" s="10" t="s">
        <v>23</v>
      </c>
      <c r="E1144" s="10" t="s">
        <v>23</v>
      </c>
      <c r="F1144" s="10">
        <v>0</v>
      </c>
      <c r="G1144" s="10" t="s">
        <v>15</v>
      </c>
      <c r="H1144" s="10" t="s">
        <v>2917</v>
      </c>
      <c r="I1144" s="10" t="s">
        <v>18</v>
      </c>
      <c r="J1144" s="10" t="s">
        <v>282</v>
      </c>
      <c r="K1144" s="10" t="s">
        <v>1119</v>
      </c>
      <c r="L1144" s="10" t="s">
        <v>1120</v>
      </c>
      <c r="M1144" s="12">
        <v>45358</v>
      </c>
      <c r="N1144" s="10" t="s">
        <v>15</v>
      </c>
      <c r="O1144" s="10" t="s">
        <v>2057</v>
      </c>
      <c r="P1144" s="25" t="str">
        <f>IFERROR(
IF(OR(O1144="anulado",O1144="stand by"),CONCATENATE(O1144,": ",H1144),
IF(OR(YEAR(M1144)=2022,YEAR(M1144)=2023),CONCATENATE("Se activó en ",YEAR(M1144)),
IF(AND(OR(O1144="En proceso",O1144="facturando"),AND(J1144="-",M1144="")),"Por revisar",
IF(M1144="",IF(J1144="NUEVAS",CONCATENATE("Estado: ",O1144,", ",J1144),
IF(L1144=Meses!$A$3,"Por revisar",
IF(H1144="","Sin registro","En programación Frcst."))),"En programación")))),
"Error")</f>
        <v>En programación</v>
      </c>
      <c r="Q1144" s="9" t="str">
        <f t="shared" si="51"/>
        <v/>
      </c>
      <c r="R1144" s="25">
        <f>IF(P1144="En programación Frcst.",VLOOKUP(L1144,Meses!$A$1:$H$14,3+HLOOKUP(Cronograma!J1144,Meses!$D$1:$G$2,2,FALSE),FALSE),
IF(P1144="En programación",M1144,""))</f>
        <v>45358</v>
      </c>
      <c r="S1144" s="25" t="str">
        <f t="shared" si="53"/>
        <v>2024/3</v>
      </c>
      <c r="T1144" s="21">
        <f>IFERROR(
(VLOOKUP(MONTH(R1144),Meses!$B$3:$C$14,2,FALSE)-DAY(R1144))/VLOOKUP(MONTH(R1144),Meses!$B$3:$C$14,2,FALSE)*U1144,
"")</f>
        <v>0</v>
      </c>
      <c r="U1144" s="22">
        <f t="shared" si="52"/>
        <v>0</v>
      </c>
    </row>
    <row r="1145" spans="1:21" ht="63" hidden="1" thickBot="1" x14ac:dyDescent="0.6">
      <c r="A1145" s="10" t="s">
        <v>1292</v>
      </c>
      <c r="B1145" s="10" t="s">
        <v>1436</v>
      </c>
      <c r="C1145" s="12"/>
      <c r="D1145" s="10" t="s">
        <v>23</v>
      </c>
      <c r="E1145" s="10" t="s">
        <v>23</v>
      </c>
      <c r="F1145" s="10">
        <v>493</v>
      </c>
      <c r="G1145" s="10" t="s">
        <v>15</v>
      </c>
      <c r="H1145" s="10" t="s">
        <v>2917</v>
      </c>
      <c r="I1145" s="10" t="s">
        <v>18</v>
      </c>
      <c r="J1145" s="10" t="s">
        <v>282</v>
      </c>
      <c r="K1145" s="10" t="s">
        <v>1119</v>
      </c>
      <c r="L1145" s="10" t="s">
        <v>1120</v>
      </c>
      <c r="M1145" s="12">
        <v>45358</v>
      </c>
      <c r="N1145" s="10" t="s">
        <v>15</v>
      </c>
      <c r="O1145" s="10" t="s">
        <v>2057</v>
      </c>
      <c r="P1145" s="25" t="str">
        <f>IFERROR(
IF(OR(O1145="anulado",O1145="stand by"),CONCATENATE(O1145,": ",H1145),
IF(OR(YEAR(M1145)=2022,YEAR(M1145)=2023),CONCATENATE("Se activó en ",YEAR(M1145)),
IF(AND(OR(O1145="En proceso",O1145="facturando"),AND(J1145="-",M1145="")),"Por revisar",
IF(M1145="",IF(J1145="NUEVAS",CONCATENATE("Estado: ",O1145,", ",J1145),
IF(L1145=Meses!$A$3,"Por revisar",
IF(H1145="","Sin registro","En programación Frcst."))),"En programación")))),
"Error")</f>
        <v>En programación</v>
      </c>
      <c r="Q1145" s="9" t="str">
        <f t="shared" si="51"/>
        <v/>
      </c>
      <c r="R1145" s="25">
        <f>IF(P1145="En programación Frcst.",VLOOKUP(L1145,Meses!$A$1:$H$14,3+HLOOKUP(Cronograma!J1145,Meses!$D$1:$G$2,2,FALSE),FALSE),
IF(P1145="En programación",M1145,""))</f>
        <v>45358</v>
      </c>
      <c r="S1145" s="25" t="str">
        <f t="shared" si="53"/>
        <v>2024/3</v>
      </c>
      <c r="T1145" s="21">
        <f>IFERROR(
(VLOOKUP(MONTH(R1145),Meses!$B$3:$C$14,2,FALSE)-DAY(R1145))/VLOOKUP(MONTH(R1145),Meses!$B$3:$C$14,2,FALSE)*U1145,
"")</f>
        <v>381.67741935483872</v>
      </c>
      <c r="U1145" s="22">
        <f t="shared" si="52"/>
        <v>493</v>
      </c>
    </row>
    <row r="1146" spans="1:21" ht="63" hidden="1" thickBot="1" x14ac:dyDescent="0.6">
      <c r="A1146" s="10" t="s">
        <v>1292</v>
      </c>
      <c r="B1146" s="10" t="s">
        <v>1437</v>
      </c>
      <c r="C1146" s="12"/>
      <c r="D1146" s="10" t="s">
        <v>23</v>
      </c>
      <c r="E1146" s="10" t="s">
        <v>23</v>
      </c>
      <c r="F1146" s="10">
        <v>363</v>
      </c>
      <c r="G1146" s="10" t="s">
        <v>15</v>
      </c>
      <c r="H1146" s="10" t="s">
        <v>2917</v>
      </c>
      <c r="I1146" s="10" t="s">
        <v>18</v>
      </c>
      <c r="J1146" s="10" t="s">
        <v>282</v>
      </c>
      <c r="K1146" s="10" t="s">
        <v>1119</v>
      </c>
      <c r="L1146" s="10" t="s">
        <v>1120</v>
      </c>
      <c r="M1146" s="12">
        <v>45358</v>
      </c>
      <c r="N1146" s="10" t="s">
        <v>15</v>
      </c>
      <c r="O1146" s="10" t="s">
        <v>2057</v>
      </c>
      <c r="P1146" s="25" t="str">
        <f>IFERROR(
IF(OR(O1146="anulado",O1146="stand by"),CONCATENATE(O1146,": ",H1146),
IF(OR(YEAR(M1146)=2022,YEAR(M1146)=2023),CONCATENATE("Se activó en ",YEAR(M1146)),
IF(AND(OR(O1146="En proceso",O1146="facturando"),AND(J1146="-",M1146="")),"Por revisar",
IF(M1146="",IF(J1146="NUEVAS",CONCATENATE("Estado: ",O1146,", ",J1146),
IF(L1146=Meses!$A$3,"Por revisar",
IF(H1146="","Sin registro","En programación Frcst."))),"En programación")))),
"Error")</f>
        <v>En programación</v>
      </c>
      <c r="Q1146" s="9" t="str">
        <f t="shared" si="51"/>
        <v/>
      </c>
      <c r="R1146" s="25">
        <f>IF(P1146="En programación Frcst.",VLOOKUP(L1146,Meses!$A$1:$H$14,3+HLOOKUP(Cronograma!J1146,Meses!$D$1:$G$2,2,FALSE),FALSE),
IF(P1146="En programación",M1146,""))</f>
        <v>45358</v>
      </c>
      <c r="S1146" s="25" t="str">
        <f t="shared" si="53"/>
        <v>2024/3</v>
      </c>
      <c r="T1146" s="21">
        <f>IFERROR(
(VLOOKUP(MONTH(R1146),Meses!$B$3:$C$14,2,FALSE)-DAY(R1146))/VLOOKUP(MONTH(R1146),Meses!$B$3:$C$14,2,FALSE)*U1146,
"")</f>
        <v>281.0322580645161</v>
      </c>
      <c r="U1146" s="22">
        <f t="shared" si="52"/>
        <v>363</v>
      </c>
    </row>
    <row r="1147" spans="1:21" ht="63" hidden="1" thickBot="1" x14ac:dyDescent="0.6">
      <c r="A1147" s="10" t="s">
        <v>1292</v>
      </c>
      <c r="B1147" s="10" t="s">
        <v>1438</v>
      </c>
      <c r="C1147" s="12"/>
      <c r="D1147" s="10" t="s">
        <v>23</v>
      </c>
      <c r="E1147" s="10" t="s">
        <v>23</v>
      </c>
      <c r="F1147" s="10">
        <v>37</v>
      </c>
      <c r="G1147" s="10" t="s">
        <v>15</v>
      </c>
      <c r="H1147" s="10" t="s">
        <v>2917</v>
      </c>
      <c r="I1147" s="10" t="s">
        <v>18</v>
      </c>
      <c r="J1147" s="10" t="s">
        <v>282</v>
      </c>
      <c r="K1147" s="10" t="s">
        <v>1119</v>
      </c>
      <c r="L1147" s="10" t="s">
        <v>1120</v>
      </c>
      <c r="M1147" s="12">
        <v>45358</v>
      </c>
      <c r="N1147" s="10" t="s">
        <v>15</v>
      </c>
      <c r="O1147" s="10" t="s">
        <v>2057</v>
      </c>
      <c r="P1147" s="25" t="str">
        <f>IFERROR(
IF(OR(O1147="anulado",O1147="stand by"),CONCATENATE(O1147,": ",H1147),
IF(OR(YEAR(M1147)=2022,YEAR(M1147)=2023),CONCATENATE("Se activó en ",YEAR(M1147)),
IF(AND(OR(O1147="En proceso",O1147="facturando"),AND(J1147="-",M1147="")),"Por revisar",
IF(M1147="",IF(J1147="NUEVAS",CONCATENATE("Estado: ",O1147,", ",J1147),
IF(L1147=Meses!$A$3,"Por revisar",
IF(H1147="","Sin registro","En programación Frcst."))),"En programación")))),
"Error")</f>
        <v>En programación</v>
      </c>
      <c r="Q1147" s="9" t="str">
        <f t="shared" si="51"/>
        <v/>
      </c>
      <c r="R1147" s="25">
        <f>IF(P1147="En programación Frcst.",VLOOKUP(L1147,Meses!$A$1:$H$14,3+HLOOKUP(Cronograma!J1147,Meses!$D$1:$G$2,2,FALSE),FALSE),
IF(P1147="En programación",M1147,""))</f>
        <v>45358</v>
      </c>
      <c r="S1147" s="25" t="str">
        <f t="shared" si="53"/>
        <v>2024/3</v>
      </c>
      <c r="T1147" s="21">
        <f>IFERROR(
(VLOOKUP(MONTH(R1147),Meses!$B$3:$C$14,2,FALSE)-DAY(R1147))/VLOOKUP(MONTH(R1147),Meses!$B$3:$C$14,2,FALSE)*U1147,
"")</f>
        <v>28.64516129032258</v>
      </c>
      <c r="U1147" s="22">
        <f t="shared" si="52"/>
        <v>37</v>
      </c>
    </row>
    <row r="1148" spans="1:21" ht="63" hidden="1" thickBot="1" x14ac:dyDescent="0.6">
      <c r="A1148" s="10" t="s">
        <v>1292</v>
      </c>
      <c r="B1148" s="10" t="s">
        <v>1439</v>
      </c>
      <c r="C1148" s="12"/>
      <c r="D1148" s="10" t="s">
        <v>23</v>
      </c>
      <c r="E1148" s="10" t="s">
        <v>23</v>
      </c>
      <c r="F1148" s="10">
        <v>949</v>
      </c>
      <c r="G1148" s="10" t="s">
        <v>15</v>
      </c>
      <c r="H1148" s="10" t="s">
        <v>2917</v>
      </c>
      <c r="I1148" s="10" t="s">
        <v>18</v>
      </c>
      <c r="J1148" s="10" t="s">
        <v>282</v>
      </c>
      <c r="K1148" s="10" t="s">
        <v>1119</v>
      </c>
      <c r="L1148" s="10" t="s">
        <v>1120</v>
      </c>
      <c r="M1148" s="12">
        <v>45358</v>
      </c>
      <c r="N1148" s="10" t="s">
        <v>15</v>
      </c>
      <c r="O1148" s="10" t="s">
        <v>2057</v>
      </c>
      <c r="P1148" s="25" t="str">
        <f>IFERROR(
IF(OR(O1148="anulado",O1148="stand by"),CONCATENATE(O1148,": ",H1148),
IF(OR(YEAR(M1148)=2022,YEAR(M1148)=2023),CONCATENATE("Se activó en ",YEAR(M1148)),
IF(AND(OR(O1148="En proceso",O1148="facturando"),AND(J1148="-",M1148="")),"Por revisar",
IF(M1148="",IF(J1148="NUEVAS",CONCATENATE("Estado: ",O1148,", ",J1148),
IF(L1148=Meses!$A$3,"Por revisar",
IF(H1148="","Sin registro","En programación Frcst."))),"En programación")))),
"Error")</f>
        <v>En programación</v>
      </c>
      <c r="Q1148" s="9" t="str">
        <f t="shared" si="51"/>
        <v/>
      </c>
      <c r="R1148" s="25">
        <f>IF(P1148="En programación Frcst.",VLOOKUP(L1148,Meses!$A$1:$H$14,3+HLOOKUP(Cronograma!J1148,Meses!$D$1:$G$2,2,FALSE),FALSE),
IF(P1148="En programación",M1148,""))</f>
        <v>45358</v>
      </c>
      <c r="S1148" s="25" t="str">
        <f t="shared" si="53"/>
        <v>2024/3</v>
      </c>
      <c r="T1148" s="21">
        <f>IFERROR(
(VLOOKUP(MONTH(R1148),Meses!$B$3:$C$14,2,FALSE)-DAY(R1148))/VLOOKUP(MONTH(R1148),Meses!$B$3:$C$14,2,FALSE)*U1148,
"")</f>
        <v>734.70967741935476</v>
      </c>
      <c r="U1148" s="22">
        <f t="shared" si="52"/>
        <v>949</v>
      </c>
    </row>
    <row r="1149" spans="1:21" ht="63" hidden="1" thickBot="1" x14ac:dyDescent="0.6">
      <c r="A1149" s="10" t="s">
        <v>1292</v>
      </c>
      <c r="B1149" s="10" t="s">
        <v>1440</v>
      </c>
      <c r="C1149" s="12"/>
      <c r="D1149" s="10" t="s">
        <v>23</v>
      </c>
      <c r="E1149" s="10" t="s">
        <v>23</v>
      </c>
      <c r="F1149" s="10">
        <v>1194</v>
      </c>
      <c r="G1149" s="10" t="s">
        <v>15</v>
      </c>
      <c r="H1149" s="10" t="s">
        <v>2917</v>
      </c>
      <c r="I1149" s="10" t="s">
        <v>18</v>
      </c>
      <c r="J1149" s="10" t="s">
        <v>282</v>
      </c>
      <c r="K1149" s="10" t="s">
        <v>1119</v>
      </c>
      <c r="L1149" s="10" t="s">
        <v>1120</v>
      </c>
      <c r="M1149" s="12">
        <v>45358</v>
      </c>
      <c r="N1149" s="10" t="s">
        <v>15</v>
      </c>
      <c r="O1149" s="10" t="s">
        <v>2057</v>
      </c>
      <c r="P1149" s="25" t="str">
        <f>IFERROR(
IF(OR(O1149="anulado",O1149="stand by"),CONCATENATE(O1149,": ",H1149),
IF(OR(YEAR(M1149)=2022,YEAR(M1149)=2023),CONCATENATE("Se activó en ",YEAR(M1149)),
IF(AND(OR(O1149="En proceso",O1149="facturando"),AND(J1149="-",M1149="")),"Por revisar",
IF(M1149="",IF(J1149="NUEVAS",CONCATENATE("Estado: ",O1149,", ",J1149),
IF(L1149=Meses!$A$3,"Por revisar",
IF(H1149="","Sin registro","En programación Frcst."))),"En programación")))),
"Error")</f>
        <v>En programación</v>
      </c>
      <c r="Q1149" s="9" t="str">
        <f t="shared" si="51"/>
        <v/>
      </c>
      <c r="R1149" s="25">
        <f>IF(P1149="En programación Frcst.",VLOOKUP(L1149,Meses!$A$1:$H$14,3+HLOOKUP(Cronograma!J1149,Meses!$D$1:$G$2,2,FALSE),FALSE),
IF(P1149="En programación",M1149,""))</f>
        <v>45358</v>
      </c>
      <c r="S1149" s="25" t="str">
        <f t="shared" si="53"/>
        <v>2024/3</v>
      </c>
      <c r="T1149" s="21">
        <f>IFERROR(
(VLOOKUP(MONTH(R1149),Meses!$B$3:$C$14,2,FALSE)-DAY(R1149))/VLOOKUP(MONTH(R1149),Meses!$B$3:$C$14,2,FALSE)*U1149,
"")</f>
        <v>924.38709677419354</v>
      </c>
      <c r="U1149" s="22">
        <f t="shared" si="52"/>
        <v>1194</v>
      </c>
    </row>
    <row r="1150" spans="1:21" ht="63" hidden="1" thickBot="1" x14ac:dyDescent="0.6">
      <c r="A1150" s="10" t="s">
        <v>1292</v>
      </c>
      <c r="B1150" s="10" t="s">
        <v>1441</v>
      </c>
      <c r="C1150" s="12"/>
      <c r="D1150" s="10" t="s">
        <v>23</v>
      </c>
      <c r="E1150" s="10" t="s">
        <v>23</v>
      </c>
      <c r="F1150" s="10">
        <v>1124</v>
      </c>
      <c r="G1150" s="10" t="s">
        <v>15</v>
      </c>
      <c r="H1150" s="10" t="s">
        <v>2917</v>
      </c>
      <c r="I1150" s="10" t="s">
        <v>18</v>
      </c>
      <c r="J1150" s="10" t="s">
        <v>282</v>
      </c>
      <c r="K1150" s="10" t="s">
        <v>1119</v>
      </c>
      <c r="L1150" s="10" t="s">
        <v>1120</v>
      </c>
      <c r="M1150" s="12">
        <v>45358</v>
      </c>
      <c r="N1150" s="10" t="s">
        <v>15</v>
      </c>
      <c r="O1150" s="10" t="s">
        <v>2057</v>
      </c>
      <c r="P1150" s="25" t="str">
        <f>IFERROR(
IF(OR(O1150="anulado",O1150="stand by"),CONCATENATE(O1150,": ",H1150),
IF(OR(YEAR(M1150)=2022,YEAR(M1150)=2023),CONCATENATE("Se activó en ",YEAR(M1150)),
IF(AND(OR(O1150="En proceso",O1150="facturando"),AND(J1150="-",M1150="")),"Por revisar",
IF(M1150="",IF(J1150="NUEVAS",CONCATENATE("Estado: ",O1150,", ",J1150),
IF(L1150=Meses!$A$3,"Por revisar",
IF(H1150="","Sin registro","En programación Frcst."))),"En programación")))),
"Error")</f>
        <v>En programación</v>
      </c>
      <c r="Q1150" s="9" t="str">
        <f t="shared" si="51"/>
        <v/>
      </c>
      <c r="R1150" s="25">
        <f>IF(P1150="En programación Frcst.",VLOOKUP(L1150,Meses!$A$1:$H$14,3+HLOOKUP(Cronograma!J1150,Meses!$D$1:$G$2,2,FALSE),FALSE),
IF(P1150="En programación",M1150,""))</f>
        <v>45358</v>
      </c>
      <c r="S1150" s="25" t="str">
        <f t="shared" si="53"/>
        <v>2024/3</v>
      </c>
      <c r="T1150" s="21">
        <f>IFERROR(
(VLOOKUP(MONTH(R1150),Meses!$B$3:$C$14,2,FALSE)-DAY(R1150))/VLOOKUP(MONTH(R1150),Meses!$B$3:$C$14,2,FALSE)*U1150,
"")</f>
        <v>870.19354838709671</v>
      </c>
      <c r="U1150" s="22">
        <f t="shared" si="52"/>
        <v>1124</v>
      </c>
    </row>
    <row r="1151" spans="1:21" ht="63" hidden="1" thickBot="1" x14ac:dyDescent="0.6">
      <c r="A1151" s="10" t="s">
        <v>1292</v>
      </c>
      <c r="B1151" s="10" t="s">
        <v>1442</v>
      </c>
      <c r="C1151" s="12"/>
      <c r="D1151" s="10" t="s">
        <v>23</v>
      </c>
      <c r="E1151" s="10" t="s">
        <v>23</v>
      </c>
      <c r="F1151" s="10">
        <v>645</v>
      </c>
      <c r="G1151" s="10" t="s">
        <v>15</v>
      </c>
      <c r="H1151" s="10" t="s">
        <v>2917</v>
      </c>
      <c r="I1151" s="10" t="s">
        <v>18</v>
      </c>
      <c r="J1151" s="10" t="s">
        <v>282</v>
      </c>
      <c r="K1151" s="10" t="s">
        <v>1119</v>
      </c>
      <c r="L1151" s="10" t="s">
        <v>1120</v>
      </c>
      <c r="M1151" s="12">
        <v>45358</v>
      </c>
      <c r="N1151" s="10" t="s">
        <v>15</v>
      </c>
      <c r="O1151" s="10" t="s">
        <v>2057</v>
      </c>
      <c r="P1151" s="25" t="str">
        <f>IFERROR(
IF(OR(O1151="anulado",O1151="stand by"),CONCATENATE(O1151,": ",H1151),
IF(OR(YEAR(M1151)=2022,YEAR(M1151)=2023),CONCATENATE("Se activó en ",YEAR(M1151)),
IF(AND(OR(O1151="En proceso",O1151="facturando"),AND(J1151="-",M1151="")),"Por revisar",
IF(M1151="",IF(J1151="NUEVAS",CONCATENATE("Estado: ",O1151,", ",J1151),
IF(L1151=Meses!$A$3,"Por revisar",
IF(H1151="","Sin registro","En programación Frcst."))),"En programación")))),
"Error")</f>
        <v>En programación</v>
      </c>
      <c r="Q1151" s="9" t="str">
        <f t="shared" si="51"/>
        <v/>
      </c>
      <c r="R1151" s="25">
        <f>IF(P1151="En programación Frcst.",VLOOKUP(L1151,Meses!$A$1:$H$14,3+HLOOKUP(Cronograma!J1151,Meses!$D$1:$G$2,2,FALSE),FALSE),
IF(P1151="En programación",M1151,""))</f>
        <v>45358</v>
      </c>
      <c r="S1151" s="25" t="str">
        <f t="shared" si="53"/>
        <v>2024/3</v>
      </c>
      <c r="T1151" s="21">
        <f>IFERROR(
(VLOOKUP(MONTH(R1151),Meses!$B$3:$C$14,2,FALSE)-DAY(R1151))/VLOOKUP(MONTH(R1151),Meses!$B$3:$C$14,2,FALSE)*U1151,
"")</f>
        <v>499.35483870967738</v>
      </c>
      <c r="U1151" s="22">
        <f t="shared" si="52"/>
        <v>645</v>
      </c>
    </row>
    <row r="1152" spans="1:21" ht="63" hidden="1" thickBot="1" x14ac:dyDescent="0.6">
      <c r="A1152" s="10" t="s">
        <v>1292</v>
      </c>
      <c r="B1152" s="10" t="s">
        <v>1443</v>
      </c>
      <c r="C1152" s="12"/>
      <c r="D1152" s="10" t="s">
        <v>23</v>
      </c>
      <c r="E1152" s="10" t="s">
        <v>23</v>
      </c>
      <c r="F1152" s="10">
        <v>429</v>
      </c>
      <c r="G1152" s="10" t="s">
        <v>15</v>
      </c>
      <c r="H1152" s="10" t="s">
        <v>2917</v>
      </c>
      <c r="I1152" s="10" t="s">
        <v>18</v>
      </c>
      <c r="J1152" s="10" t="s">
        <v>282</v>
      </c>
      <c r="K1152" s="10" t="s">
        <v>1119</v>
      </c>
      <c r="L1152" s="10" t="s">
        <v>1120</v>
      </c>
      <c r="M1152" s="12">
        <v>45358</v>
      </c>
      <c r="N1152" s="10" t="s">
        <v>15</v>
      </c>
      <c r="O1152" s="10" t="s">
        <v>2057</v>
      </c>
      <c r="P1152" s="25" t="str">
        <f>IFERROR(
IF(OR(O1152="anulado",O1152="stand by"),CONCATENATE(O1152,": ",H1152),
IF(OR(YEAR(M1152)=2022,YEAR(M1152)=2023),CONCATENATE("Se activó en ",YEAR(M1152)),
IF(AND(OR(O1152="En proceso",O1152="facturando"),AND(J1152="-",M1152="")),"Por revisar",
IF(M1152="",IF(J1152="NUEVAS",CONCATENATE("Estado: ",O1152,", ",J1152),
IF(L1152=Meses!$A$3,"Por revisar",
IF(H1152="","Sin registro","En programación Frcst."))),"En programación")))),
"Error")</f>
        <v>En programación</v>
      </c>
      <c r="Q1152" s="9" t="str">
        <f t="shared" si="51"/>
        <v/>
      </c>
      <c r="R1152" s="25">
        <f>IF(P1152="En programación Frcst.",VLOOKUP(L1152,Meses!$A$1:$H$14,3+HLOOKUP(Cronograma!J1152,Meses!$D$1:$G$2,2,FALSE),FALSE),
IF(P1152="En programación",M1152,""))</f>
        <v>45358</v>
      </c>
      <c r="S1152" s="25" t="str">
        <f t="shared" si="53"/>
        <v>2024/3</v>
      </c>
      <c r="T1152" s="21">
        <f>IFERROR(
(VLOOKUP(MONTH(R1152),Meses!$B$3:$C$14,2,FALSE)-DAY(R1152))/VLOOKUP(MONTH(R1152),Meses!$B$3:$C$14,2,FALSE)*U1152,
"")</f>
        <v>332.12903225806451</v>
      </c>
      <c r="U1152" s="22">
        <f t="shared" si="52"/>
        <v>429</v>
      </c>
    </row>
    <row r="1153" spans="1:21" ht="63" hidden="1" thickBot="1" x14ac:dyDescent="0.6">
      <c r="A1153" s="10" t="s">
        <v>1292</v>
      </c>
      <c r="B1153" s="10" t="s">
        <v>1444</v>
      </c>
      <c r="C1153" s="12"/>
      <c r="D1153" s="10" t="s">
        <v>23</v>
      </c>
      <c r="E1153" s="10" t="s">
        <v>23</v>
      </c>
      <c r="F1153" s="10">
        <v>318</v>
      </c>
      <c r="G1153" s="10" t="s">
        <v>15</v>
      </c>
      <c r="H1153" s="10" t="s">
        <v>2917</v>
      </c>
      <c r="I1153" s="10" t="s">
        <v>18</v>
      </c>
      <c r="J1153" s="10" t="s">
        <v>282</v>
      </c>
      <c r="K1153" s="10" t="s">
        <v>1119</v>
      </c>
      <c r="L1153" s="10" t="s">
        <v>1120</v>
      </c>
      <c r="M1153" s="12">
        <v>45358</v>
      </c>
      <c r="N1153" s="10" t="s">
        <v>15</v>
      </c>
      <c r="O1153" s="10" t="s">
        <v>2057</v>
      </c>
      <c r="P1153" s="25" t="str">
        <f>IFERROR(
IF(OR(O1153="anulado",O1153="stand by"),CONCATENATE(O1153,": ",H1153),
IF(OR(YEAR(M1153)=2022,YEAR(M1153)=2023),CONCATENATE("Se activó en ",YEAR(M1153)),
IF(AND(OR(O1153="En proceso",O1153="facturando"),AND(J1153="-",M1153="")),"Por revisar",
IF(M1153="",IF(J1153="NUEVAS",CONCATENATE("Estado: ",O1153,", ",J1153),
IF(L1153=Meses!$A$3,"Por revisar",
IF(H1153="","Sin registro","En programación Frcst."))),"En programación")))),
"Error")</f>
        <v>En programación</v>
      </c>
      <c r="Q1153" s="9" t="str">
        <f t="shared" si="51"/>
        <v/>
      </c>
      <c r="R1153" s="25">
        <f>IF(P1153="En programación Frcst.",VLOOKUP(L1153,Meses!$A$1:$H$14,3+HLOOKUP(Cronograma!J1153,Meses!$D$1:$G$2,2,FALSE),FALSE),
IF(P1153="En programación",M1153,""))</f>
        <v>45358</v>
      </c>
      <c r="S1153" s="25" t="str">
        <f t="shared" si="53"/>
        <v>2024/3</v>
      </c>
      <c r="T1153" s="21">
        <f>IFERROR(
(VLOOKUP(MONTH(R1153),Meses!$B$3:$C$14,2,FALSE)-DAY(R1153))/VLOOKUP(MONTH(R1153),Meses!$B$3:$C$14,2,FALSE)*U1153,
"")</f>
        <v>246.19354838709677</v>
      </c>
      <c r="U1153" s="22">
        <f t="shared" si="52"/>
        <v>318</v>
      </c>
    </row>
    <row r="1154" spans="1:21" ht="63" hidden="1" thickBot="1" x14ac:dyDescent="0.6">
      <c r="A1154" s="10" t="s">
        <v>1292</v>
      </c>
      <c r="B1154" s="10" t="s">
        <v>1445</v>
      </c>
      <c r="C1154" s="12"/>
      <c r="D1154" s="10" t="s">
        <v>23</v>
      </c>
      <c r="E1154" s="10" t="s">
        <v>23</v>
      </c>
      <c r="F1154" s="10">
        <v>472</v>
      </c>
      <c r="G1154" s="10" t="s">
        <v>15</v>
      </c>
      <c r="H1154" s="10" t="s">
        <v>2917</v>
      </c>
      <c r="I1154" s="10" t="s">
        <v>18</v>
      </c>
      <c r="J1154" s="10" t="s">
        <v>282</v>
      </c>
      <c r="K1154" s="10" t="s">
        <v>1119</v>
      </c>
      <c r="L1154" s="10" t="s">
        <v>1120</v>
      </c>
      <c r="M1154" s="12">
        <v>45358</v>
      </c>
      <c r="N1154" s="10" t="s">
        <v>15</v>
      </c>
      <c r="O1154" s="10" t="s">
        <v>2057</v>
      </c>
      <c r="P1154" s="25" t="str">
        <f>IFERROR(
IF(OR(O1154="anulado",O1154="stand by"),CONCATENATE(O1154,": ",H1154),
IF(OR(YEAR(M1154)=2022,YEAR(M1154)=2023),CONCATENATE("Se activó en ",YEAR(M1154)),
IF(AND(OR(O1154="En proceso",O1154="facturando"),AND(J1154="-",M1154="")),"Por revisar",
IF(M1154="",IF(J1154="NUEVAS",CONCATENATE("Estado: ",O1154,", ",J1154),
IF(L1154=Meses!$A$3,"Por revisar",
IF(H1154="","Sin registro","En programación Frcst."))),"En programación")))),
"Error")</f>
        <v>En programación</v>
      </c>
      <c r="Q1154" s="9" t="str">
        <f t="shared" ref="Q1154:Q1217" si="54">IF(P1154="Por revisar",CONCATENATE("programación de act. ",N1154,", estado: ",O1154,", Comercializador: ",D1154,", Etapa: ",H1154),"")</f>
        <v/>
      </c>
      <c r="R1154" s="25">
        <f>IF(P1154="En programación Frcst.",VLOOKUP(L1154,Meses!$A$1:$H$14,3+HLOOKUP(Cronograma!J1154,Meses!$D$1:$G$2,2,FALSE),FALSE),
IF(P1154="En programación",M1154,""))</f>
        <v>45358</v>
      </c>
      <c r="S1154" s="25" t="str">
        <f t="shared" si="53"/>
        <v>2024/3</v>
      </c>
      <c r="T1154" s="21">
        <f>IFERROR(
(VLOOKUP(MONTH(R1154),Meses!$B$3:$C$14,2,FALSE)-DAY(R1154))/VLOOKUP(MONTH(R1154),Meses!$B$3:$C$14,2,FALSE)*U1154,
"")</f>
        <v>365.41935483870969</v>
      </c>
      <c r="U1154" s="22">
        <f t="shared" ref="U1154:U1217" si="55">F1154</f>
        <v>472</v>
      </c>
    </row>
    <row r="1155" spans="1:21" ht="63" hidden="1" thickBot="1" x14ac:dyDescent="0.6">
      <c r="A1155" s="10" t="s">
        <v>1292</v>
      </c>
      <c r="B1155" s="10" t="s">
        <v>1446</v>
      </c>
      <c r="C1155" s="12"/>
      <c r="D1155" s="10" t="s">
        <v>23</v>
      </c>
      <c r="E1155" s="10" t="s">
        <v>23</v>
      </c>
      <c r="F1155" s="10">
        <v>0</v>
      </c>
      <c r="G1155" s="10" t="s">
        <v>15</v>
      </c>
      <c r="H1155" s="10" t="s">
        <v>2917</v>
      </c>
      <c r="I1155" s="10" t="s">
        <v>18</v>
      </c>
      <c r="J1155" s="10" t="s">
        <v>282</v>
      </c>
      <c r="K1155" s="10" t="s">
        <v>1119</v>
      </c>
      <c r="L1155" s="10" t="s">
        <v>1120</v>
      </c>
      <c r="M1155" s="12">
        <v>45358</v>
      </c>
      <c r="N1155" s="10" t="s">
        <v>15</v>
      </c>
      <c r="O1155" s="10" t="s">
        <v>2057</v>
      </c>
      <c r="P1155" s="25" t="str">
        <f>IFERROR(
IF(OR(O1155="anulado",O1155="stand by"),CONCATENATE(O1155,": ",H1155),
IF(OR(YEAR(M1155)=2022,YEAR(M1155)=2023),CONCATENATE("Se activó en ",YEAR(M1155)),
IF(AND(OR(O1155="En proceso",O1155="facturando"),AND(J1155="-",M1155="")),"Por revisar",
IF(M1155="",IF(J1155="NUEVAS",CONCATENATE("Estado: ",O1155,", ",J1155),
IF(L1155=Meses!$A$3,"Por revisar",
IF(H1155="","Sin registro","En programación Frcst."))),"En programación")))),
"Error")</f>
        <v>En programación</v>
      </c>
      <c r="Q1155" s="9" t="str">
        <f t="shared" si="54"/>
        <v/>
      </c>
      <c r="R1155" s="25">
        <f>IF(P1155="En programación Frcst.",VLOOKUP(L1155,Meses!$A$1:$H$14,3+HLOOKUP(Cronograma!J1155,Meses!$D$1:$G$2,2,FALSE),FALSE),
IF(P1155="En programación",M1155,""))</f>
        <v>45358</v>
      </c>
      <c r="S1155" s="25" t="str">
        <f t="shared" ref="S1155:S1218" si="56">IFERROR(CONCATENATE(YEAR(R1155),"/",MONTH(R1155)),"")</f>
        <v>2024/3</v>
      </c>
      <c r="T1155" s="21">
        <f>IFERROR(
(VLOOKUP(MONTH(R1155),Meses!$B$3:$C$14,2,FALSE)-DAY(R1155))/VLOOKUP(MONTH(R1155),Meses!$B$3:$C$14,2,FALSE)*U1155,
"")</f>
        <v>0</v>
      </c>
      <c r="U1155" s="22">
        <f t="shared" si="55"/>
        <v>0</v>
      </c>
    </row>
    <row r="1156" spans="1:21" ht="63" hidden="1" thickBot="1" x14ac:dyDescent="0.6">
      <c r="A1156" s="10" t="s">
        <v>1292</v>
      </c>
      <c r="B1156" s="10" t="s">
        <v>1447</v>
      </c>
      <c r="C1156" s="12"/>
      <c r="D1156" s="10" t="s">
        <v>23</v>
      </c>
      <c r="E1156" s="10" t="s">
        <v>23</v>
      </c>
      <c r="F1156" s="10">
        <v>0</v>
      </c>
      <c r="G1156" s="10" t="s">
        <v>15</v>
      </c>
      <c r="H1156" s="10" t="s">
        <v>2917</v>
      </c>
      <c r="I1156" s="10" t="s">
        <v>18</v>
      </c>
      <c r="J1156" s="10" t="s">
        <v>282</v>
      </c>
      <c r="K1156" s="10" t="s">
        <v>1119</v>
      </c>
      <c r="L1156" s="10" t="s">
        <v>1120</v>
      </c>
      <c r="M1156" s="12">
        <v>45358</v>
      </c>
      <c r="N1156" s="10" t="s">
        <v>15</v>
      </c>
      <c r="O1156" s="10" t="s">
        <v>2057</v>
      </c>
      <c r="P1156" s="25" t="str">
        <f>IFERROR(
IF(OR(O1156="anulado",O1156="stand by"),CONCATENATE(O1156,": ",H1156),
IF(OR(YEAR(M1156)=2022,YEAR(M1156)=2023),CONCATENATE("Se activó en ",YEAR(M1156)),
IF(AND(OR(O1156="En proceso",O1156="facturando"),AND(J1156="-",M1156="")),"Por revisar",
IF(M1156="",IF(J1156="NUEVAS",CONCATENATE("Estado: ",O1156,", ",J1156),
IF(L1156=Meses!$A$3,"Por revisar",
IF(H1156="","Sin registro","En programación Frcst."))),"En programación")))),
"Error")</f>
        <v>En programación</v>
      </c>
      <c r="Q1156" s="9" t="str">
        <f t="shared" si="54"/>
        <v/>
      </c>
      <c r="R1156" s="25">
        <f>IF(P1156="En programación Frcst.",VLOOKUP(L1156,Meses!$A$1:$H$14,3+HLOOKUP(Cronograma!J1156,Meses!$D$1:$G$2,2,FALSE),FALSE),
IF(P1156="En programación",M1156,""))</f>
        <v>45358</v>
      </c>
      <c r="S1156" s="25" t="str">
        <f t="shared" si="56"/>
        <v>2024/3</v>
      </c>
      <c r="T1156" s="21">
        <f>IFERROR(
(VLOOKUP(MONTH(R1156),Meses!$B$3:$C$14,2,FALSE)-DAY(R1156))/VLOOKUP(MONTH(R1156),Meses!$B$3:$C$14,2,FALSE)*U1156,
"")</f>
        <v>0</v>
      </c>
      <c r="U1156" s="22">
        <f t="shared" si="55"/>
        <v>0</v>
      </c>
    </row>
    <row r="1157" spans="1:21" ht="63" hidden="1" thickBot="1" x14ac:dyDescent="0.6">
      <c r="A1157" s="10" t="s">
        <v>1292</v>
      </c>
      <c r="B1157" s="10" t="s">
        <v>1448</v>
      </c>
      <c r="C1157" s="12"/>
      <c r="D1157" s="10" t="s">
        <v>23</v>
      </c>
      <c r="E1157" s="10" t="s">
        <v>23</v>
      </c>
      <c r="F1157" s="10">
        <v>0</v>
      </c>
      <c r="G1157" s="10" t="s">
        <v>15</v>
      </c>
      <c r="H1157" s="10" t="s">
        <v>2917</v>
      </c>
      <c r="I1157" s="10" t="s">
        <v>18</v>
      </c>
      <c r="J1157" s="10" t="s">
        <v>282</v>
      </c>
      <c r="K1157" s="10" t="s">
        <v>1119</v>
      </c>
      <c r="L1157" s="10" t="s">
        <v>1120</v>
      </c>
      <c r="M1157" s="12">
        <v>45358</v>
      </c>
      <c r="N1157" s="10" t="s">
        <v>15</v>
      </c>
      <c r="O1157" s="10" t="s">
        <v>2057</v>
      </c>
      <c r="P1157" s="25" t="str">
        <f>IFERROR(
IF(OR(O1157="anulado",O1157="stand by"),CONCATENATE(O1157,": ",H1157),
IF(OR(YEAR(M1157)=2022,YEAR(M1157)=2023),CONCATENATE("Se activó en ",YEAR(M1157)),
IF(AND(OR(O1157="En proceso",O1157="facturando"),AND(J1157="-",M1157="")),"Por revisar",
IF(M1157="",IF(J1157="NUEVAS",CONCATENATE("Estado: ",O1157,", ",J1157),
IF(L1157=Meses!$A$3,"Por revisar",
IF(H1157="","Sin registro","En programación Frcst."))),"En programación")))),
"Error")</f>
        <v>En programación</v>
      </c>
      <c r="Q1157" s="9" t="str">
        <f t="shared" si="54"/>
        <v/>
      </c>
      <c r="R1157" s="25">
        <f>IF(P1157="En programación Frcst.",VLOOKUP(L1157,Meses!$A$1:$H$14,3+HLOOKUP(Cronograma!J1157,Meses!$D$1:$G$2,2,FALSE),FALSE),
IF(P1157="En programación",M1157,""))</f>
        <v>45358</v>
      </c>
      <c r="S1157" s="25" t="str">
        <f t="shared" si="56"/>
        <v>2024/3</v>
      </c>
      <c r="T1157" s="21">
        <f>IFERROR(
(VLOOKUP(MONTH(R1157),Meses!$B$3:$C$14,2,FALSE)-DAY(R1157))/VLOOKUP(MONTH(R1157),Meses!$B$3:$C$14,2,FALSE)*U1157,
"")</f>
        <v>0</v>
      </c>
      <c r="U1157" s="22">
        <f t="shared" si="55"/>
        <v>0</v>
      </c>
    </row>
    <row r="1158" spans="1:21" ht="63" hidden="1" thickBot="1" x14ac:dyDescent="0.6">
      <c r="A1158" s="10" t="s">
        <v>1292</v>
      </c>
      <c r="B1158" s="10" t="s">
        <v>1449</v>
      </c>
      <c r="C1158" s="12"/>
      <c r="D1158" s="10" t="s">
        <v>23</v>
      </c>
      <c r="E1158" s="10" t="s">
        <v>23</v>
      </c>
      <c r="F1158" s="10">
        <v>0</v>
      </c>
      <c r="G1158" s="10" t="s">
        <v>15</v>
      </c>
      <c r="H1158" s="10" t="s">
        <v>2917</v>
      </c>
      <c r="I1158" s="10" t="s">
        <v>18</v>
      </c>
      <c r="J1158" s="10" t="s">
        <v>282</v>
      </c>
      <c r="K1158" s="10" t="s">
        <v>1119</v>
      </c>
      <c r="L1158" s="10" t="s">
        <v>1120</v>
      </c>
      <c r="M1158" s="12">
        <v>45358</v>
      </c>
      <c r="N1158" s="10" t="s">
        <v>15</v>
      </c>
      <c r="O1158" s="10" t="s">
        <v>2057</v>
      </c>
      <c r="P1158" s="25" t="str">
        <f>IFERROR(
IF(OR(O1158="anulado",O1158="stand by"),CONCATENATE(O1158,": ",H1158),
IF(OR(YEAR(M1158)=2022,YEAR(M1158)=2023),CONCATENATE("Se activó en ",YEAR(M1158)),
IF(AND(OR(O1158="En proceso",O1158="facturando"),AND(J1158="-",M1158="")),"Por revisar",
IF(M1158="",IF(J1158="NUEVAS",CONCATENATE("Estado: ",O1158,", ",J1158),
IF(L1158=Meses!$A$3,"Por revisar",
IF(H1158="","Sin registro","En programación Frcst."))),"En programación")))),
"Error")</f>
        <v>En programación</v>
      </c>
      <c r="Q1158" s="9" t="str">
        <f t="shared" si="54"/>
        <v/>
      </c>
      <c r="R1158" s="25">
        <f>IF(P1158="En programación Frcst.",VLOOKUP(L1158,Meses!$A$1:$H$14,3+HLOOKUP(Cronograma!J1158,Meses!$D$1:$G$2,2,FALSE),FALSE),
IF(P1158="En programación",M1158,""))</f>
        <v>45358</v>
      </c>
      <c r="S1158" s="25" t="str">
        <f t="shared" si="56"/>
        <v>2024/3</v>
      </c>
      <c r="T1158" s="21">
        <f>IFERROR(
(VLOOKUP(MONTH(R1158),Meses!$B$3:$C$14,2,FALSE)-DAY(R1158))/VLOOKUP(MONTH(R1158),Meses!$B$3:$C$14,2,FALSE)*U1158,
"")</f>
        <v>0</v>
      </c>
      <c r="U1158" s="22">
        <f t="shared" si="55"/>
        <v>0</v>
      </c>
    </row>
    <row r="1159" spans="1:21" ht="63" hidden="1" thickBot="1" x14ac:dyDescent="0.6">
      <c r="A1159" s="10" t="s">
        <v>1292</v>
      </c>
      <c r="B1159" s="10" t="s">
        <v>1450</v>
      </c>
      <c r="C1159" s="12"/>
      <c r="D1159" s="10" t="s">
        <v>23</v>
      </c>
      <c r="E1159" s="10" t="s">
        <v>23</v>
      </c>
      <c r="F1159" s="10">
        <v>0</v>
      </c>
      <c r="G1159" s="10" t="s">
        <v>15</v>
      </c>
      <c r="H1159" s="10" t="s">
        <v>2917</v>
      </c>
      <c r="I1159" s="10" t="s">
        <v>18</v>
      </c>
      <c r="J1159" s="10" t="s">
        <v>282</v>
      </c>
      <c r="K1159" s="10" t="s">
        <v>1119</v>
      </c>
      <c r="L1159" s="10" t="s">
        <v>1120</v>
      </c>
      <c r="M1159" s="12">
        <v>45358</v>
      </c>
      <c r="N1159" s="10" t="s">
        <v>15</v>
      </c>
      <c r="O1159" s="10" t="s">
        <v>2057</v>
      </c>
      <c r="P1159" s="25" t="str">
        <f>IFERROR(
IF(OR(O1159="anulado",O1159="stand by"),CONCATENATE(O1159,": ",H1159),
IF(OR(YEAR(M1159)=2022,YEAR(M1159)=2023),CONCATENATE("Se activó en ",YEAR(M1159)),
IF(AND(OR(O1159="En proceso",O1159="facturando"),AND(J1159="-",M1159="")),"Por revisar",
IF(M1159="",IF(J1159="NUEVAS",CONCATENATE("Estado: ",O1159,", ",J1159),
IF(L1159=Meses!$A$3,"Por revisar",
IF(H1159="","Sin registro","En programación Frcst."))),"En programación")))),
"Error")</f>
        <v>En programación</v>
      </c>
      <c r="Q1159" s="9" t="str">
        <f t="shared" si="54"/>
        <v/>
      </c>
      <c r="R1159" s="25">
        <f>IF(P1159="En programación Frcst.",VLOOKUP(L1159,Meses!$A$1:$H$14,3+HLOOKUP(Cronograma!J1159,Meses!$D$1:$G$2,2,FALSE),FALSE),
IF(P1159="En programación",M1159,""))</f>
        <v>45358</v>
      </c>
      <c r="S1159" s="25" t="str">
        <f t="shared" si="56"/>
        <v>2024/3</v>
      </c>
      <c r="T1159" s="21">
        <f>IFERROR(
(VLOOKUP(MONTH(R1159),Meses!$B$3:$C$14,2,FALSE)-DAY(R1159))/VLOOKUP(MONTH(R1159),Meses!$B$3:$C$14,2,FALSE)*U1159,
"")</f>
        <v>0</v>
      </c>
      <c r="U1159" s="22">
        <f t="shared" si="55"/>
        <v>0</v>
      </c>
    </row>
    <row r="1160" spans="1:21" ht="63" hidden="1" thickBot="1" x14ac:dyDescent="0.6">
      <c r="A1160" s="10" t="s">
        <v>1292</v>
      </c>
      <c r="B1160" s="10" t="s">
        <v>1451</v>
      </c>
      <c r="C1160" s="12"/>
      <c r="D1160" s="10" t="s">
        <v>23</v>
      </c>
      <c r="E1160" s="10" t="s">
        <v>23</v>
      </c>
      <c r="F1160" s="10">
        <v>749</v>
      </c>
      <c r="G1160" s="10" t="s">
        <v>15</v>
      </c>
      <c r="H1160" s="10" t="s">
        <v>2917</v>
      </c>
      <c r="I1160" s="10" t="s">
        <v>18</v>
      </c>
      <c r="J1160" s="10" t="s">
        <v>282</v>
      </c>
      <c r="K1160" s="10" t="s">
        <v>1119</v>
      </c>
      <c r="L1160" s="10" t="s">
        <v>1120</v>
      </c>
      <c r="M1160" s="12">
        <v>45358</v>
      </c>
      <c r="N1160" s="10" t="s">
        <v>15</v>
      </c>
      <c r="O1160" s="10" t="s">
        <v>2057</v>
      </c>
      <c r="P1160" s="25" t="str">
        <f>IFERROR(
IF(OR(O1160="anulado",O1160="stand by"),CONCATENATE(O1160,": ",H1160),
IF(OR(YEAR(M1160)=2022,YEAR(M1160)=2023),CONCATENATE("Se activó en ",YEAR(M1160)),
IF(AND(OR(O1160="En proceso",O1160="facturando"),AND(J1160="-",M1160="")),"Por revisar",
IF(M1160="",IF(J1160="NUEVAS",CONCATENATE("Estado: ",O1160,", ",J1160),
IF(L1160=Meses!$A$3,"Por revisar",
IF(H1160="","Sin registro","En programación Frcst."))),"En programación")))),
"Error")</f>
        <v>En programación</v>
      </c>
      <c r="Q1160" s="9" t="str">
        <f t="shared" si="54"/>
        <v/>
      </c>
      <c r="R1160" s="25">
        <f>IF(P1160="En programación Frcst.",VLOOKUP(L1160,Meses!$A$1:$H$14,3+HLOOKUP(Cronograma!J1160,Meses!$D$1:$G$2,2,FALSE),FALSE),
IF(P1160="En programación",M1160,""))</f>
        <v>45358</v>
      </c>
      <c r="S1160" s="25" t="str">
        <f t="shared" si="56"/>
        <v>2024/3</v>
      </c>
      <c r="T1160" s="21">
        <f>IFERROR(
(VLOOKUP(MONTH(R1160),Meses!$B$3:$C$14,2,FALSE)-DAY(R1160))/VLOOKUP(MONTH(R1160),Meses!$B$3:$C$14,2,FALSE)*U1160,
"")</f>
        <v>579.87096774193549</v>
      </c>
      <c r="U1160" s="22">
        <f t="shared" si="55"/>
        <v>749</v>
      </c>
    </row>
    <row r="1161" spans="1:21" ht="63" hidden="1" thickBot="1" x14ac:dyDescent="0.6">
      <c r="A1161" s="10" t="s">
        <v>1292</v>
      </c>
      <c r="B1161" s="10" t="s">
        <v>1452</v>
      </c>
      <c r="C1161" s="12"/>
      <c r="D1161" s="10" t="s">
        <v>23</v>
      </c>
      <c r="E1161" s="10" t="s">
        <v>23</v>
      </c>
      <c r="F1161" s="10">
        <v>1116</v>
      </c>
      <c r="G1161" s="10" t="s">
        <v>15</v>
      </c>
      <c r="H1161" s="10" t="s">
        <v>2917</v>
      </c>
      <c r="I1161" s="10" t="s">
        <v>18</v>
      </c>
      <c r="J1161" s="10" t="s">
        <v>282</v>
      </c>
      <c r="K1161" s="10" t="s">
        <v>1119</v>
      </c>
      <c r="L1161" s="10" t="s">
        <v>1120</v>
      </c>
      <c r="M1161" s="12">
        <v>45358</v>
      </c>
      <c r="N1161" s="10" t="s">
        <v>15</v>
      </c>
      <c r="O1161" s="10" t="s">
        <v>2057</v>
      </c>
      <c r="P1161" s="25" t="str">
        <f>IFERROR(
IF(OR(O1161="anulado",O1161="stand by"),CONCATENATE(O1161,": ",H1161),
IF(OR(YEAR(M1161)=2022,YEAR(M1161)=2023),CONCATENATE("Se activó en ",YEAR(M1161)),
IF(AND(OR(O1161="En proceso",O1161="facturando"),AND(J1161="-",M1161="")),"Por revisar",
IF(M1161="",IF(J1161="NUEVAS",CONCATENATE("Estado: ",O1161,", ",J1161),
IF(L1161=Meses!$A$3,"Por revisar",
IF(H1161="","Sin registro","En programación Frcst."))),"En programación")))),
"Error")</f>
        <v>En programación</v>
      </c>
      <c r="Q1161" s="9" t="str">
        <f t="shared" si="54"/>
        <v/>
      </c>
      <c r="R1161" s="25">
        <f>IF(P1161="En programación Frcst.",VLOOKUP(L1161,Meses!$A$1:$H$14,3+HLOOKUP(Cronograma!J1161,Meses!$D$1:$G$2,2,FALSE),FALSE),
IF(P1161="En programación",M1161,""))</f>
        <v>45358</v>
      </c>
      <c r="S1161" s="25" t="str">
        <f t="shared" si="56"/>
        <v>2024/3</v>
      </c>
      <c r="T1161" s="21">
        <f>IFERROR(
(VLOOKUP(MONTH(R1161),Meses!$B$3:$C$14,2,FALSE)-DAY(R1161))/VLOOKUP(MONTH(R1161),Meses!$B$3:$C$14,2,FALSE)*U1161,
"")</f>
        <v>864</v>
      </c>
      <c r="U1161" s="22">
        <f t="shared" si="55"/>
        <v>1116</v>
      </c>
    </row>
    <row r="1162" spans="1:21" ht="63" hidden="1" thickBot="1" x14ac:dyDescent="0.6">
      <c r="A1162" s="10" t="s">
        <v>1292</v>
      </c>
      <c r="B1162" s="10" t="s">
        <v>1453</v>
      </c>
      <c r="C1162" s="12"/>
      <c r="D1162" s="10" t="s">
        <v>23</v>
      </c>
      <c r="E1162" s="10" t="s">
        <v>23</v>
      </c>
      <c r="F1162" s="10">
        <v>2490</v>
      </c>
      <c r="G1162" s="10" t="s">
        <v>15</v>
      </c>
      <c r="H1162" s="10" t="s">
        <v>2917</v>
      </c>
      <c r="I1162" s="10" t="s">
        <v>18</v>
      </c>
      <c r="J1162" s="10" t="s">
        <v>282</v>
      </c>
      <c r="K1162" s="10" t="s">
        <v>1119</v>
      </c>
      <c r="L1162" s="10" t="s">
        <v>1120</v>
      </c>
      <c r="M1162" s="12">
        <v>45358</v>
      </c>
      <c r="N1162" s="10" t="s">
        <v>15</v>
      </c>
      <c r="O1162" s="10" t="s">
        <v>2057</v>
      </c>
      <c r="P1162" s="25" t="str">
        <f>IFERROR(
IF(OR(O1162="anulado",O1162="stand by"),CONCATENATE(O1162,": ",H1162),
IF(OR(YEAR(M1162)=2022,YEAR(M1162)=2023),CONCATENATE("Se activó en ",YEAR(M1162)),
IF(AND(OR(O1162="En proceso",O1162="facturando"),AND(J1162="-",M1162="")),"Por revisar",
IF(M1162="",IF(J1162="NUEVAS",CONCATENATE("Estado: ",O1162,", ",J1162),
IF(L1162=Meses!$A$3,"Por revisar",
IF(H1162="","Sin registro","En programación Frcst."))),"En programación")))),
"Error")</f>
        <v>En programación</v>
      </c>
      <c r="Q1162" s="9" t="str">
        <f t="shared" si="54"/>
        <v/>
      </c>
      <c r="R1162" s="25">
        <f>IF(P1162="En programación Frcst.",VLOOKUP(L1162,Meses!$A$1:$H$14,3+HLOOKUP(Cronograma!J1162,Meses!$D$1:$G$2,2,FALSE),FALSE),
IF(P1162="En programación",M1162,""))</f>
        <v>45358</v>
      </c>
      <c r="S1162" s="25" t="str">
        <f t="shared" si="56"/>
        <v>2024/3</v>
      </c>
      <c r="T1162" s="21">
        <f>IFERROR(
(VLOOKUP(MONTH(R1162),Meses!$B$3:$C$14,2,FALSE)-DAY(R1162))/VLOOKUP(MONTH(R1162),Meses!$B$3:$C$14,2,FALSE)*U1162,
"")</f>
        <v>1927.741935483871</v>
      </c>
      <c r="U1162" s="22">
        <f t="shared" si="55"/>
        <v>2490</v>
      </c>
    </row>
    <row r="1163" spans="1:21" ht="63" hidden="1" thickBot="1" x14ac:dyDescent="0.6">
      <c r="A1163" s="10" t="s">
        <v>1292</v>
      </c>
      <c r="B1163" s="10" t="s">
        <v>1454</v>
      </c>
      <c r="C1163" s="12"/>
      <c r="D1163" s="10" t="s">
        <v>23</v>
      </c>
      <c r="E1163" s="10" t="s">
        <v>23</v>
      </c>
      <c r="F1163" s="10">
        <v>513</v>
      </c>
      <c r="G1163" s="10" t="s">
        <v>15</v>
      </c>
      <c r="H1163" s="10" t="s">
        <v>2917</v>
      </c>
      <c r="I1163" s="10" t="s">
        <v>18</v>
      </c>
      <c r="J1163" s="10" t="s">
        <v>282</v>
      </c>
      <c r="K1163" s="10" t="s">
        <v>1119</v>
      </c>
      <c r="L1163" s="10" t="s">
        <v>1120</v>
      </c>
      <c r="M1163" s="12">
        <v>45358</v>
      </c>
      <c r="N1163" s="10" t="s">
        <v>15</v>
      </c>
      <c r="O1163" s="10" t="s">
        <v>2057</v>
      </c>
      <c r="P1163" s="25" t="str">
        <f>IFERROR(
IF(OR(O1163="anulado",O1163="stand by"),CONCATENATE(O1163,": ",H1163),
IF(OR(YEAR(M1163)=2022,YEAR(M1163)=2023),CONCATENATE("Se activó en ",YEAR(M1163)),
IF(AND(OR(O1163="En proceso",O1163="facturando"),AND(J1163="-",M1163="")),"Por revisar",
IF(M1163="",IF(J1163="NUEVAS",CONCATENATE("Estado: ",O1163,", ",J1163),
IF(L1163=Meses!$A$3,"Por revisar",
IF(H1163="","Sin registro","En programación Frcst."))),"En programación")))),
"Error")</f>
        <v>En programación</v>
      </c>
      <c r="Q1163" s="9" t="str">
        <f t="shared" si="54"/>
        <v/>
      </c>
      <c r="R1163" s="25">
        <f>IF(P1163="En programación Frcst.",VLOOKUP(L1163,Meses!$A$1:$H$14,3+HLOOKUP(Cronograma!J1163,Meses!$D$1:$G$2,2,FALSE),FALSE),
IF(P1163="En programación",M1163,""))</f>
        <v>45358</v>
      </c>
      <c r="S1163" s="25" t="str">
        <f t="shared" si="56"/>
        <v>2024/3</v>
      </c>
      <c r="T1163" s="21">
        <f>IFERROR(
(VLOOKUP(MONTH(R1163),Meses!$B$3:$C$14,2,FALSE)-DAY(R1163))/VLOOKUP(MONTH(R1163),Meses!$B$3:$C$14,2,FALSE)*U1163,
"")</f>
        <v>397.16129032258061</v>
      </c>
      <c r="U1163" s="22">
        <f t="shared" si="55"/>
        <v>513</v>
      </c>
    </row>
    <row r="1164" spans="1:21" ht="63" hidden="1" thickBot="1" x14ac:dyDescent="0.6">
      <c r="A1164" s="10" t="s">
        <v>1292</v>
      </c>
      <c r="B1164" s="10" t="s">
        <v>1455</v>
      </c>
      <c r="C1164" s="12"/>
      <c r="D1164" s="10" t="s">
        <v>23</v>
      </c>
      <c r="E1164" s="10" t="s">
        <v>23</v>
      </c>
      <c r="F1164" s="10">
        <v>1479</v>
      </c>
      <c r="G1164" s="10" t="s">
        <v>15</v>
      </c>
      <c r="H1164" s="10" t="s">
        <v>2917</v>
      </c>
      <c r="I1164" s="10" t="s">
        <v>18</v>
      </c>
      <c r="J1164" s="10" t="s">
        <v>282</v>
      </c>
      <c r="K1164" s="10" t="s">
        <v>1119</v>
      </c>
      <c r="L1164" s="10" t="s">
        <v>1120</v>
      </c>
      <c r="M1164" s="12">
        <v>45358</v>
      </c>
      <c r="N1164" s="10" t="s">
        <v>15</v>
      </c>
      <c r="O1164" s="10" t="s">
        <v>2057</v>
      </c>
      <c r="P1164" s="25" t="str">
        <f>IFERROR(
IF(OR(O1164="anulado",O1164="stand by"),CONCATENATE(O1164,": ",H1164),
IF(OR(YEAR(M1164)=2022,YEAR(M1164)=2023),CONCATENATE("Se activó en ",YEAR(M1164)),
IF(AND(OR(O1164="En proceso",O1164="facturando"),AND(J1164="-",M1164="")),"Por revisar",
IF(M1164="",IF(J1164="NUEVAS",CONCATENATE("Estado: ",O1164,", ",J1164),
IF(L1164=Meses!$A$3,"Por revisar",
IF(H1164="","Sin registro","En programación Frcst."))),"En programación")))),
"Error")</f>
        <v>En programación</v>
      </c>
      <c r="Q1164" s="9" t="str">
        <f t="shared" si="54"/>
        <v/>
      </c>
      <c r="R1164" s="25">
        <f>IF(P1164="En programación Frcst.",VLOOKUP(L1164,Meses!$A$1:$H$14,3+HLOOKUP(Cronograma!J1164,Meses!$D$1:$G$2,2,FALSE),FALSE),
IF(P1164="En programación",M1164,""))</f>
        <v>45358</v>
      </c>
      <c r="S1164" s="25" t="str">
        <f t="shared" si="56"/>
        <v>2024/3</v>
      </c>
      <c r="T1164" s="21">
        <f>IFERROR(
(VLOOKUP(MONTH(R1164),Meses!$B$3:$C$14,2,FALSE)-DAY(R1164))/VLOOKUP(MONTH(R1164),Meses!$B$3:$C$14,2,FALSE)*U1164,
"")</f>
        <v>1145.0322580645161</v>
      </c>
      <c r="U1164" s="22">
        <f t="shared" si="55"/>
        <v>1479</v>
      </c>
    </row>
    <row r="1165" spans="1:21" ht="63" hidden="1" thickBot="1" x14ac:dyDescent="0.6">
      <c r="A1165" s="10" t="s">
        <v>1292</v>
      </c>
      <c r="B1165" s="10" t="s">
        <v>1456</v>
      </c>
      <c r="C1165" s="12"/>
      <c r="D1165" s="10" t="s">
        <v>23</v>
      </c>
      <c r="E1165" s="10" t="s">
        <v>23</v>
      </c>
      <c r="F1165" s="10">
        <v>662</v>
      </c>
      <c r="G1165" s="10" t="s">
        <v>15</v>
      </c>
      <c r="H1165" s="10" t="s">
        <v>2917</v>
      </c>
      <c r="I1165" s="10" t="s">
        <v>18</v>
      </c>
      <c r="J1165" s="10" t="s">
        <v>282</v>
      </c>
      <c r="K1165" s="10" t="s">
        <v>1119</v>
      </c>
      <c r="L1165" s="10" t="s">
        <v>1120</v>
      </c>
      <c r="M1165" s="12">
        <v>45358</v>
      </c>
      <c r="N1165" s="10" t="s">
        <v>15</v>
      </c>
      <c r="O1165" s="10" t="s">
        <v>2057</v>
      </c>
      <c r="P1165" s="25" t="str">
        <f>IFERROR(
IF(OR(O1165="anulado",O1165="stand by"),CONCATENATE(O1165,": ",H1165),
IF(OR(YEAR(M1165)=2022,YEAR(M1165)=2023),CONCATENATE("Se activó en ",YEAR(M1165)),
IF(AND(OR(O1165="En proceso",O1165="facturando"),AND(J1165="-",M1165="")),"Por revisar",
IF(M1165="",IF(J1165="NUEVAS",CONCATENATE("Estado: ",O1165,", ",J1165),
IF(L1165=Meses!$A$3,"Por revisar",
IF(H1165="","Sin registro","En programación Frcst."))),"En programación")))),
"Error")</f>
        <v>En programación</v>
      </c>
      <c r="Q1165" s="9" t="str">
        <f t="shared" si="54"/>
        <v/>
      </c>
      <c r="R1165" s="25">
        <f>IF(P1165="En programación Frcst.",VLOOKUP(L1165,Meses!$A$1:$H$14,3+HLOOKUP(Cronograma!J1165,Meses!$D$1:$G$2,2,FALSE),FALSE),
IF(P1165="En programación",M1165,""))</f>
        <v>45358</v>
      </c>
      <c r="S1165" s="25" t="str">
        <f t="shared" si="56"/>
        <v>2024/3</v>
      </c>
      <c r="T1165" s="21">
        <f>IFERROR(
(VLOOKUP(MONTH(R1165),Meses!$B$3:$C$14,2,FALSE)-DAY(R1165))/VLOOKUP(MONTH(R1165),Meses!$B$3:$C$14,2,FALSE)*U1165,
"")</f>
        <v>512.51612903225805</v>
      </c>
      <c r="U1165" s="22">
        <f t="shared" si="55"/>
        <v>662</v>
      </c>
    </row>
    <row r="1166" spans="1:21" ht="63" hidden="1" thickBot="1" x14ac:dyDescent="0.6">
      <c r="A1166" s="10" t="s">
        <v>1292</v>
      </c>
      <c r="B1166" s="10" t="s">
        <v>1457</v>
      </c>
      <c r="C1166" s="12"/>
      <c r="D1166" s="10" t="s">
        <v>23</v>
      </c>
      <c r="E1166" s="10" t="s">
        <v>23</v>
      </c>
      <c r="F1166" s="10">
        <v>391</v>
      </c>
      <c r="G1166" s="10" t="s">
        <v>15</v>
      </c>
      <c r="H1166" s="10" t="s">
        <v>2917</v>
      </c>
      <c r="I1166" s="10" t="s">
        <v>18</v>
      </c>
      <c r="J1166" s="10" t="s">
        <v>282</v>
      </c>
      <c r="K1166" s="10" t="s">
        <v>1119</v>
      </c>
      <c r="L1166" s="10" t="s">
        <v>1120</v>
      </c>
      <c r="M1166" s="12">
        <v>45358</v>
      </c>
      <c r="N1166" s="10" t="s">
        <v>15</v>
      </c>
      <c r="O1166" s="10" t="s">
        <v>2057</v>
      </c>
      <c r="P1166" s="25" t="str">
        <f>IFERROR(
IF(OR(O1166="anulado",O1166="stand by"),CONCATENATE(O1166,": ",H1166),
IF(OR(YEAR(M1166)=2022,YEAR(M1166)=2023),CONCATENATE("Se activó en ",YEAR(M1166)),
IF(AND(OR(O1166="En proceso",O1166="facturando"),AND(J1166="-",M1166="")),"Por revisar",
IF(M1166="",IF(J1166="NUEVAS",CONCATENATE("Estado: ",O1166,", ",J1166),
IF(L1166=Meses!$A$3,"Por revisar",
IF(H1166="","Sin registro","En programación Frcst."))),"En programación")))),
"Error")</f>
        <v>En programación</v>
      </c>
      <c r="Q1166" s="9" t="str">
        <f t="shared" si="54"/>
        <v/>
      </c>
      <c r="R1166" s="25">
        <f>IF(P1166="En programación Frcst.",VLOOKUP(L1166,Meses!$A$1:$H$14,3+HLOOKUP(Cronograma!J1166,Meses!$D$1:$G$2,2,FALSE),FALSE),
IF(P1166="En programación",M1166,""))</f>
        <v>45358</v>
      </c>
      <c r="S1166" s="25" t="str">
        <f t="shared" si="56"/>
        <v>2024/3</v>
      </c>
      <c r="T1166" s="21">
        <f>IFERROR(
(VLOOKUP(MONTH(R1166),Meses!$B$3:$C$14,2,FALSE)-DAY(R1166))/VLOOKUP(MONTH(R1166),Meses!$B$3:$C$14,2,FALSE)*U1166,
"")</f>
        <v>302.70967741935482</v>
      </c>
      <c r="U1166" s="22">
        <f t="shared" si="55"/>
        <v>391</v>
      </c>
    </row>
    <row r="1167" spans="1:21" ht="63" hidden="1" thickBot="1" x14ac:dyDescent="0.6">
      <c r="A1167" s="10" t="s">
        <v>1292</v>
      </c>
      <c r="B1167" s="10" t="s">
        <v>1458</v>
      </c>
      <c r="C1167" s="12"/>
      <c r="D1167" s="10" t="s">
        <v>23</v>
      </c>
      <c r="E1167" s="10" t="s">
        <v>23</v>
      </c>
      <c r="F1167" s="10">
        <v>0</v>
      </c>
      <c r="G1167" s="10" t="s">
        <v>15</v>
      </c>
      <c r="H1167" s="10" t="s">
        <v>2917</v>
      </c>
      <c r="I1167" s="10" t="s">
        <v>18</v>
      </c>
      <c r="J1167" s="10" t="s">
        <v>282</v>
      </c>
      <c r="K1167" s="10" t="s">
        <v>1119</v>
      </c>
      <c r="L1167" s="10" t="s">
        <v>1120</v>
      </c>
      <c r="M1167" s="12">
        <v>45358</v>
      </c>
      <c r="N1167" s="10" t="s">
        <v>15</v>
      </c>
      <c r="O1167" s="10" t="s">
        <v>2057</v>
      </c>
      <c r="P1167" s="25" t="str">
        <f>IFERROR(
IF(OR(O1167="anulado",O1167="stand by"),CONCATENATE(O1167,": ",H1167),
IF(OR(YEAR(M1167)=2022,YEAR(M1167)=2023),CONCATENATE("Se activó en ",YEAR(M1167)),
IF(AND(OR(O1167="En proceso",O1167="facturando"),AND(J1167="-",M1167="")),"Por revisar",
IF(M1167="",IF(J1167="NUEVAS",CONCATENATE("Estado: ",O1167,", ",J1167),
IF(L1167=Meses!$A$3,"Por revisar",
IF(H1167="","Sin registro","En programación Frcst."))),"En programación")))),
"Error")</f>
        <v>En programación</v>
      </c>
      <c r="Q1167" s="9" t="str">
        <f t="shared" si="54"/>
        <v/>
      </c>
      <c r="R1167" s="25">
        <f>IF(P1167="En programación Frcst.",VLOOKUP(L1167,Meses!$A$1:$H$14,3+HLOOKUP(Cronograma!J1167,Meses!$D$1:$G$2,2,FALSE),FALSE),
IF(P1167="En programación",M1167,""))</f>
        <v>45358</v>
      </c>
      <c r="S1167" s="25" t="str">
        <f t="shared" si="56"/>
        <v>2024/3</v>
      </c>
      <c r="T1167" s="21">
        <f>IFERROR(
(VLOOKUP(MONTH(R1167),Meses!$B$3:$C$14,2,FALSE)-DAY(R1167))/VLOOKUP(MONTH(R1167),Meses!$B$3:$C$14,2,FALSE)*U1167,
"")</f>
        <v>0</v>
      </c>
      <c r="U1167" s="22">
        <f t="shared" si="55"/>
        <v>0</v>
      </c>
    </row>
    <row r="1168" spans="1:21" ht="63" hidden="1" thickBot="1" x14ac:dyDescent="0.6">
      <c r="A1168" s="10" t="s">
        <v>1292</v>
      </c>
      <c r="B1168" s="10" t="s">
        <v>1459</v>
      </c>
      <c r="C1168" s="12"/>
      <c r="D1168" s="10" t="s">
        <v>23</v>
      </c>
      <c r="E1168" s="10" t="s">
        <v>23</v>
      </c>
      <c r="F1168" s="10">
        <v>111</v>
      </c>
      <c r="G1168" s="10" t="s">
        <v>15</v>
      </c>
      <c r="H1168" s="10" t="s">
        <v>2917</v>
      </c>
      <c r="I1168" s="10" t="s">
        <v>18</v>
      </c>
      <c r="J1168" s="10" t="s">
        <v>282</v>
      </c>
      <c r="K1168" s="10" t="s">
        <v>1119</v>
      </c>
      <c r="L1168" s="10" t="s">
        <v>1120</v>
      </c>
      <c r="M1168" s="12">
        <v>45358</v>
      </c>
      <c r="N1168" s="10" t="s">
        <v>15</v>
      </c>
      <c r="O1168" s="10" t="s">
        <v>2057</v>
      </c>
      <c r="P1168" s="25" t="str">
        <f>IFERROR(
IF(OR(O1168="anulado",O1168="stand by"),CONCATENATE(O1168,": ",H1168),
IF(OR(YEAR(M1168)=2022,YEAR(M1168)=2023),CONCATENATE("Se activó en ",YEAR(M1168)),
IF(AND(OR(O1168="En proceso",O1168="facturando"),AND(J1168="-",M1168="")),"Por revisar",
IF(M1168="",IF(J1168="NUEVAS",CONCATENATE("Estado: ",O1168,", ",J1168),
IF(L1168=Meses!$A$3,"Por revisar",
IF(H1168="","Sin registro","En programación Frcst."))),"En programación")))),
"Error")</f>
        <v>En programación</v>
      </c>
      <c r="Q1168" s="9" t="str">
        <f t="shared" si="54"/>
        <v/>
      </c>
      <c r="R1168" s="25">
        <f>IF(P1168="En programación Frcst.",VLOOKUP(L1168,Meses!$A$1:$H$14,3+HLOOKUP(Cronograma!J1168,Meses!$D$1:$G$2,2,FALSE),FALSE),
IF(P1168="En programación",M1168,""))</f>
        <v>45358</v>
      </c>
      <c r="S1168" s="25" t="str">
        <f t="shared" si="56"/>
        <v>2024/3</v>
      </c>
      <c r="T1168" s="21">
        <f>IFERROR(
(VLOOKUP(MONTH(R1168),Meses!$B$3:$C$14,2,FALSE)-DAY(R1168))/VLOOKUP(MONTH(R1168),Meses!$B$3:$C$14,2,FALSE)*U1168,
"")</f>
        <v>85.935483870967744</v>
      </c>
      <c r="U1168" s="22">
        <f t="shared" si="55"/>
        <v>111</v>
      </c>
    </row>
    <row r="1169" spans="1:21" ht="63" hidden="1" thickBot="1" x14ac:dyDescent="0.6">
      <c r="A1169" s="10" t="s">
        <v>1292</v>
      </c>
      <c r="B1169" s="10" t="s">
        <v>1460</v>
      </c>
      <c r="C1169" s="12"/>
      <c r="D1169" s="10" t="s">
        <v>23</v>
      </c>
      <c r="E1169" s="10" t="s">
        <v>23</v>
      </c>
      <c r="F1169" s="10">
        <v>947</v>
      </c>
      <c r="G1169" s="10" t="s">
        <v>15</v>
      </c>
      <c r="H1169" s="10" t="s">
        <v>2917</v>
      </c>
      <c r="I1169" s="10" t="s">
        <v>18</v>
      </c>
      <c r="J1169" s="10" t="s">
        <v>282</v>
      </c>
      <c r="K1169" s="10" t="s">
        <v>1119</v>
      </c>
      <c r="L1169" s="10" t="s">
        <v>1120</v>
      </c>
      <c r="M1169" s="12">
        <v>45358</v>
      </c>
      <c r="N1169" s="10" t="s">
        <v>15</v>
      </c>
      <c r="O1169" s="10" t="s">
        <v>2057</v>
      </c>
      <c r="P1169" s="25" t="str">
        <f>IFERROR(
IF(OR(O1169="anulado",O1169="stand by"),CONCATENATE(O1169,": ",H1169),
IF(OR(YEAR(M1169)=2022,YEAR(M1169)=2023),CONCATENATE("Se activó en ",YEAR(M1169)),
IF(AND(OR(O1169="En proceso",O1169="facturando"),AND(J1169="-",M1169="")),"Por revisar",
IF(M1169="",IF(J1169="NUEVAS",CONCATENATE("Estado: ",O1169,", ",J1169),
IF(L1169=Meses!$A$3,"Por revisar",
IF(H1169="","Sin registro","En programación Frcst."))),"En programación")))),
"Error")</f>
        <v>En programación</v>
      </c>
      <c r="Q1169" s="9" t="str">
        <f t="shared" si="54"/>
        <v/>
      </c>
      <c r="R1169" s="25">
        <f>IF(P1169="En programación Frcst.",VLOOKUP(L1169,Meses!$A$1:$H$14,3+HLOOKUP(Cronograma!J1169,Meses!$D$1:$G$2,2,FALSE),FALSE),
IF(P1169="En programación",M1169,""))</f>
        <v>45358</v>
      </c>
      <c r="S1169" s="25" t="str">
        <f t="shared" si="56"/>
        <v>2024/3</v>
      </c>
      <c r="T1169" s="21">
        <f>IFERROR(
(VLOOKUP(MONTH(R1169),Meses!$B$3:$C$14,2,FALSE)-DAY(R1169))/VLOOKUP(MONTH(R1169),Meses!$B$3:$C$14,2,FALSE)*U1169,
"")</f>
        <v>733.16129032258061</v>
      </c>
      <c r="U1169" s="22">
        <f t="shared" si="55"/>
        <v>947</v>
      </c>
    </row>
    <row r="1170" spans="1:21" ht="63" hidden="1" thickBot="1" x14ac:dyDescent="0.6">
      <c r="A1170" s="10" t="s">
        <v>1292</v>
      </c>
      <c r="B1170" s="10" t="s">
        <v>1461</v>
      </c>
      <c r="C1170" s="12"/>
      <c r="D1170" s="10" t="s">
        <v>23</v>
      </c>
      <c r="E1170" s="10" t="s">
        <v>23</v>
      </c>
      <c r="F1170" s="10">
        <v>638</v>
      </c>
      <c r="G1170" s="10" t="s">
        <v>15</v>
      </c>
      <c r="H1170" s="10" t="s">
        <v>2917</v>
      </c>
      <c r="I1170" s="10" t="s">
        <v>18</v>
      </c>
      <c r="J1170" s="10" t="s">
        <v>282</v>
      </c>
      <c r="K1170" s="10" t="s">
        <v>1119</v>
      </c>
      <c r="L1170" s="10" t="s">
        <v>1120</v>
      </c>
      <c r="M1170" s="12">
        <v>45358</v>
      </c>
      <c r="N1170" s="10" t="s">
        <v>15</v>
      </c>
      <c r="O1170" s="10" t="s">
        <v>2057</v>
      </c>
      <c r="P1170" s="25" t="str">
        <f>IFERROR(
IF(OR(O1170="anulado",O1170="stand by"),CONCATENATE(O1170,": ",H1170),
IF(OR(YEAR(M1170)=2022,YEAR(M1170)=2023),CONCATENATE("Se activó en ",YEAR(M1170)),
IF(AND(OR(O1170="En proceso",O1170="facturando"),AND(J1170="-",M1170="")),"Por revisar",
IF(M1170="",IF(J1170="NUEVAS",CONCATENATE("Estado: ",O1170,", ",J1170),
IF(L1170=Meses!$A$3,"Por revisar",
IF(H1170="","Sin registro","En programación Frcst."))),"En programación")))),
"Error")</f>
        <v>En programación</v>
      </c>
      <c r="Q1170" s="9" t="str">
        <f t="shared" si="54"/>
        <v/>
      </c>
      <c r="R1170" s="25">
        <f>IF(P1170="En programación Frcst.",VLOOKUP(L1170,Meses!$A$1:$H$14,3+HLOOKUP(Cronograma!J1170,Meses!$D$1:$G$2,2,FALSE),FALSE),
IF(P1170="En programación",M1170,""))</f>
        <v>45358</v>
      </c>
      <c r="S1170" s="25" t="str">
        <f t="shared" si="56"/>
        <v>2024/3</v>
      </c>
      <c r="T1170" s="21">
        <f>IFERROR(
(VLOOKUP(MONTH(R1170),Meses!$B$3:$C$14,2,FALSE)-DAY(R1170))/VLOOKUP(MONTH(R1170),Meses!$B$3:$C$14,2,FALSE)*U1170,
"")</f>
        <v>493.93548387096774</v>
      </c>
      <c r="U1170" s="22">
        <f t="shared" si="55"/>
        <v>638</v>
      </c>
    </row>
    <row r="1171" spans="1:21" ht="63" hidden="1" thickBot="1" x14ac:dyDescent="0.6">
      <c r="A1171" s="10" t="s">
        <v>1292</v>
      </c>
      <c r="B1171" s="10" t="s">
        <v>1462</v>
      </c>
      <c r="C1171" s="12"/>
      <c r="D1171" s="10" t="s">
        <v>23</v>
      </c>
      <c r="E1171" s="10" t="s">
        <v>23</v>
      </c>
      <c r="F1171" s="10">
        <v>44</v>
      </c>
      <c r="G1171" s="10" t="s">
        <v>15</v>
      </c>
      <c r="H1171" s="10" t="s">
        <v>2917</v>
      </c>
      <c r="I1171" s="10" t="s">
        <v>18</v>
      </c>
      <c r="J1171" s="10" t="s">
        <v>282</v>
      </c>
      <c r="K1171" s="10" t="s">
        <v>1119</v>
      </c>
      <c r="L1171" s="10" t="s">
        <v>1120</v>
      </c>
      <c r="M1171" s="12">
        <v>45358</v>
      </c>
      <c r="N1171" s="10" t="s">
        <v>15</v>
      </c>
      <c r="O1171" s="10" t="s">
        <v>2057</v>
      </c>
      <c r="P1171" s="25" t="str">
        <f>IFERROR(
IF(OR(O1171="anulado",O1171="stand by"),CONCATENATE(O1171,": ",H1171),
IF(OR(YEAR(M1171)=2022,YEAR(M1171)=2023),CONCATENATE("Se activó en ",YEAR(M1171)),
IF(AND(OR(O1171="En proceso",O1171="facturando"),AND(J1171="-",M1171="")),"Por revisar",
IF(M1171="",IF(J1171="NUEVAS",CONCATENATE("Estado: ",O1171,", ",J1171),
IF(L1171=Meses!$A$3,"Por revisar",
IF(H1171="","Sin registro","En programación Frcst."))),"En programación")))),
"Error")</f>
        <v>En programación</v>
      </c>
      <c r="Q1171" s="9" t="str">
        <f t="shared" si="54"/>
        <v/>
      </c>
      <c r="R1171" s="25">
        <f>IF(P1171="En programación Frcst.",VLOOKUP(L1171,Meses!$A$1:$H$14,3+HLOOKUP(Cronograma!J1171,Meses!$D$1:$G$2,2,FALSE),FALSE),
IF(P1171="En programación",M1171,""))</f>
        <v>45358</v>
      </c>
      <c r="S1171" s="25" t="str">
        <f t="shared" si="56"/>
        <v>2024/3</v>
      </c>
      <c r="T1171" s="21">
        <f>IFERROR(
(VLOOKUP(MONTH(R1171),Meses!$B$3:$C$14,2,FALSE)-DAY(R1171))/VLOOKUP(MONTH(R1171),Meses!$B$3:$C$14,2,FALSE)*U1171,
"")</f>
        <v>34.064516129032256</v>
      </c>
      <c r="U1171" s="22">
        <f t="shared" si="55"/>
        <v>44</v>
      </c>
    </row>
    <row r="1172" spans="1:21" ht="63" hidden="1" thickBot="1" x14ac:dyDescent="0.6">
      <c r="A1172" s="10" t="s">
        <v>1292</v>
      </c>
      <c r="B1172" s="10" t="s">
        <v>1463</v>
      </c>
      <c r="C1172" s="12"/>
      <c r="D1172" s="10" t="s">
        <v>23</v>
      </c>
      <c r="E1172" s="10" t="s">
        <v>23</v>
      </c>
      <c r="F1172" s="10">
        <v>402</v>
      </c>
      <c r="G1172" s="10" t="s">
        <v>15</v>
      </c>
      <c r="H1172" s="10" t="s">
        <v>2917</v>
      </c>
      <c r="I1172" s="10" t="s">
        <v>18</v>
      </c>
      <c r="J1172" s="10" t="s">
        <v>282</v>
      </c>
      <c r="K1172" s="10" t="s">
        <v>1119</v>
      </c>
      <c r="L1172" s="10" t="s">
        <v>1120</v>
      </c>
      <c r="M1172" s="12">
        <v>45358</v>
      </c>
      <c r="N1172" s="10" t="s">
        <v>15</v>
      </c>
      <c r="O1172" s="10" t="s">
        <v>2057</v>
      </c>
      <c r="P1172" s="25" t="str">
        <f>IFERROR(
IF(OR(O1172="anulado",O1172="stand by"),CONCATENATE(O1172,": ",H1172),
IF(OR(YEAR(M1172)=2022,YEAR(M1172)=2023),CONCATENATE("Se activó en ",YEAR(M1172)),
IF(AND(OR(O1172="En proceso",O1172="facturando"),AND(J1172="-",M1172="")),"Por revisar",
IF(M1172="",IF(J1172="NUEVAS",CONCATENATE("Estado: ",O1172,", ",J1172),
IF(L1172=Meses!$A$3,"Por revisar",
IF(H1172="","Sin registro","En programación Frcst."))),"En programación")))),
"Error")</f>
        <v>En programación</v>
      </c>
      <c r="Q1172" s="9" t="str">
        <f t="shared" si="54"/>
        <v/>
      </c>
      <c r="R1172" s="25">
        <f>IF(P1172="En programación Frcst.",VLOOKUP(L1172,Meses!$A$1:$H$14,3+HLOOKUP(Cronograma!J1172,Meses!$D$1:$G$2,2,FALSE),FALSE),
IF(P1172="En programación",M1172,""))</f>
        <v>45358</v>
      </c>
      <c r="S1172" s="25" t="str">
        <f t="shared" si="56"/>
        <v>2024/3</v>
      </c>
      <c r="T1172" s="21">
        <f>IFERROR(
(VLOOKUP(MONTH(R1172),Meses!$B$3:$C$14,2,FALSE)-DAY(R1172))/VLOOKUP(MONTH(R1172),Meses!$B$3:$C$14,2,FALSE)*U1172,
"")</f>
        <v>311.22580645161287</v>
      </c>
      <c r="U1172" s="22">
        <f t="shared" si="55"/>
        <v>402</v>
      </c>
    </row>
    <row r="1173" spans="1:21" ht="63" hidden="1" thickBot="1" x14ac:dyDescent="0.6">
      <c r="A1173" s="10" t="s">
        <v>1292</v>
      </c>
      <c r="B1173" s="10" t="s">
        <v>1464</v>
      </c>
      <c r="C1173" s="12"/>
      <c r="D1173" s="10" t="s">
        <v>23</v>
      </c>
      <c r="E1173" s="10" t="s">
        <v>23</v>
      </c>
      <c r="F1173" s="10">
        <v>1</v>
      </c>
      <c r="G1173" s="10" t="s">
        <v>15</v>
      </c>
      <c r="H1173" s="10" t="s">
        <v>2917</v>
      </c>
      <c r="I1173" s="10" t="s">
        <v>18</v>
      </c>
      <c r="J1173" s="10" t="s">
        <v>282</v>
      </c>
      <c r="K1173" s="10" t="s">
        <v>1119</v>
      </c>
      <c r="L1173" s="10" t="s">
        <v>1120</v>
      </c>
      <c r="M1173" s="12">
        <v>45358</v>
      </c>
      <c r="N1173" s="10" t="s">
        <v>15</v>
      </c>
      <c r="O1173" s="10" t="s">
        <v>2057</v>
      </c>
      <c r="P1173" s="25" t="str">
        <f>IFERROR(
IF(OR(O1173="anulado",O1173="stand by"),CONCATENATE(O1173,": ",H1173),
IF(OR(YEAR(M1173)=2022,YEAR(M1173)=2023),CONCATENATE("Se activó en ",YEAR(M1173)),
IF(AND(OR(O1173="En proceso",O1173="facturando"),AND(J1173="-",M1173="")),"Por revisar",
IF(M1173="",IF(J1173="NUEVAS",CONCATENATE("Estado: ",O1173,", ",J1173),
IF(L1173=Meses!$A$3,"Por revisar",
IF(H1173="","Sin registro","En programación Frcst."))),"En programación")))),
"Error")</f>
        <v>En programación</v>
      </c>
      <c r="Q1173" s="9" t="str">
        <f t="shared" si="54"/>
        <v/>
      </c>
      <c r="R1173" s="25">
        <f>IF(P1173="En programación Frcst.",VLOOKUP(L1173,Meses!$A$1:$H$14,3+HLOOKUP(Cronograma!J1173,Meses!$D$1:$G$2,2,FALSE),FALSE),
IF(P1173="En programación",M1173,""))</f>
        <v>45358</v>
      </c>
      <c r="S1173" s="25" t="str">
        <f t="shared" si="56"/>
        <v>2024/3</v>
      </c>
      <c r="T1173" s="21">
        <f>IFERROR(
(VLOOKUP(MONTH(R1173),Meses!$B$3:$C$14,2,FALSE)-DAY(R1173))/VLOOKUP(MONTH(R1173),Meses!$B$3:$C$14,2,FALSE)*U1173,
"")</f>
        <v>0.77419354838709675</v>
      </c>
      <c r="U1173" s="22">
        <f t="shared" si="55"/>
        <v>1</v>
      </c>
    </row>
    <row r="1174" spans="1:21" ht="63" hidden="1" thickBot="1" x14ac:dyDescent="0.6">
      <c r="A1174" s="10" t="s">
        <v>1292</v>
      </c>
      <c r="B1174" s="10" t="s">
        <v>1465</v>
      </c>
      <c r="C1174" s="12"/>
      <c r="D1174" s="10" t="s">
        <v>23</v>
      </c>
      <c r="E1174" s="10" t="s">
        <v>23</v>
      </c>
      <c r="F1174" s="10">
        <v>2768</v>
      </c>
      <c r="G1174" s="10" t="s">
        <v>15</v>
      </c>
      <c r="H1174" s="10" t="s">
        <v>2917</v>
      </c>
      <c r="I1174" s="10" t="s">
        <v>18</v>
      </c>
      <c r="J1174" s="10" t="s">
        <v>282</v>
      </c>
      <c r="K1174" s="10" t="s">
        <v>1119</v>
      </c>
      <c r="L1174" s="10" t="s">
        <v>1120</v>
      </c>
      <c r="M1174" s="12">
        <v>45358</v>
      </c>
      <c r="N1174" s="10" t="s">
        <v>15</v>
      </c>
      <c r="O1174" s="10" t="s">
        <v>2057</v>
      </c>
      <c r="P1174" s="25" t="str">
        <f>IFERROR(
IF(OR(O1174="anulado",O1174="stand by"),CONCATENATE(O1174,": ",H1174),
IF(OR(YEAR(M1174)=2022,YEAR(M1174)=2023),CONCATENATE("Se activó en ",YEAR(M1174)),
IF(AND(OR(O1174="En proceso",O1174="facturando"),AND(J1174="-",M1174="")),"Por revisar",
IF(M1174="",IF(J1174="NUEVAS",CONCATENATE("Estado: ",O1174,", ",J1174),
IF(L1174=Meses!$A$3,"Por revisar",
IF(H1174="","Sin registro","En programación Frcst."))),"En programación")))),
"Error")</f>
        <v>En programación</v>
      </c>
      <c r="Q1174" s="9" t="str">
        <f t="shared" si="54"/>
        <v/>
      </c>
      <c r="R1174" s="25">
        <f>IF(P1174="En programación Frcst.",VLOOKUP(L1174,Meses!$A$1:$H$14,3+HLOOKUP(Cronograma!J1174,Meses!$D$1:$G$2,2,FALSE),FALSE),
IF(P1174="En programación",M1174,""))</f>
        <v>45358</v>
      </c>
      <c r="S1174" s="25" t="str">
        <f t="shared" si="56"/>
        <v>2024/3</v>
      </c>
      <c r="T1174" s="21">
        <f>IFERROR(
(VLOOKUP(MONTH(R1174),Meses!$B$3:$C$14,2,FALSE)-DAY(R1174))/VLOOKUP(MONTH(R1174),Meses!$B$3:$C$14,2,FALSE)*U1174,
"")</f>
        <v>2142.9677419354839</v>
      </c>
      <c r="U1174" s="22">
        <f t="shared" si="55"/>
        <v>2768</v>
      </c>
    </row>
    <row r="1175" spans="1:21" ht="63" hidden="1" thickBot="1" x14ac:dyDescent="0.6">
      <c r="A1175" s="10" t="s">
        <v>1292</v>
      </c>
      <c r="B1175" s="10" t="s">
        <v>1466</v>
      </c>
      <c r="C1175" s="12"/>
      <c r="D1175" s="10" t="s">
        <v>23</v>
      </c>
      <c r="E1175" s="10" t="s">
        <v>23</v>
      </c>
      <c r="F1175" s="10">
        <v>2606</v>
      </c>
      <c r="G1175" s="10" t="s">
        <v>15</v>
      </c>
      <c r="H1175" s="10" t="s">
        <v>2917</v>
      </c>
      <c r="I1175" s="10" t="s">
        <v>18</v>
      </c>
      <c r="J1175" s="10" t="s">
        <v>282</v>
      </c>
      <c r="K1175" s="10" t="s">
        <v>1119</v>
      </c>
      <c r="L1175" s="10" t="s">
        <v>1120</v>
      </c>
      <c r="M1175" s="12">
        <v>45358</v>
      </c>
      <c r="N1175" s="10" t="s">
        <v>15</v>
      </c>
      <c r="O1175" s="10" t="s">
        <v>2057</v>
      </c>
      <c r="P1175" s="25" t="str">
        <f>IFERROR(
IF(OR(O1175="anulado",O1175="stand by"),CONCATENATE(O1175,": ",H1175),
IF(OR(YEAR(M1175)=2022,YEAR(M1175)=2023),CONCATENATE("Se activó en ",YEAR(M1175)),
IF(AND(OR(O1175="En proceso",O1175="facturando"),AND(J1175="-",M1175="")),"Por revisar",
IF(M1175="",IF(J1175="NUEVAS",CONCATENATE("Estado: ",O1175,", ",J1175),
IF(L1175=Meses!$A$3,"Por revisar",
IF(H1175="","Sin registro","En programación Frcst."))),"En programación")))),
"Error")</f>
        <v>En programación</v>
      </c>
      <c r="Q1175" s="9" t="str">
        <f t="shared" si="54"/>
        <v/>
      </c>
      <c r="R1175" s="25">
        <f>IF(P1175="En programación Frcst.",VLOOKUP(L1175,Meses!$A$1:$H$14,3+HLOOKUP(Cronograma!J1175,Meses!$D$1:$G$2,2,FALSE),FALSE),
IF(P1175="En programación",M1175,""))</f>
        <v>45358</v>
      </c>
      <c r="S1175" s="25" t="str">
        <f t="shared" si="56"/>
        <v>2024/3</v>
      </c>
      <c r="T1175" s="21">
        <f>IFERROR(
(VLOOKUP(MONTH(R1175),Meses!$B$3:$C$14,2,FALSE)-DAY(R1175))/VLOOKUP(MONTH(R1175),Meses!$B$3:$C$14,2,FALSE)*U1175,
"")</f>
        <v>2017.5483870967741</v>
      </c>
      <c r="U1175" s="22">
        <f t="shared" si="55"/>
        <v>2606</v>
      </c>
    </row>
    <row r="1176" spans="1:21" ht="63" hidden="1" thickBot="1" x14ac:dyDescent="0.6">
      <c r="A1176" s="10" t="s">
        <v>1292</v>
      </c>
      <c r="B1176" s="10" t="s">
        <v>1467</v>
      </c>
      <c r="C1176" s="12"/>
      <c r="D1176" s="10" t="s">
        <v>23</v>
      </c>
      <c r="E1176" s="10" t="s">
        <v>23</v>
      </c>
      <c r="F1176" s="10">
        <v>872</v>
      </c>
      <c r="G1176" s="10" t="s">
        <v>15</v>
      </c>
      <c r="H1176" s="10" t="s">
        <v>2917</v>
      </c>
      <c r="I1176" s="10" t="s">
        <v>18</v>
      </c>
      <c r="J1176" s="10" t="s">
        <v>282</v>
      </c>
      <c r="K1176" s="10" t="s">
        <v>1119</v>
      </c>
      <c r="L1176" s="10" t="s">
        <v>1120</v>
      </c>
      <c r="M1176" s="12">
        <v>45358</v>
      </c>
      <c r="N1176" s="10" t="s">
        <v>15</v>
      </c>
      <c r="O1176" s="10" t="s">
        <v>2057</v>
      </c>
      <c r="P1176" s="25" t="str">
        <f>IFERROR(
IF(OR(O1176="anulado",O1176="stand by"),CONCATENATE(O1176,": ",H1176),
IF(OR(YEAR(M1176)=2022,YEAR(M1176)=2023),CONCATENATE("Se activó en ",YEAR(M1176)),
IF(AND(OR(O1176="En proceso",O1176="facturando"),AND(J1176="-",M1176="")),"Por revisar",
IF(M1176="",IF(J1176="NUEVAS",CONCATENATE("Estado: ",O1176,", ",J1176),
IF(L1176=Meses!$A$3,"Por revisar",
IF(H1176="","Sin registro","En programación Frcst."))),"En programación")))),
"Error")</f>
        <v>En programación</v>
      </c>
      <c r="Q1176" s="9" t="str">
        <f t="shared" si="54"/>
        <v/>
      </c>
      <c r="R1176" s="25">
        <f>IF(P1176="En programación Frcst.",VLOOKUP(L1176,Meses!$A$1:$H$14,3+HLOOKUP(Cronograma!J1176,Meses!$D$1:$G$2,2,FALSE),FALSE),
IF(P1176="En programación",M1176,""))</f>
        <v>45358</v>
      </c>
      <c r="S1176" s="25" t="str">
        <f t="shared" si="56"/>
        <v>2024/3</v>
      </c>
      <c r="T1176" s="21">
        <f>IFERROR(
(VLOOKUP(MONTH(R1176),Meses!$B$3:$C$14,2,FALSE)-DAY(R1176))/VLOOKUP(MONTH(R1176),Meses!$B$3:$C$14,2,FALSE)*U1176,
"")</f>
        <v>675.09677419354841</v>
      </c>
      <c r="U1176" s="22">
        <f t="shared" si="55"/>
        <v>872</v>
      </c>
    </row>
    <row r="1177" spans="1:21" ht="63" hidden="1" thickBot="1" x14ac:dyDescent="0.6">
      <c r="A1177" s="10" t="s">
        <v>1292</v>
      </c>
      <c r="B1177" s="10" t="s">
        <v>1468</v>
      </c>
      <c r="C1177" s="12"/>
      <c r="D1177" s="10" t="s">
        <v>23</v>
      </c>
      <c r="E1177" s="10" t="s">
        <v>23</v>
      </c>
      <c r="F1177" s="10">
        <v>307</v>
      </c>
      <c r="G1177" s="10" t="s">
        <v>15</v>
      </c>
      <c r="H1177" s="10" t="s">
        <v>2917</v>
      </c>
      <c r="I1177" s="10" t="s">
        <v>18</v>
      </c>
      <c r="J1177" s="10" t="s">
        <v>282</v>
      </c>
      <c r="K1177" s="10" t="s">
        <v>1119</v>
      </c>
      <c r="L1177" s="10" t="s">
        <v>1120</v>
      </c>
      <c r="M1177" s="12">
        <v>45358</v>
      </c>
      <c r="N1177" s="10" t="s">
        <v>15</v>
      </c>
      <c r="O1177" s="10" t="s">
        <v>2057</v>
      </c>
      <c r="P1177" s="25" t="str">
        <f>IFERROR(
IF(OR(O1177="anulado",O1177="stand by"),CONCATENATE(O1177,": ",H1177),
IF(OR(YEAR(M1177)=2022,YEAR(M1177)=2023),CONCATENATE("Se activó en ",YEAR(M1177)),
IF(AND(OR(O1177="En proceso",O1177="facturando"),AND(J1177="-",M1177="")),"Por revisar",
IF(M1177="",IF(J1177="NUEVAS",CONCATENATE("Estado: ",O1177,", ",J1177),
IF(L1177=Meses!$A$3,"Por revisar",
IF(H1177="","Sin registro","En programación Frcst."))),"En programación")))),
"Error")</f>
        <v>En programación</v>
      </c>
      <c r="Q1177" s="9" t="str">
        <f t="shared" si="54"/>
        <v/>
      </c>
      <c r="R1177" s="25">
        <f>IF(P1177="En programación Frcst.",VLOOKUP(L1177,Meses!$A$1:$H$14,3+HLOOKUP(Cronograma!J1177,Meses!$D$1:$G$2,2,FALSE),FALSE),
IF(P1177="En programación",M1177,""))</f>
        <v>45358</v>
      </c>
      <c r="S1177" s="25" t="str">
        <f t="shared" si="56"/>
        <v>2024/3</v>
      </c>
      <c r="T1177" s="21">
        <f>IFERROR(
(VLOOKUP(MONTH(R1177),Meses!$B$3:$C$14,2,FALSE)-DAY(R1177))/VLOOKUP(MONTH(R1177),Meses!$B$3:$C$14,2,FALSE)*U1177,
"")</f>
        <v>237.67741935483869</v>
      </c>
      <c r="U1177" s="22">
        <f t="shared" si="55"/>
        <v>307</v>
      </c>
    </row>
    <row r="1178" spans="1:21" ht="63" hidden="1" thickBot="1" x14ac:dyDescent="0.6">
      <c r="A1178" s="10" t="s">
        <v>1292</v>
      </c>
      <c r="B1178" s="10" t="s">
        <v>1469</v>
      </c>
      <c r="C1178" s="12"/>
      <c r="D1178" s="10" t="s">
        <v>23</v>
      </c>
      <c r="E1178" s="10" t="s">
        <v>23</v>
      </c>
      <c r="F1178" s="10">
        <v>112</v>
      </c>
      <c r="G1178" s="10" t="s">
        <v>15</v>
      </c>
      <c r="H1178" s="10" t="s">
        <v>2917</v>
      </c>
      <c r="I1178" s="10" t="s">
        <v>18</v>
      </c>
      <c r="J1178" s="10" t="s">
        <v>282</v>
      </c>
      <c r="K1178" s="10" t="s">
        <v>1119</v>
      </c>
      <c r="L1178" s="10" t="s">
        <v>1120</v>
      </c>
      <c r="M1178" s="12">
        <v>45358</v>
      </c>
      <c r="N1178" s="10" t="s">
        <v>15</v>
      </c>
      <c r="O1178" s="10" t="s">
        <v>2057</v>
      </c>
      <c r="P1178" s="25" t="str">
        <f>IFERROR(
IF(OR(O1178="anulado",O1178="stand by"),CONCATENATE(O1178,": ",H1178),
IF(OR(YEAR(M1178)=2022,YEAR(M1178)=2023),CONCATENATE("Se activó en ",YEAR(M1178)),
IF(AND(OR(O1178="En proceso",O1178="facturando"),AND(J1178="-",M1178="")),"Por revisar",
IF(M1178="",IF(J1178="NUEVAS",CONCATENATE("Estado: ",O1178,", ",J1178),
IF(L1178=Meses!$A$3,"Por revisar",
IF(H1178="","Sin registro","En programación Frcst."))),"En programación")))),
"Error")</f>
        <v>En programación</v>
      </c>
      <c r="Q1178" s="9" t="str">
        <f t="shared" si="54"/>
        <v/>
      </c>
      <c r="R1178" s="25">
        <f>IF(P1178="En programación Frcst.",VLOOKUP(L1178,Meses!$A$1:$H$14,3+HLOOKUP(Cronograma!J1178,Meses!$D$1:$G$2,2,FALSE),FALSE),
IF(P1178="En programación",M1178,""))</f>
        <v>45358</v>
      </c>
      <c r="S1178" s="25" t="str">
        <f t="shared" si="56"/>
        <v>2024/3</v>
      </c>
      <c r="T1178" s="21">
        <f>IFERROR(
(VLOOKUP(MONTH(R1178),Meses!$B$3:$C$14,2,FALSE)-DAY(R1178))/VLOOKUP(MONTH(R1178),Meses!$B$3:$C$14,2,FALSE)*U1178,
"")</f>
        <v>86.709677419354833</v>
      </c>
      <c r="U1178" s="22">
        <f t="shared" si="55"/>
        <v>112</v>
      </c>
    </row>
    <row r="1179" spans="1:21" ht="63" hidden="1" thickBot="1" x14ac:dyDescent="0.6">
      <c r="A1179" s="10" t="s">
        <v>1292</v>
      </c>
      <c r="B1179" s="10" t="s">
        <v>1470</v>
      </c>
      <c r="C1179" s="12"/>
      <c r="D1179" s="10" t="s">
        <v>23</v>
      </c>
      <c r="E1179" s="10" t="s">
        <v>23</v>
      </c>
      <c r="F1179" s="10">
        <v>81</v>
      </c>
      <c r="G1179" s="10" t="s">
        <v>15</v>
      </c>
      <c r="H1179" s="10" t="s">
        <v>2917</v>
      </c>
      <c r="I1179" s="10" t="s">
        <v>18</v>
      </c>
      <c r="J1179" s="10" t="s">
        <v>282</v>
      </c>
      <c r="K1179" s="10" t="s">
        <v>1119</v>
      </c>
      <c r="L1179" s="10" t="s">
        <v>1120</v>
      </c>
      <c r="M1179" s="12">
        <v>45358</v>
      </c>
      <c r="N1179" s="10" t="s">
        <v>15</v>
      </c>
      <c r="O1179" s="10" t="s">
        <v>2057</v>
      </c>
      <c r="P1179" s="25" t="str">
        <f>IFERROR(
IF(OR(O1179="anulado",O1179="stand by"),CONCATENATE(O1179,": ",H1179),
IF(OR(YEAR(M1179)=2022,YEAR(M1179)=2023),CONCATENATE("Se activó en ",YEAR(M1179)),
IF(AND(OR(O1179="En proceso",O1179="facturando"),AND(J1179="-",M1179="")),"Por revisar",
IF(M1179="",IF(J1179="NUEVAS",CONCATENATE("Estado: ",O1179,", ",J1179),
IF(L1179=Meses!$A$3,"Por revisar",
IF(H1179="","Sin registro","En programación Frcst."))),"En programación")))),
"Error")</f>
        <v>En programación</v>
      </c>
      <c r="Q1179" s="9" t="str">
        <f t="shared" si="54"/>
        <v/>
      </c>
      <c r="R1179" s="25">
        <f>IF(P1179="En programación Frcst.",VLOOKUP(L1179,Meses!$A$1:$H$14,3+HLOOKUP(Cronograma!J1179,Meses!$D$1:$G$2,2,FALSE),FALSE),
IF(P1179="En programación",M1179,""))</f>
        <v>45358</v>
      </c>
      <c r="S1179" s="25" t="str">
        <f t="shared" si="56"/>
        <v>2024/3</v>
      </c>
      <c r="T1179" s="21">
        <f>IFERROR(
(VLOOKUP(MONTH(R1179),Meses!$B$3:$C$14,2,FALSE)-DAY(R1179))/VLOOKUP(MONTH(R1179),Meses!$B$3:$C$14,2,FALSE)*U1179,
"")</f>
        <v>62.70967741935484</v>
      </c>
      <c r="U1179" s="22">
        <f t="shared" si="55"/>
        <v>81</v>
      </c>
    </row>
    <row r="1180" spans="1:21" ht="63" hidden="1" thickBot="1" x14ac:dyDescent="0.6">
      <c r="A1180" s="10" t="s">
        <v>1292</v>
      </c>
      <c r="B1180" s="10" t="s">
        <v>1471</v>
      </c>
      <c r="C1180" s="12"/>
      <c r="D1180" s="10" t="s">
        <v>23</v>
      </c>
      <c r="E1180" s="10" t="s">
        <v>23</v>
      </c>
      <c r="F1180" s="10">
        <v>223</v>
      </c>
      <c r="G1180" s="10" t="s">
        <v>15</v>
      </c>
      <c r="H1180" s="10" t="s">
        <v>2917</v>
      </c>
      <c r="I1180" s="10" t="s">
        <v>18</v>
      </c>
      <c r="J1180" s="10" t="s">
        <v>282</v>
      </c>
      <c r="K1180" s="10" t="s">
        <v>1119</v>
      </c>
      <c r="L1180" s="10" t="s">
        <v>1120</v>
      </c>
      <c r="M1180" s="12">
        <v>45358</v>
      </c>
      <c r="N1180" s="10" t="s">
        <v>15</v>
      </c>
      <c r="O1180" s="10" t="s">
        <v>2057</v>
      </c>
      <c r="P1180" s="25" t="str">
        <f>IFERROR(
IF(OR(O1180="anulado",O1180="stand by"),CONCATENATE(O1180,": ",H1180),
IF(OR(YEAR(M1180)=2022,YEAR(M1180)=2023),CONCATENATE("Se activó en ",YEAR(M1180)),
IF(AND(OR(O1180="En proceso",O1180="facturando"),AND(J1180="-",M1180="")),"Por revisar",
IF(M1180="",IF(J1180="NUEVAS",CONCATENATE("Estado: ",O1180,", ",J1180),
IF(L1180=Meses!$A$3,"Por revisar",
IF(H1180="","Sin registro","En programación Frcst."))),"En programación")))),
"Error")</f>
        <v>En programación</v>
      </c>
      <c r="Q1180" s="9" t="str">
        <f t="shared" si="54"/>
        <v/>
      </c>
      <c r="R1180" s="25">
        <f>IF(P1180="En programación Frcst.",VLOOKUP(L1180,Meses!$A$1:$H$14,3+HLOOKUP(Cronograma!J1180,Meses!$D$1:$G$2,2,FALSE),FALSE),
IF(P1180="En programación",M1180,""))</f>
        <v>45358</v>
      </c>
      <c r="S1180" s="25" t="str">
        <f t="shared" si="56"/>
        <v>2024/3</v>
      </c>
      <c r="T1180" s="21">
        <f>IFERROR(
(VLOOKUP(MONTH(R1180),Meses!$B$3:$C$14,2,FALSE)-DAY(R1180))/VLOOKUP(MONTH(R1180),Meses!$B$3:$C$14,2,FALSE)*U1180,
"")</f>
        <v>172.64516129032256</v>
      </c>
      <c r="U1180" s="22">
        <f t="shared" si="55"/>
        <v>223</v>
      </c>
    </row>
    <row r="1181" spans="1:21" ht="63" hidden="1" thickBot="1" x14ac:dyDescent="0.6">
      <c r="A1181" s="10" t="s">
        <v>1292</v>
      </c>
      <c r="B1181" s="10" t="s">
        <v>1472</v>
      </c>
      <c r="C1181" s="12"/>
      <c r="D1181" s="10" t="s">
        <v>23</v>
      </c>
      <c r="E1181" s="10" t="s">
        <v>23</v>
      </c>
      <c r="F1181" s="10">
        <v>0</v>
      </c>
      <c r="G1181" s="10" t="s">
        <v>15</v>
      </c>
      <c r="H1181" s="10" t="s">
        <v>2917</v>
      </c>
      <c r="I1181" s="10" t="s">
        <v>18</v>
      </c>
      <c r="J1181" s="10" t="s">
        <v>282</v>
      </c>
      <c r="K1181" s="10" t="s">
        <v>1119</v>
      </c>
      <c r="L1181" s="10" t="s">
        <v>1120</v>
      </c>
      <c r="M1181" s="12">
        <v>45358</v>
      </c>
      <c r="N1181" s="10" t="s">
        <v>15</v>
      </c>
      <c r="O1181" s="10" t="s">
        <v>2057</v>
      </c>
      <c r="P1181" s="25" t="str">
        <f>IFERROR(
IF(OR(O1181="anulado",O1181="stand by"),CONCATENATE(O1181,": ",H1181),
IF(OR(YEAR(M1181)=2022,YEAR(M1181)=2023),CONCATENATE("Se activó en ",YEAR(M1181)),
IF(AND(OR(O1181="En proceso",O1181="facturando"),AND(J1181="-",M1181="")),"Por revisar",
IF(M1181="",IF(J1181="NUEVAS",CONCATENATE("Estado: ",O1181,", ",J1181),
IF(L1181=Meses!$A$3,"Por revisar",
IF(H1181="","Sin registro","En programación Frcst."))),"En programación")))),
"Error")</f>
        <v>En programación</v>
      </c>
      <c r="Q1181" s="9" t="str">
        <f t="shared" si="54"/>
        <v/>
      </c>
      <c r="R1181" s="25">
        <f>IF(P1181="En programación Frcst.",VLOOKUP(L1181,Meses!$A$1:$H$14,3+HLOOKUP(Cronograma!J1181,Meses!$D$1:$G$2,2,FALSE),FALSE),
IF(P1181="En programación",M1181,""))</f>
        <v>45358</v>
      </c>
      <c r="S1181" s="25" t="str">
        <f t="shared" si="56"/>
        <v>2024/3</v>
      </c>
      <c r="T1181" s="21">
        <f>IFERROR(
(VLOOKUP(MONTH(R1181),Meses!$B$3:$C$14,2,FALSE)-DAY(R1181))/VLOOKUP(MONTH(R1181),Meses!$B$3:$C$14,2,FALSE)*U1181,
"")</f>
        <v>0</v>
      </c>
      <c r="U1181" s="22">
        <f t="shared" si="55"/>
        <v>0</v>
      </c>
    </row>
    <row r="1182" spans="1:21" ht="63" hidden="1" thickBot="1" x14ac:dyDescent="0.6">
      <c r="A1182" s="10" t="s">
        <v>1292</v>
      </c>
      <c r="B1182" s="10" t="s">
        <v>1473</v>
      </c>
      <c r="C1182" s="12"/>
      <c r="D1182" s="10" t="s">
        <v>23</v>
      </c>
      <c r="E1182" s="10" t="s">
        <v>23</v>
      </c>
      <c r="F1182" s="10">
        <v>229</v>
      </c>
      <c r="G1182" s="10" t="s">
        <v>15</v>
      </c>
      <c r="H1182" s="10" t="s">
        <v>2917</v>
      </c>
      <c r="I1182" s="10" t="s">
        <v>18</v>
      </c>
      <c r="J1182" s="10" t="s">
        <v>282</v>
      </c>
      <c r="K1182" s="10" t="s">
        <v>1119</v>
      </c>
      <c r="L1182" s="10" t="s">
        <v>1120</v>
      </c>
      <c r="M1182" s="12">
        <v>45358</v>
      </c>
      <c r="N1182" s="10" t="s">
        <v>15</v>
      </c>
      <c r="O1182" s="10" t="s">
        <v>2057</v>
      </c>
      <c r="P1182" s="25" t="str">
        <f>IFERROR(
IF(OR(O1182="anulado",O1182="stand by"),CONCATENATE(O1182,": ",H1182),
IF(OR(YEAR(M1182)=2022,YEAR(M1182)=2023),CONCATENATE("Se activó en ",YEAR(M1182)),
IF(AND(OR(O1182="En proceso",O1182="facturando"),AND(J1182="-",M1182="")),"Por revisar",
IF(M1182="",IF(J1182="NUEVAS",CONCATENATE("Estado: ",O1182,", ",J1182),
IF(L1182=Meses!$A$3,"Por revisar",
IF(H1182="","Sin registro","En programación Frcst."))),"En programación")))),
"Error")</f>
        <v>En programación</v>
      </c>
      <c r="Q1182" s="9" t="str">
        <f t="shared" si="54"/>
        <v/>
      </c>
      <c r="R1182" s="25">
        <f>IF(P1182="En programación Frcst.",VLOOKUP(L1182,Meses!$A$1:$H$14,3+HLOOKUP(Cronograma!J1182,Meses!$D$1:$G$2,2,FALSE),FALSE),
IF(P1182="En programación",M1182,""))</f>
        <v>45358</v>
      </c>
      <c r="S1182" s="25" t="str">
        <f t="shared" si="56"/>
        <v>2024/3</v>
      </c>
      <c r="T1182" s="21">
        <f>IFERROR(
(VLOOKUP(MONTH(R1182),Meses!$B$3:$C$14,2,FALSE)-DAY(R1182))/VLOOKUP(MONTH(R1182),Meses!$B$3:$C$14,2,FALSE)*U1182,
"")</f>
        <v>177.29032258064515</v>
      </c>
      <c r="U1182" s="22">
        <f t="shared" si="55"/>
        <v>229</v>
      </c>
    </row>
    <row r="1183" spans="1:21" ht="63" hidden="1" thickBot="1" x14ac:dyDescent="0.6">
      <c r="A1183" s="10" t="s">
        <v>1292</v>
      </c>
      <c r="B1183" s="10" t="s">
        <v>1474</v>
      </c>
      <c r="C1183" s="12"/>
      <c r="D1183" s="10" t="s">
        <v>23</v>
      </c>
      <c r="E1183" s="10" t="s">
        <v>23</v>
      </c>
      <c r="F1183" s="10">
        <v>247</v>
      </c>
      <c r="G1183" s="10" t="s">
        <v>15</v>
      </c>
      <c r="H1183" s="10" t="s">
        <v>2917</v>
      </c>
      <c r="I1183" s="10" t="s">
        <v>18</v>
      </c>
      <c r="J1183" s="10" t="s">
        <v>282</v>
      </c>
      <c r="K1183" s="10" t="s">
        <v>1119</v>
      </c>
      <c r="L1183" s="10" t="s">
        <v>1120</v>
      </c>
      <c r="M1183" s="12">
        <v>45358</v>
      </c>
      <c r="N1183" s="10" t="s">
        <v>15</v>
      </c>
      <c r="O1183" s="10" t="s">
        <v>2057</v>
      </c>
      <c r="P1183" s="25" t="str">
        <f>IFERROR(
IF(OR(O1183="anulado",O1183="stand by"),CONCATENATE(O1183,": ",H1183),
IF(OR(YEAR(M1183)=2022,YEAR(M1183)=2023),CONCATENATE("Se activó en ",YEAR(M1183)),
IF(AND(OR(O1183="En proceso",O1183="facturando"),AND(J1183="-",M1183="")),"Por revisar",
IF(M1183="",IF(J1183="NUEVAS",CONCATENATE("Estado: ",O1183,", ",J1183),
IF(L1183=Meses!$A$3,"Por revisar",
IF(H1183="","Sin registro","En programación Frcst."))),"En programación")))),
"Error")</f>
        <v>En programación</v>
      </c>
      <c r="Q1183" s="9" t="str">
        <f t="shared" si="54"/>
        <v/>
      </c>
      <c r="R1183" s="25">
        <f>IF(P1183="En programación Frcst.",VLOOKUP(L1183,Meses!$A$1:$H$14,3+HLOOKUP(Cronograma!J1183,Meses!$D$1:$G$2,2,FALSE),FALSE),
IF(P1183="En programación",M1183,""))</f>
        <v>45358</v>
      </c>
      <c r="S1183" s="25" t="str">
        <f t="shared" si="56"/>
        <v>2024/3</v>
      </c>
      <c r="T1183" s="21">
        <f>IFERROR(
(VLOOKUP(MONTH(R1183),Meses!$B$3:$C$14,2,FALSE)-DAY(R1183))/VLOOKUP(MONTH(R1183),Meses!$B$3:$C$14,2,FALSE)*U1183,
"")</f>
        <v>191.2258064516129</v>
      </c>
      <c r="U1183" s="22">
        <f t="shared" si="55"/>
        <v>247</v>
      </c>
    </row>
    <row r="1184" spans="1:21" ht="63" hidden="1" thickBot="1" x14ac:dyDescent="0.6">
      <c r="A1184" s="10" t="s">
        <v>1292</v>
      </c>
      <c r="B1184" s="10" t="s">
        <v>1475</v>
      </c>
      <c r="C1184" s="12"/>
      <c r="D1184" s="10" t="s">
        <v>23</v>
      </c>
      <c r="E1184" s="10" t="s">
        <v>23</v>
      </c>
      <c r="F1184" s="10">
        <v>191</v>
      </c>
      <c r="G1184" s="10" t="s">
        <v>15</v>
      </c>
      <c r="H1184" s="10" t="s">
        <v>2917</v>
      </c>
      <c r="I1184" s="10" t="s">
        <v>18</v>
      </c>
      <c r="J1184" s="10" t="s">
        <v>282</v>
      </c>
      <c r="K1184" s="10" t="s">
        <v>1119</v>
      </c>
      <c r="L1184" s="10" t="s">
        <v>1120</v>
      </c>
      <c r="M1184" s="12">
        <v>45358</v>
      </c>
      <c r="N1184" s="10" t="s">
        <v>15</v>
      </c>
      <c r="O1184" s="10" t="s">
        <v>2057</v>
      </c>
      <c r="P1184" s="25" t="str">
        <f>IFERROR(
IF(OR(O1184="anulado",O1184="stand by"),CONCATENATE(O1184,": ",H1184),
IF(OR(YEAR(M1184)=2022,YEAR(M1184)=2023),CONCATENATE("Se activó en ",YEAR(M1184)),
IF(AND(OR(O1184="En proceso",O1184="facturando"),AND(J1184="-",M1184="")),"Por revisar",
IF(M1184="",IF(J1184="NUEVAS",CONCATENATE("Estado: ",O1184,", ",J1184),
IF(L1184=Meses!$A$3,"Por revisar",
IF(H1184="","Sin registro","En programación Frcst."))),"En programación")))),
"Error")</f>
        <v>En programación</v>
      </c>
      <c r="Q1184" s="9" t="str">
        <f t="shared" si="54"/>
        <v/>
      </c>
      <c r="R1184" s="25">
        <f>IF(P1184="En programación Frcst.",VLOOKUP(L1184,Meses!$A$1:$H$14,3+HLOOKUP(Cronograma!J1184,Meses!$D$1:$G$2,2,FALSE),FALSE),
IF(P1184="En programación",M1184,""))</f>
        <v>45358</v>
      </c>
      <c r="S1184" s="25" t="str">
        <f t="shared" si="56"/>
        <v>2024/3</v>
      </c>
      <c r="T1184" s="21">
        <f>IFERROR(
(VLOOKUP(MONTH(R1184),Meses!$B$3:$C$14,2,FALSE)-DAY(R1184))/VLOOKUP(MONTH(R1184),Meses!$B$3:$C$14,2,FALSE)*U1184,
"")</f>
        <v>147.87096774193549</v>
      </c>
      <c r="U1184" s="22">
        <f t="shared" si="55"/>
        <v>191</v>
      </c>
    </row>
    <row r="1185" spans="1:21" ht="63" hidden="1" thickBot="1" x14ac:dyDescent="0.6">
      <c r="A1185" s="10" t="s">
        <v>1292</v>
      </c>
      <c r="B1185" s="10" t="s">
        <v>1476</v>
      </c>
      <c r="C1185" s="12"/>
      <c r="D1185" s="10" t="s">
        <v>23</v>
      </c>
      <c r="E1185" s="10" t="s">
        <v>23</v>
      </c>
      <c r="F1185" s="10">
        <v>970</v>
      </c>
      <c r="G1185" s="10" t="s">
        <v>15</v>
      </c>
      <c r="H1185" s="10" t="s">
        <v>2917</v>
      </c>
      <c r="I1185" s="10" t="s">
        <v>18</v>
      </c>
      <c r="J1185" s="10" t="s">
        <v>282</v>
      </c>
      <c r="K1185" s="10" t="s">
        <v>1119</v>
      </c>
      <c r="L1185" s="10" t="s">
        <v>1120</v>
      </c>
      <c r="M1185" s="12">
        <v>45358</v>
      </c>
      <c r="N1185" s="10" t="s">
        <v>15</v>
      </c>
      <c r="O1185" s="10" t="s">
        <v>2057</v>
      </c>
      <c r="P1185" s="25" t="str">
        <f>IFERROR(
IF(OR(O1185="anulado",O1185="stand by"),CONCATENATE(O1185,": ",H1185),
IF(OR(YEAR(M1185)=2022,YEAR(M1185)=2023),CONCATENATE("Se activó en ",YEAR(M1185)),
IF(AND(OR(O1185="En proceso",O1185="facturando"),AND(J1185="-",M1185="")),"Por revisar",
IF(M1185="",IF(J1185="NUEVAS",CONCATENATE("Estado: ",O1185,", ",J1185),
IF(L1185=Meses!$A$3,"Por revisar",
IF(H1185="","Sin registro","En programación Frcst."))),"En programación")))),
"Error")</f>
        <v>En programación</v>
      </c>
      <c r="Q1185" s="9" t="str">
        <f t="shared" si="54"/>
        <v/>
      </c>
      <c r="R1185" s="25">
        <f>IF(P1185="En programación Frcst.",VLOOKUP(L1185,Meses!$A$1:$H$14,3+HLOOKUP(Cronograma!J1185,Meses!$D$1:$G$2,2,FALSE),FALSE),
IF(P1185="En programación",M1185,""))</f>
        <v>45358</v>
      </c>
      <c r="S1185" s="25" t="str">
        <f t="shared" si="56"/>
        <v>2024/3</v>
      </c>
      <c r="T1185" s="21">
        <f>IFERROR(
(VLOOKUP(MONTH(R1185),Meses!$B$3:$C$14,2,FALSE)-DAY(R1185))/VLOOKUP(MONTH(R1185),Meses!$B$3:$C$14,2,FALSE)*U1185,
"")</f>
        <v>750.9677419354839</v>
      </c>
      <c r="U1185" s="22">
        <f t="shared" si="55"/>
        <v>970</v>
      </c>
    </row>
    <row r="1186" spans="1:21" ht="63" hidden="1" thickBot="1" x14ac:dyDescent="0.6">
      <c r="A1186" s="10" t="s">
        <v>1292</v>
      </c>
      <c r="B1186" s="10" t="s">
        <v>1477</v>
      </c>
      <c r="C1186" s="12"/>
      <c r="D1186" s="10" t="s">
        <v>23</v>
      </c>
      <c r="E1186" s="10" t="s">
        <v>23</v>
      </c>
      <c r="F1186" s="10">
        <v>0</v>
      </c>
      <c r="G1186" s="10" t="s">
        <v>15</v>
      </c>
      <c r="H1186" s="10" t="s">
        <v>2917</v>
      </c>
      <c r="I1186" s="10" t="s">
        <v>18</v>
      </c>
      <c r="J1186" s="10" t="s">
        <v>282</v>
      </c>
      <c r="K1186" s="10" t="s">
        <v>1119</v>
      </c>
      <c r="L1186" s="10" t="s">
        <v>1120</v>
      </c>
      <c r="M1186" s="12">
        <v>45358</v>
      </c>
      <c r="N1186" s="10" t="s">
        <v>15</v>
      </c>
      <c r="O1186" s="10" t="s">
        <v>2057</v>
      </c>
      <c r="P1186" s="25" t="str">
        <f>IFERROR(
IF(OR(O1186="anulado",O1186="stand by"),CONCATENATE(O1186,": ",H1186),
IF(OR(YEAR(M1186)=2022,YEAR(M1186)=2023),CONCATENATE("Se activó en ",YEAR(M1186)),
IF(AND(OR(O1186="En proceso",O1186="facturando"),AND(J1186="-",M1186="")),"Por revisar",
IF(M1186="",IF(J1186="NUEVAS",CONCATENATE("Estado: ",O1186,", ",J1186),
IF(L1186=Meses!$A$3,"Por revisar",
IF(H1186="","Sin registro","En programación Frcst."))),"En programación")))),
"Error")</f>
        <v>En programación</v>
      </c>
      <c r="Q1186" s="9" t="str">
        <f t="shared" si="54"/>
        <v/>
      </c>
      <c r="R1186" s="25">
        <f>IF(P1186="En programación Frcst.",VLOOKUP(L1186,Meses!$A$1:$H$14,3+HLOOKUP(Cronograma!J1186,Meses!$D$1:$G$2,2,FALSE),FALSE),
IF(P1186="En programación",M1186,""))</f>
        <v>45358</v>
      </c>
      <c r="S1186" s="25" t="str">
        <f t="shared" si="56"/>
        <v>2024/3</v>
      </c>
      <c r="T1186" s="21">
        <f>IFERROR(
(VLOOKUP(MONTH(R1186),Meses!$B$3:$C$14,2,FALSE)-DAY(R1186))/VLOOKUP(MONTH(R1186),Meses!$B$3:$C$14,2,FALSE)*U1186,
"")</f>
        <v>0</v>
      </c>
      <c r="U1186" s="22">
        <f t="shared" si="55"/>
        <v>0</v>
      </c>
    </row>
    <row r="1187" spans="1:21" ht="31.8" hidden="1" thickBot="1" x14ac:dyDescent="0.6">
      <c r="A1187" s="10" t="s">
        <v>1478</v>
      </c>
      <c r="B1187" s="10" t="s">
        <v>1479</v>
      </c>
      <c r="C1187" s="12"/>
      <c r="D1187" s="10" t="s">
        <v>74</v>
      </c>
      <c r="E1187" s="10" t="s">
        <v>74</v>
      </c>
      <c r="F1187" s="10">
        <v>7880</v>
      </c>
      <c r="G1187" s="10" t="s">
        <v>15</v>
      </c>
      <c r="H1187" s="10" t="s">
        <v>2917</v>
      </c>
      <c r="I1187" s="10" t="s">
        <v>43</v>
      </c>
      <c r="J1187" s="10" t="s">
        <v>143</v>
      </c>
      <c r="K1187" s="10" t="s">
        <v>2895</v>
      </c>
      <c r="L1187" s="10" t="s">
        <v>2292</v>
      </c>
      <c r="M1187" s="12">
        <v>45400</v>
      </c>
      <c r="N1187" s="10" t="s">
        <v>15</v>
      </c>
      <c r="O1187" s="10" t="s">
        <v>2057</v>
      </c>
      <c r="P1187" s="25" t="str">
        <f>IFERROR(
IF(OR(O1187="anulado",O1187="stand by"),CONCATENATE(O1187,": ",H1187),
IF(OR(YEAR(M1187)=2022,YEAR(M1187)=2023),CONCATENATE("Se activó en ",YEAR(M1187)),
IF(AND(OR(O1187="En proceso",O1187="facturando"),AND(J1187="-",M1187="")),"Por revisar",
IF(M1187="",IF(J1187="NUEVAS",CONCATENATE("Estado: ",O1187,", ",J1187),
IF(L1187=Meses!$A$3,"Por revisar",
IF(H1187="","Sin registro","En programación Frcst."))),"En programación")))),
"Error")</f>
        <v>En programación</v>
      </c>
      <c r="Q1187" s="9" t="str">
        <f t="shared" si="54"/>
        <v/>
      </c>
      <c r="R1187" s="25">
        <f>IF(P1187="En programación Frcst.",VLOOKUP(L1187,Meses!$A$1:$H$14,3+HLOOKUP(Cronograma!J1187,Meses!$D$1:$G$2,2,FALSE),FALSE),
IF(P1187="En programación",M1187,""))</f>
        <v>45400</v>
      </c>
      <c r="S1187" s="25" t="str">
        <f t="shared" si="56"/>
        <v>2024/4</v>
      </c>
      <c r="T1187" s="21">
        <f>IFERROR(
(VLOOKUP(MONTH(R1187),Meses!$B$3:$C$14,2,FALSE)-DAY(R1187))/VLOOKUP(MONTH(R1187),Meses!$B$3:$C$14,2,FALSE)*U1187,
"")</f>
        <v>3152</v>
      </c>
      <c r="U1187" s="22">
        <f t="shared" si="55"/>
        <v>7880</v>
      </c>
    </row>
    <row r="1188" spans="1:21" ht="31.8" hidden="1" thickBot="1" x14ac:dyDescent="0.6">
      <c r="A1188" s="10" t="s">
        <v>1480</v>
      </c>
      <c r="B1188" s="10" t="s">
        <v>1481</v>
      </c>
      <c r="C1188" s="12">
        <v>45302</v>
      </c>
      <c r="D1188" s="10" t="s">
        <v>14</v>
      </c>
      <c r="E1188" s="10" t="s">
        <v>14</v>
      </c>
      <c r="F1188" s="10">
        <v>2341</v>
      </c>
      <c r="G1188" s="10" t="s">
        <v>15</v>
      </c>
      <c r="H1188" s="10" t="s">
        <v>17</v>
      </c>
      <c r="I1188" s="10" t="s">
        <v>18</v>
      </c>
      <c r="J1188" s="10" t="s">
        <v>277</v>
      </c>
      <c r="K1188" s="10" t="s">
        <v>278</v>
      </c>
      <c r="L1188" s="10" t="s">
        <v>279</v>
      </c>
      <c r="M1188" s="12"/>
      <c r="N1188" s="10" t="s">
        <v>15</v>
      </c>
      <c r="O1188" s="10" t="s">
        <v>2054</v>
      </c>
      <c r="P1188" s="25" t="str">
        <f>IFERROR(
IF(OR(O1188="anulado",O1188="stand by"),CONCATENATE(O1188,": ",H1188),
IF(OR(YEAR(M1188)=2022,YEAR(M1188)=2023),CONCATENATE("Se activó en ",YEAR(M1188)),
IF(AND(OR(O1188="En proceso",O1188="facturando"),AND(J1188="-",M1188="")),"Por revisar",
IF(M1188="",IF(J1188="NUEVAS",CONCATENATE("Estado: ",O1188,", ",J1188),
IF(L1188=Meses!$A$3,"Por revisar",
IF(H1188="","Sin registro","En programación Frcst."))),"En programación")))),
"Error")</f>
        <v>En programación Frcst.</v>
      </c>
      <c r="Q1188" s="9" t="str">
        <f t="shared" si="54"/>
        <v/>
      </c>
      <c r="R1188" s="25">
        <f>IF(P1188="En programación Frcst.",VLOOKUP(L1188,Meses!$A$1:$H$14,3+HLOOKUP(Cronograma!J1188,Meses!$D$1:$G$2,2,FALSE),FALSE),
IF(P1188="En programación",M1188,""))</f>
        <v>45309</v>
      </c>
      <c r="S1188" s="25" t="str">
        <f t="shared" si="56"/>
        <v>2024/1</v>
      </c>
      <c r="T1188" s="21">
        <f>IFERROR(
(VLOOKUP(MONTH(R1188),Meses!$B$3:$C$14,2,FALSE)-DAY(R1188))/VLOOKUP(MONTH(R1188),Meses!$B$3:$C$14,2,FALSE)*U1188,
"")</f>
        <v>981.70967741935488</v>
      </c>
      <c r="U1188" s="22">
        <f t="shared" si="55"/>
        <v>2341</v>
      </c>
    </row>
    <row r="1189" spans="1:21" ht="63" hidden="1" thickBot="1" x14ac:dyDescent="0.6">
      <c r="A1189" s="10" t="s">
        <v>1482</v>
      </c>
      <c r="B1189" s="10" t="s">
        <v>1483</v>
      </c>
      <c r="C1189" s="12"/>
      <c r="D1189" s="10" t="s">
        <v>654</v>
      </c>
      <c r="E1189" s="10" t="s">
        <v>14</v>
      </c>
      <c r="F1189" s="10">
        <v>7398</v>
      </c>
      <c r="G1189" s="10" t="s">
        <v>15</v>
      </c>
      <c r="H1189" s="10" t="s">
        <v>2916</v>
      </c>
      <c r="I1189" s="10" t="s">
        <v>66</v>
      </c>
      <c r="J1189" s="10" t="s">
        <v>292</v>
      </c>
      <c r="K1189" s="10" t="s">
        <v>1697</v>
      </c>
      <c r="L1189" s="10" t="s">
        <v>1120</v>
      </c>
      <c r="M1189" s="12">
        <v>45379</v>
      </c>
      <c r="N1189" s="10" t="s">
        <v>20</v>
      </c>
      <c r="O1189" s="10" t="s">
        <v>2057</v>
      </c>
      <c r="P1189" s="25" t="str">
        <f>IFERROR(
IF(OR(O1189="anulado",O1189="stand by"),CONCATENATE(O1189,": ",H1189),
IF(OR(YEAR(M1189)=2022,YEAR(M1189)=2023),CONCATENATE("Se activó en ",YEAR(M1189)),
IF(AND(OR(O1189="En proceso",O1189="facturando"),AND(J1189="-",M1189="")),"Por revisar",
IF(M1189="",IF(J1189="NUEVAS",CONCATENATE("Estado: ",O1189,", ",J1189),
IF(L1189=Meses!$A$3,"Por revisar",
IF(H1189="","Sin registro","En programación Frcst."))),"En programación")))),
"Error")</f>
        <v>En programación</v>
      </c>
      <c r="Q1189" s="9" t="str">
        <f t="shared" si="54"/>
        <v/>
      </c>
      <c r="R1189" s="25">
        <f>IF(P1189="En programación Frcst.",VLOOKUP(L1189,Meses!$A$1:$H$14,3+HLOOKUP(Cronograma!J1189,Meses!$D$1:$G$2,2,FALSE),FALSE),
IF(P1189="En programación",M1189,""))</f>
        <v>45379</v>
      </c>
      <c r="S1189" s="25" t="str">
        <f t="shared" si="56"/>
        <v>2024/3</v>
      </c>
      <c r="T1189" s="21">
        <f>IFERROR(
(VLOOKUP(MONTH(R1189),Meses!$B$3:$C$14,2,FALSE)-DAY(R1189))/VLOOKUP(MONTH(R1189),Meses!$B$3:$C$14,2,FALSE)*U1189,
"")</f>
        <v>715.93548387096769</v>
      </c>
      <c r="U1189" s="22">
        <f t="shared" si="55"/>
        <v>7398</v>
      </c>
    </row>
    <row r="1190" spans="1:21" ht="63" hidden="1" thickBot="1" x14ac:dyDescent="0.6">
      <c r="A1190" s="10" t="s">
        <v>1482</v>
      </c>
      <c r="B1190" s="10" t="s">
        <v>1484</v>
      </c>
      <c r="C1190" s="12"/>
      <c r="D1190" s="10" t="s">
        <v>654</v>
      </c>
      <c r="E1190" s="10" t="s">
        <v>23</v>
      </c>
      <c r="F1190" s="10">
        <v>2006</v>
      </c>
      <c r="G1190" s="10" t="s">
        <v>15</v>
      </c>
      <c r="H1190" s="10" t="s">
        <v>140</v>
      </c>
      <c r="I1190" s="10" t="s">
        <v>66</v>
      </c>
      <c r="J1190" s="10" t="s">
        <v>19</v>
      </c>
      <c r="K1190" s="10" t="s">
        <v>19</v>
      </c>
      <c r="L1190" s="10" t="s">
        <v>19</v>
      </c>
      <c r="M1190" s="12"/>
      <c r="N1190" s="10" t="s">
        <v>20</v>
      </c>
      <c r="O1190" s="10" t="s">
        <v>2056</v>
      </c>
      <c r="P1190" s="25" t="str">
        <f>IFERROR(
IF(OR(O1190="anulado",O1190="stand by"),CONCATENATE(O1190,": ",H1190),
IF(OR(YEAR(M1190)=2022,YEAR(M1190)=2023),CONCATENATE("Se activó en ",YEAR(M1190)),
IF(AND(OR(O1190="En proceso",O1190="facturando"),AND(J1190="-",M1190="")),"Por revisar",
IF(M1190="",IF(J1190="NUEVAS",CONCATENATE("Estado: ",O1190,", ",J1190),
IF(L1190=Meses!$A$3,"Por revisar",
IF(H1190="","Sin registro","En programación Frcst."))),"En programación")))),
"Error")</f>
        <v>anulado: Desistido</v>
      </c>
      <c r="Q1190" s="9" t="str">
        <f t="shared" si="54"/>
        <v/>
      </c>
      <c r="R1190" s="25" t="str">
        <f>IF(P1190="En programación Frcst.",VLOOKUP(L1190,Meses!$A$1:$H$14,3+HLOOKUP(Cronograma!J1190,Meses!$D$1:$G$2,2,FALSE),FALSE),
IF(P1190="En programación",M1190,""))</f>
        <v/>
      </c>
      <c r="S1190" s="25" t="str">
        <f t="shared" si="56"/>
        <v/>
      </c>
      <c r="T1190" s="21" t="str">
        <f>IFERROR(
(VLOOKUP(MONTH(R1190),Meses!$B$3:$C$14,2,FALSE)-DAY(R1190))/VLOOKUP(MONTH(R1190),Meses!$B$3:$C$14,2,FALSE)*U1190,
"")</f>
        <v/>
      </c>
      <c r="U1190" s="22">
        <f t="shared" si="55"/>
        <v>2006</v>
      </c>
    </row>
    <row r="1191" spans="1:21" ht="63" hidden="1" thickBot="1" x14ac:dyDescent="0.6">
      <c r="A1191" s="10" t="s">
        <v>1482</v>
      </c>
      <c r="B1191" s="10" t="s">
        <v>1485</v>
      </c>
      <c r="C1191" s="12"/>
      <c r="D1191" s="10" t="s">
        <v>654</v>
      </c>
      <c r="E1191" s="10" t="s">
        <v>23</v>
      </c>
      <c r="F1191" s="10">
        <v>9151</v>
      </c>
      <c r="G1191" s="10" t="s">
        <v>15</v>
      </c>
      <c r="H1191" s="10" t="s">
        <v>140</v>
      </c>
      <c r="I1191" s="10" t="s">
        <v>66</v>
      </c>
      <c r="J1191" s="10" t="s">
        <v>19</v>
      </c>
      <c r="K1191" s="10" t="s">
        <v>19</v>
      </c>
      <c r="L1191" s="10" t="s">
        <v>19</v>
      </c>
      <c r="M1191" s="12"/>
      <c r="N1191" s="10" t="s">
        <v>20</v>
      </c>
      <c r="O1191" s="10" t="s">
        <v>2056</v>
      </c>
      <c r="P1191" s="25" t="str">
        <f>IFERROR(
IF(OR(O1191="anulado",O1191="stand by"),CONCATENATE(O1191,": ",H1191),
IF(OR(YEAR(M1191)=2022,YEAR(M1191)=2023),CONCATENATE("Se activó en ",YEAR(M1191)),
IF(AND(OR(O1191="En proceso",O1191="facturando"),AND(J1191="-",M1191="")),"Por revisar",
IF(M1191="",IF(J1191="NUEVAS",CONCATENATE("Estado: ",O1191,", ",J1191),
IF(L1191=Meses!$A$3,"Por revisar",
IF(H1191="","Sin registro","En programación Frcst."))),"En programación")))),
"Error")</f>
        <v>anulado: Desistido</v>
      </c>
      <c r="Q1191" s="9" t="str">
        <f t="shared" si="54"/>
        <v/>
      </c>
      <c r="R1191" s="25" t="str">
        <f>IF(P1191="En programación Frcst.",VLOOKUP(L1191,Meses!$A$1:$H$14,3+HLOOKUP(Cronograma!J1191,Meses!$D$1:$G$2,2,FALSE),FALSE),
IF(P1191="En programación",M1191,""))</f>
        <v/>
      </c>
      <c r="S1191" s="25" t="str">
        <f t="shared" si="56"/>
        <v/>
      </c>
      <c r="T1191" s="21" t="str">
        <f>IFERROR(
(VLOOKUP(MONTH(R1191),Meses!$B$3:$C$14,2,FALSE)-DAY(R1191))/VLOOKUP(MONTH(R1191),Meses!$B$3:$C$14,2,FALSE)*U1191,
"")</f>
        <v/>
      </c>
      <c r="U1191" s="22">
        <f t="shared" si="55"/>
        <v>9151</v>
      </c>
    </row>
    <row r="1192" spans="1:21" ht="63" hidden="1" thickBot="1" x14ac:dyDescent="0.6">
      <c r="A1192" s="10" t="s">
        <v>1482</v>
      </c>
      <c r="B1192" s="10" t="s">
        <v>1486</v>
      </c>
      <c r="C1192" s="12">
        <v>45316</v>
      </c>
      <c r="D1192" s="10" t="s">
        <v>289</v>
      </c>
      <c r="E1192" s="10" t="s">
        <v>289</v>
      </c>
      <c r="F1192" s="10">
        <v>5261</v>
      </c>
      <c r="G1192" s="10" t="s">
        <v>15</v>
      </c>
      <c r="H1192" s="10" t="s">
        <v>17</v>
      </c>
      <c r="I1192" s="10" t="s">
        <v>18</v>
      </c>
      <c r="J1192" s="10" t="s">
        <v>282</v>
      </c>
      <c r="K1192" s="10" t="s">
        <v>283</v>
      </c>
      <c r="L1192" s="10" t="s">
        <v>279</v>
      </c>
      <c r="M1192" s="12"/>
      <c r="N1192" s="10" t="s">
        <v>15</v>
      </c>
      <c r="O1192" s="10" t="s">
        <v>2054</v>
      </c>
      <c r="P1192" s="25" t="str">
        <f>IFERROR(
IF(OR(O1192="anulado",O1192="stand by"),CONCATENATE(O1192,": ",H1192),
IF(OR(YEAR(M1192)=2022,YEAR(M1192)=2023),CONCATENATE("Se activó en ",YEAR(M1192)),
IF(AND(OR(O1192="En proceso",O1192="facturando"),AND(J1192="-",M1192="")),"Por revisar",
IF(M1192="",IF(J1192="NUEVAS",CONCATENATE("Estado: ",O1192,", ",J1192),
IF(L1192=Meses!$A$3,"Por revisar",
IF(H1192="","Sin registro","En programación Frcst."))),"En programación")))),
"Error")</f>
        <v>En programación Frcst.</v>
      </c>
      <c r="Q1192" s="9" t="str">
        <f t="shared" si="54"/>
        <v/>
      </c>
      <c r="R1192" s="25">
        <f>IF(P1192="En programación Frcst.",VLOOKUP(L1192,Meses!$A$1:$H$14,3+HLOOKUP(Cronograma!J1192,Meses!$D$1:$G$2,2,FALSE),FALSE),
IF(P1192="En programación",M1192,""))</f>
        <v>45295</v>
      </c>
      <c r="S1192" s="25" t="str">
        <f t="shared" si="56"/>
        <v>2024/1</v>
      </c>
      <c r="T1192" s="21">
        <f>IFERROR(
(VLOOKUP(MONTH(R1192),Meses!$B$3:$C$14,2,FALSE)-DAY(R1192))/VLOOKUP(MONTH(R1192),Meses!$B$3:$C$14,2,FALSE)*U1192,
"")</f>
        <v>4582.1612903225805</v>
      </c>
      <c r="U1192" s="22">
        <f t="shared" si="55"/>
        <v>5261</v>
      </c>
    </row>
    <row r="1193" spans="1:21" ht="63" hidden="1" thickBot="1" x14ac:dyDescent="0.6">
      <c r="A1193" s="10" t="s">
        <v>1482</v>
      </c>
      <c r="B1193" s="10" t="s">
        <v>1487</v>
      </c>
      <c r="C1193" s="12"/>
      <c r="D1193" s="10" t="s">
        <v>654</v>
      </c>
      <c r="E1193" s="10" t="s">
        <v>23</v>
      </c>
      <c r="F1193" s="10">
        <v>3217</v>
      </c>
      <c r="G1193" s="10" t="s">
        <v>15</v>
      </c>
      <c r="H1193" s="10" t="s">
        <v>140</v>
      </c>
      <c r="I1193" s="10" t="s">
        <v>66</v>
      </c>
      <c r="J1193" s="10" t="s">
        <v>19</v>
      </c>
      <c r="K1193" s="10" t="s">
        <v>19</v>
      </c>
      <c r="L1193" s="10" t="s">
        <v>19</v>
      </c>
      <c r="M1193" s="12"/>
      <c r="N1193" s="10" t="s">
        <v>20</v>
      </c>
      <c r="O1193" s="10" t="s">
        <v>2056</v>
      </c>
      <c r="P1193" s="25" t="str">
        <f>IFERROR(
IF(OR(O1193="anulado",O1193="stand by"),CONCATENATE(O1193,": ",H1193),
IF(OR(YEAR(M1193)=2022,YEAR(M1193)=2023),CONCATENATE("Se activó en ",YEAR(M1193)),
IF(AND(OR(O1193="En proceso",O1193="facturando"),AND(J1193="-",M1193="")),"Por revisar",
IF(M1193="",IF(J1193="NUEVAS",CONCATENATE("Estado: ",O1193,", ",J1193),
IF(L1193=Meses!$A$3,"Por revisar",
IF(H1193="","Sin registro","En programación Frcst."))),"En programación")))),
"Error")</f>
        <v>anulado: Desistido</v>
      </c>
      <c r="Q1193" s="9" t="str">
        <f t="shared" si="54"/>
        <v/>
      </c>
      <c r="R1193" s="25" t="str">
        <f>IF(P1193="En programación Frcst.",VLOOKUP(L1193,Meses!$A$1:$H$14,3+HLOOKUP(Cronograma!J1193,Meses!$D$1:$G$2,2,FALSE),FALSE),
IF(P1193="En programación",M1193,""))</f>
        <v/>
      </c>
      <c r="S1193" s="25" t="str">
        <f t="shared" si="56"/>
        <v/>
      </c>
      <c r="T1193" s="21" t="str">
        <f>IFERROR(
(VLOOKUP(MONTH(R1193),Meses!$B$3:$C$14,2,FALSE)-DAY(R1193))/VLOOKUP(MONTH(R1193),Meses!$B$3:$C$14,2,FALSE)*U1193,
"")</f>
        <v/>
      </c>
      <c r="U1193" s="22">
        <f t="shared" si="55"/>
        <v>3217</v>
      </c>
    </row>
    <row r="1194" spans="1:21" ht="63" hidden="1" thickBot="1" x14ac:dyDescent="0.6">
      <c r="A1194" s="10" t="s">
        <v>1482</v>
      </c>
      <c r="B1194" s="10" t="s">
        <v>1488</v>
      </c>
      <c r="C1194" s="12">
        <v>45316</v>
      </c>
      <c r="D1194" s="10" t="s">
        <v>673</v>
      </c>
      <c r="E1194" s="10" t="s">
        <v>673</v>
      </c>
      <c r="F1194" s="10">
        <v>4050</v>
      </c>
      <c r="G1194" s="10" t="s">
        <v>15</v>
      </c>
      <c r="H1194" s="10" t="s">
        <v>17</v>
      </c>
      <c r="I1194" s="10" t="s">
        <v>18</v>
      </c>
      <c r="J1194" s="10" t="s">
        <v>282</v>
      </c>
      <c r="K1194" s="10" t="s">
        <v>283</v>
      </c>
      <c r="L1194" s="10" t="s">
        <v>279</v>
      </c>
      <c r="M1194" s="12"/>
      <c r="N1194" s="10" t="s">
        <v>15</v>
      </c>
      <c r="O1194" s="10" t="s">
        <v>2054</v>
      </c>
      <c r="P1194" s="25" t="str">
        <f>IFERROR(
IF(OR(O1194="anulado",O1194="stand by"),CONCATENATE(O1194,": ",H1194),
IF(OR(YEAR(M1194)=2022,YEAR(M1194)=2023),CONCATENATE("Se activó en ",YEAR(M1194)),
IF(AND(OR(O1194="En proceso",O1194="facturando"),AND(J1194="-",M1194="")),"Por revisar",
IF(M1194="",IF(J1194="NUEVAS",CONCATENATE("Estado: ",O1194,", ",J1194),
IF(L1194=Meses!$A$3,"Por revisar",
IF(H1194="","Sin registro","En programación Frcst."))),"En programación")))),
"Error")</f>
        <v>En programación Frcst.</v>
      </c>
      <c r="Q1194" s="9" t="str">
        <f t="shared" si="54"/>
        <v/>
      </c>
      <c r="R1194" s="25">
        <f>IF(P1194="En programación Frcst.",VLOOKUP(L1194,Meses!$A$1:$H$14,3+HLOOKUP(Cronograma!J1194,Meses!$D$1:$G$2,2,FALSE),FALSE),
IF(P1194="En programación",M1194,""))</f>
        <v>45295</v>
      </c>
      <c r="S1194" s="25" t="str">
        <f t="shared" si="56"/>
        <v>2024/1</v>
      </c>
      <c r="T1194" s="21">
        <f>IFERROR(
(VLOOKUP(MONTH(R1194),Meses!$B$3:$C$14,2,FALSE)-DAY(R1194))/VLOOKUP(MONTH(R1194),Meses!$B$3:$C$14,2,FALSE)*U1194,
"")</f>
        <v>3527.4193548387098</v>
      </c>
      <c r="U1194" s="22">
        <f t="shared" si="55"/>
        <v>4050</v>
      </c>
    </row>
    <row r="1195" spans="1:21" ht="63" hidden="1" thickBot="1" x14ac:dyDescent="0.6">
      <c r="A1195" s="10" t="s">
        <v>1482</v>
      </c>
      <c r="B1195" s="10" t="s">
        <v>1489</v>
      </c>
      <c r="C1195" s="12">
        <v>45316</v>
      </c>
      <c r="D1195" s="10" t="s">
        <v>289</v>
      </c>
      <c r="E1195" s="10" t="s">
        <v>289</v>
      </c>
      <c r="F1195" s="10">
        <v>5272</v>
      </c>
      <c r="G1195" s="10" t="s">
        <v>15</v>
      </c>
      <c r="H1195" s="10" t="s">
        <v>2406</v>
      </c>
      <c r="I1195" s="10" t="s">
        <v>18</v>
      </c>
      <c r="J1195" s="10" t="s">
        <v>282</v>
      </c>
      <c r="K1195" s="10" t="s">
        <v>283</v>
      </c>
      <c r="L1195" s="10" t="s">
        <v>279</v>
      </c>
      <c r="M1195" s="12"/>
      <c r="N1195" s="10" t="s">
        <v>15</v>
      </c>
      <c r="O1195" s="10" t="s">
        <v>2054</v>
      </c>
      <c r="P1195" s="25" t="str">
        <f>IFERROR(
IF(OR(O1195="anulado",O1195="stand by"),CONCATENATE(O1195,": ",H1195),
IF(OR(YEAR(M1195)=2022,YEAR(M1195)=2023),CONCATENATE("Se activó en ",YEAR(M1195)),
IF(AND(OR(O1195="En proceso",O1195="facturando"),AND(J1195="-",M1195="")),"Por revisar",
IF(M1195="",IF(J1195="NUEVAS",CONCATENATE("Estado: ",O1195,", ",J1195),
IF(L1195=Meses!$A$3,"Por revisar",
IF(H1195="","Sin registro","En programación Frcst."))),"En programación")))),
"Error")</f>
        <v>En programación Frcst.</v>
      </c>
      <c r="Q1195" s="9" t="str">
        <f t="shared" si="54"/>
        <v/>
      </c>
      <c r="R1195" s="25">
        <f>IF(P1195="En programación Frcst.",VLOOKUP(L1195,Meses!$A$1:$H$14,3+HLOOKUP(Cronograma!J1195,Meses!$D$1:$G$2,2,FALSE),FALSE),
IF(P1195="En programación",M1195,""))</f>
        <v>45295</v>
      </c>
      <c r="S1195" s="25" t="str">
        <f t="shared" si="56"/>
        <v>2024/1</v>
      </c>
      <c r="T1195" s="21">
        <f>IFERROR(
(VLOOKUP(MONTH(R1195),Meses!$B$3:$C$14,2,FALSE)-DAY(R1195))/VLOOKUP(MONTH(R1195),Meses!$B$3:$C$14,2,FALSE)*U1195,
"")</f>
        <v>4591.7419354838712</v>
      </c>
      <c r="U1195" s="22">
        <f t="shared" si="55"/>
        <v>5272</v>
      </c>
    </row>
    <row r="1196" spans="1:21" ht="63" hidden="1" thickBot="1" x14ac:dyDescent="0.6">
      <c r="A1196" s="10" t="s">
        <v>1482</v>
      </c>
      <c r="B1196" s="10" t="s">
        <v>1490</v>
      </c>
      <c r="C1196" s="12"/>
      <c r="D1196" s="10" t="s">
        <v>289</v>
      </c>
      <c r="E1196" s="10" t="s">
        <v>23</v>
      </c>
      <c r="F1196" s="10">
        <v>4777</v>
      </c>
      <c r="G1196" s="10" t="s">
        <v>15</v>
      </c>
      <c r="H1196" s="10" t="s">
        <v>2406</v>
      </c>
      <c r="I1196" s="10" t="s">
        <v>66</v>
      </c>
      <c r="J1196" s="10" t="s">
        <v>292</v>
      </c>
      <c r="K1196" s="10" t="s">
        <v>1697</v>
      </c>
      <c r="L1196" s="10" t="s">
        <v>1120</v>
      </c>
      <c r="M1196" s="12">
        <v>45379</v>
      </c>
      <c r="N1196" s="10" t="s">
        <v>20</v>
      </c>
      <c r="O1196" s="10" t="s">
        <v>2054</v>
      </c>
      <c r="P1196" s="25" t="str">
        <f>IFERROR(
IF(OR(O1196="anulado",O1196="stand by"),CONCATENATE(O1196,": ",H1196),
IF(OR(YEAR(M1196)=2022,YEAR(M1196)=2023),CONCATENATE("Se activó en ",YEAR(M1196)),
IF(AND(OR(O1196="En proceso",O1196="facturando"),AND(J1196="-",M1196="")),"Por revisar",
IF(M1196="",IF(J1196="NUEVAS",CONCATENATE("Estado: ",O1196,", ",J1196),
IF(L1196=Meses!$A$3,"Por revisar",
IF(H1196="","Sin registro","En programación Frcst."))),"En programación")))),
"Error")</f>
        <v>En programación</v>
      </c>
      <c r="Q1196" s="9" t="str">
        <f t="shared" si="54"/>
        <v/>
      </c>
      <c r="R1196" s="25">
        <f>IF(P1196="En programación Frcst.",VLOOKUP(L1196,Meses!$A$1:$H$14,3+HLOOKUP(Cronograma!J1196,Meses!$D$1:$G$2,2,FALSE),FALSE),
IF(P1196="En programación",M1196,""))</f>
        <v>45379</v>
      </c>
      <c r="S1196" s="25" t="str">
        <f t="shared" si="56"/>
        <v>2024/3</v>
      </c>
      <c r="T1196" s="21">
        <f>IFERROR(
(VLOOKUP(MONTH(R1196),Meses!$B$3:$C$14,2,FALSE)-DAY(R1196))/VLOOKUP(MONTH(R1196),Meses!$B$3:$C$14,2,FALSE)*U1196,
"")</f>
        <v>462.29032258064512</v>
      </c>
      <c r="U1196" s="22">
        <f t="shared" si="55"/>
        <v>4777</v>
      </c>
    </row>
    <row r="1197" spans="1:21" ht="63" hidden="1" thickBot="1" x14ac:dyDescent="0.6">
      <c r="A1197" s="10" t="s">
        <v>1482</v>
      </c>
      <c r="B1197" s="10" t="s">
        <v>1491</v>
      </c>
      <c r="C1197" s="12"/>
      <c r="D1197" s="10" t="s">
        <v>289</v>
      </c>
      <c r="E1197" s="10" t="s">
        <v>23</v>
      </c>
      <c r="F1197" s="10">
        <v>3249</v>
      </c>
      <c r="G1197" s="10" t="s">
        <v>15</v>
      </c>
      <c r="H1197" s="10" t="s">
        <v>140</v>
      </c>
      <c r="I1197" s="10" t="s">
        <v>66</v>
      </c>
      <c r="J1197" s="10" t="s">
        <v>19</v>
      </c>
      <c r="K1197" s="10" t="s">
        <v>19</v>
      </c>
      <c r="L1197" s="10" t="s">
        <v>19</v>
      </c>
      <c r="M1197" s="12"/>
      <c r="N1197" s="10" t="s">
        <v>20</v>
      </c>
      <c r="O1197" s="10" t="s">
        <v>2056</v>
      </c>
      <c r="P1197" s="25" t="str">
        <f>IFERROR(
IF(OR(O1197="anulado",O1197="stand by"),CONCATENATE(O1197,": ",H1197),
IF(OR(YEAR(M1197)=2022,YEAR(M1197)=2023),CONCATENATE("Se activó en ",YEAR(M1197)),
IF(AND(OR(O1197="En proceso",O1197="facturando"),AND(J1197="-",M1197="")),"Por revisar",
IF(M1197="",IF(J1197="NUEVAS",CONCATENATE("Estado: ",O1197,", ",J1197),
IF(L1197=Meses!$A$3,"Por revisar",
IF(H1197="","Sin registro","En programación Frcst."))),"En programación")))),
"Error")</f>
        <v>anulado: Desistido</v>
      </c>
      <c r="Q1197" s="9" t="str">
        <f t="shared" si="54"/>
        <v/>
      </c>
      <c r="R1197" s="25" t="str">
        <f>IF(P1197="En programación Frcst.",VLOOKUP(L1197,Meses!$A$1:$H$14,3+HLOOKUP(Cronograma!J1197,Meses!$D$1:$G$2,2,FALSE),FALSE),
IF(P1197="En programación",M1197,""))</f>
        <v/>
      </c>
      <c r="S1197" s="25" t="str">
        <f t="shared" si="56"/>
        <v/>
      </c>
      <c r="T1197" s="21" t="str">
        <f>IFERROR(
(VLOOKUP(MONTH(R1197),Meses!$B$3:$C$14,2,FALSE)-DAY(R1197))/VLOOKUP(MONTH(R1197),Meses!$B$3:$C$14,2,FALSE)*U1197,
"")</f>
        <v/>
      </c>
      <c r="U1197" s="22">
        <f t="shared" si="55"/>
        <v>3249</v>
      </c>
    </row>
    <row r="1198" spans="1:21" ht="63" hidden="1" thickBot="1" x14ac:dyDescent="0.6">
      <c r="A1198" s="10" t="s">
        <v>1482</v>
      </c>
      <c r="B1198" s="10" t="s">
        <v>1492</v>
      </c>
      <c r="C1198" s="12">
        <v>45323</v>
      </c>
      <c r="D1198" s="10" t="s">
        <v>289</v>
      </c>
      <c r="E1198" s="10" t="s">
        <v>289</v>
      </c>
      <c r="F1198" s="10">
        <v>5710</v>
      </c>
      <c r="G1198" s="10" t="s">
        <v>15</v>
      </c>
      <c r="H1198" s="10" t="s">
        <v>2406</v>
      </c>
      <c r="I1198" s="10" t="s">
        <v>18</v>
      </c>
      <c r="J1198" s="10" t="s">
        <v>282</v>
      </c>
      <c r="K1198" s="10" t="s">
        <v>283</v>
      </c>
      <c r="L1198" s="10" t="s">
        <v>279</v>
      </c>
      <c r="M1198" s="12"/>
      <c r="N1198" s="10" t="s">
        <v>15</v>
      </c>
      <c r="O1198" s="10" t="s">
        <v>2054</v>
      </c>
      <c r="P1198" s="25" t="str">
        <f>IFERROR(
IF(OR(O1198="anulado",O1198="stand by"),CONCATENATE(O1198,": ",H1198),
IF(OR(YEAR(M1198)=2022,YEAR(M1198)=2023),CONCATENATE("Se activó en ",YEAR(M1198)),
IF(AND(OR(O1198="En proceso",O1198="facturando"),AND(J1198="-",M1198="")),"Por revisar",
IF(M1198="",IF(J1198="NUEVAS",CONCATENATE("Estado: ",O1198,", ",J1198),
IF(L1198=Meses!$A$3,"Por revisar",
IF(H1198="","Sin registro","En programación Frcst."))),"En programación")))),
"Error")</f>
        <v>En programación Frcst.</v>
      </c>
      <c r="Q1198" s="9" t="str">
        <f t="shared" si="54"/>
        <v/>
      </c>
      <c r="R1198" s="25">
        <f>IF(P1198="En programación Frcst.",VLOOKUP(L1198,Meses!$A$1:$H$14,3+HLOOKUP(Cronograma!J1198,Meses!$D$1:$G$2,2,FALSE),FALSE),
IF(P1198="En programación",M1198,""))</f>
        <v>45295</v>
      </c>
      <c r="S1198" s="25" t="str">
        <f t="shared" si="56"/>
        <v>2024/1</v>
      </c>
      <c r="T1198" s="21">
        <f>IFERROR(
(VLOOKUP(MONTH(R1198),Meses!$B$3:$C$14,2,FALSE)-DAY(R1198))/VLOOKUP(MONTH(R1198),Meses!$B$3:$C$14,2,FALSE)*U1198,
"")</f>
        <v>4973.2258064516127</v>
      </c>
      <c r="U1198" s="22">
        <f t="shared" si="55"/>
        <v>5710</v>
      </c>
    </row>
    <row r="1199" spans="1:21" ht="63" hidden="1" thickBot="1" x14ac:dyDescent="0.6">
      <c r="A1199" s="10" t="s">
        <v>1482</v>
      </c>
      <c r="B1199" s="10" t="s">
        <v>1493</v>
      </c>
      <c r="C1199" s="12">
        <v>45358</v>
      </c>
      <c r="D1199" s="10" t="s">
        <v>23</v>
      </c>
      <c r="E1199" s="10" t="s">
        <v>23</v>
      </c>
      <c r="F1199" s="10">
        <v>3475</v>
      </c>
      <c r="G1199" s="10" t="s">
        <v>15</v>
      </c>
      <c r="H1199" s="10" t="s">
        <v>2918</v>
      </c>
      <c r="I1199" s="10" t="s">
        <v>43</v>
      </c>
      <c r="J1199" s="10" t="s">
        <v>143</v>
      </c>
      <c r="K1199" s="10" t="s">
        <v>2895</v>
      </c>
      <c r="L1199" s="10" t="s">
        <v>2292</v>
      </c>
      <c r="M1199" s="12">
        <v>45400</v>
      </c>
      <c r="N1199" s="10" t="s">
        <v>15</v>
      </c>
      <c r="O1199" s="10" t="s">
        <v>2057</v>
      </c>
      <c r="P1199" s="25" t="str">
        <f>IFERROR(
IF(OR(O1199="anulado",O1199="stand by"),CONCATENATE(O1199,": ",H1199),
IF(OR(YEAR(M1199)=2022,YEAR(M1199)=2023),CONCATENATE("Se activó en ",YEAR(M1199)),
IF(AND(OR(O1199="En proceso",O1199="facturando"),AND(J1199="-",M1199="")),"Por revisar",
IF(M1199="",IF(J1199="NUEVAS",CONCATENATE("Estado: ",O1199,", ",J1199),
IF(L1199=Meses!$A$3,"Por revisar",
IF(H1199="","Sin registro","En programación Frcst."))),"En programación")))),
"Error")</f>
        <v>En programación</v>
      </c>
      <c r="Q1199" s="9" t="str">
        <f t="shared" si="54"/>
        <v/>
      </c>
      <c r="R1199" s="25">
        <f>IF(P1199="En programación Frcst.",VLOOKUP(L1199,Meses!$A$1:$H$14,3+HLOOKUP(Cronograma!J1199,Meses!$D$1:$G$2,2,FALSE),FALSE),
IF(P1199="En programación",M1199,""))</f>
        <v>45400</v>
      </c>
      <c r="S1199" s="25" t="str">
        <f t="shared" si="56"/>
        <v>2024/4</v>
      </c>
      <c r="T1199" s="21">
        <f>IFERROR(
(VLOOKUP(MONTH(R1199),Meses!$B$3:$C$14,2,FALSE)-DAY(R1199))/VLOOKUP(MONTH(R1199),Meses!$B$3:$C$14,2,FALSE)*U1199,
"")</f>
        <v>1390</v>
      </c>
      <c r="U1199" s="22">
        <f t="shared" si="55"/>
        <v>3475</v>
      </c>
    </row>
    <row r="1200" spans="1:21" ht="63" hidden="1" thickBot="1" x14ac:dyDescent="0.6">
      <c r="A1200" s="10" t="s">
        <v>1482</v>
      </c>
      <c r="B1200" s="10" t="s">
        <v>1494</v>
      </c>
      <c r="C1200" s="12"/>
      <c r="D1200" s="10" t="s">
        <v>289</v>
      </c>
      <c r="E1200" s="10" t="s">
        <v>23</v>
      </c>
      <c r="F1200" s="10">
        <v>980</v>
      </c>
      <c r="G1200" s="10" t="s">
        <v>15</v>
      </c>
      <c r="H1200" s="10" t="s">
        <v>140</v>
      </c>
      <c r="I1200" s="10" t="s">
        <v>66</v>
      </c>
      <c r="J1200" s="10" t="s">
        <v>19</v>
      </c>
      <c r="K1200" s="10" t="s">
        <v>19</v>
      </c>
      <c r="L1200" s="10" t="s">
        <v>19</v>
      </c>
      <c r="M1200" s="12"/>
      <c r="N1200" s="10" t="s">
        <v>20</v>
      </c>
      <c r="O1200" s="10" t="s">
        <v>2056</v>
      </c>
      <c r="P1200" s="25" t="str">
        <f>IFERROR(
IF(OR(O1200="anulado",O1200="stand by"),CONCATENATE(O1200,": ",H1200),
IF(OR(YEAR(M1200)=2022,YEAR(M1200)=2023),CONCATENATE("Se activó en ",YEAR(M1200)),
IF(AND(OR(O1200="En proceso",O1200="facturando"),AND(J1200="-",M1200="")),"Por revisar",
IF(M1200="",IF(J1200="NUEVAS",CONCATENATE("Estado: ",O1200,", ",J1200),
IF(L1200=Meses!$A$3,"Por revisar",
IF(H1200="","Sin registro","En programación Frcst."))),"En programación")))),
"Error")</f>
        <v>anulado: Desistido</v>
      </c>
      <c r="Q1200" s="9" t="str">
        <f t="shared" si="54"/>
        <v/>
      </c>
      <c r="R1200" s="25" t="str">
        <f>IF(P1200="En programación Frcst.",VLOOKUP(L1200,Meses!$A$1:$H$14,3+HLOOKUP(Cronograma!J1200,Meses!$D$1:$G$2,2,FALSE),FALSE),
IF(P1200="En programación",M1200,""))</f>
        <v/>
      </c>
      <c r="S1200" s="25" t="str">
        <f t="shared" si="56"/>
        <v/>
      </c>
      <c r="T1200" s="21" t="str">
        <f>IFERROR(
(VLOOKUP(MONTH(R1200),Meses!$B$3:$C$14,2,FALSE)-DAY(R1200))/VLOOKUP(MONTH(R1200),Meses!$B$3:$C$14,2,FALSE)*U1200,
"")</f>
        <v/>
      </c>
      <c r="U1200" s="22">
        <f t="shared" si="55"/>
        <v>980</v>
      </c>
    </row>
    <row r="1201" spans="1:21" ht="63" hidden="1" thickBot="1" x14ac:dyDescent="0.6">
      <c r="A1201" s="10" t="s">
        <v>1482</v>
      </c>
      <c r="B1201" s="10" t="s">
        <v>1495</v>
      </c>
      <c r="C1201" s="12">
        <v>45295</v>
      </c>
      <c r="D1201" s="10" t="s">
        <v>1496</v>
      </c>
      <c r="E1201" s="10" t="s">
        <v>14</v>
      </c>
      <c r="F1201" s="10">
        <v>8717</v>
      </c>
      <c r="G1201" s="10" t="s">
        <v>15</v>
      </c>
      <c r="H1201" s="10" t="s">
        <v>17</v>
      </c>
      <c r="I1201" s="10" t="s">
        <v>66</v>
      </c>
      <c r="J1201" s="10" t="s">
        <v>292</v>
      </c>
      <c r="K1201" s="10" t="s">
        <v>945</v>
      </c>
      <c r="L1201" s="10" t="s">
        <v>145</v>
      </c>
      <c r="M1201" s="12"/>
      <c r="N1201" s="10" t="s">
        <v>15</v>
      </c>
      <c r="O1201" s="10" t="s">
        <v>2054</v>
      </c>
      <c r="P1201" s="25" t="str">
        <f>IFERROR(
IF(OR(O1201="anulado",O1201="stand by"),CONCATENATE(O1201,": ",H1201),
IF(OR(YEAR(M1201)=2022,YEAR(M1201)=2023),CONCATENATE("Se activó en ",YEAR(M1201)),
IF(AND(OR(O1201="En proceso",O1201="facturando"),AND(J1201="-",M1201="")),"Por revisar",
IF(M1201="",IF(J1201="NUEVAS",CONCATENATE("Estado: ",O1201,", ",J1201),
IF(L1201=Meses!$A$3,"Por revisar",
IF(H1201="","Sin registro","En programación Frcst."))),"En programación")))),
"Error")</f>
        <v>Por revisar</v>
      </c>
      <c r="Q1201" s="9" t="str">
        <f t="shared" si="54"/>
        <v>programación de act. SI, estado: Facturando, Comercializador: ENERBIT, Etapa: Instalado y Activado</v>
      </c>
      <c r="R1201" s="25" t="str">
        <f>IF(P1201="En programación Frcst.",VLOOKUP(L1201,Meses!$A$1:$H$14,3+HLOOKUP(Cronograma!J1201,Meses!$D$1:$G$2,2,FALSE),FALSE),
IF(P1201="En programación",M1201,""))</f>
        <v/>
      </c>
      <c r="S1201" s="25" t="str">
        <f t="shared" si="56"/>
        <v/>
      </c>
      <c r="T1201" s="21" t="str">
        <f>IFERROR(
(VLOOKUP(MONTH(R1201),Meses!$B$3:$C$14,2,FALSE)-DAY(R1201))/VLOOKUP(MONTH(R1201),Meses!$B$3:$C$14,2,FALSE)*U1201,
"")</f>
        <v/>
      </c>
      <c r="U1201" s="22">
        <f t="shared" si="55"/>
        <v>8717</v>
      </c>
    </row>
    <row r="1202" spans="1:21" ht="63" hidden="1" thickBot="1" x14ac:dyDescent="0.6">
      <c r="A1202" s="10" t="s">
        <v>1482</v>
      </c>
      <c r="B1202" s="10" t="s">
        <v>1497</v>
      </c>
      <c r="C1202" s="12">
        <v>45309</v>
      </c>
      <c r="D1202" s="10" t="s">
        <v>654</v>
      </c>
      <c r="E1202" s="10" t="s">
        <v>14</v>
      </c>
      <c r="F1202" s="10">
        <v>35642</v>
      </c>
      <c r="G1202" s="10" t="s">
        <v>15</v>
      </c>
      <c r="H1202" s="10" t="s">
        <v>17</v>
      </c>
      <c r="I1202" s="10" t="s">
        <v>66</v>
      </c>
      <c r="J1202" s="10" t="s">
        <v>19</v>
      </c>
      <c r="K1202" s="10" t="s">
        <v>19</v>
      </c>
      <c r="L1202" s="10" t="s">
        <v>19</v>
      </c>
      <c r="M1202" s="12"/>
      <c r="N1202" s="10" t="s">
        <v>20</v>
      </c>
      <c r="O1202" s="10" t="s">
        <v>2054</v>
      </c>
      <c r="P1202" s="25" t="str">
        <f>IFERROR(
IF(OR(O1202="anulado",O1202="stand by"),CONCATENATE(O1202,": ",H1202),
IF(OR(YEAR(M1202)=2022,YEAR(M1202)=2023),CONCATENATE("Se activó en ",YEAR(M1202)),
IF(AND(OR(O1202="En proceso",O1202="facturando"),AND(J1202="-",M1202="")),"Por revisar",
IF(M1202="",IF(J1202="NUEVAS",CONCATENATE("Estado: ",O1202,", ",J1202),
IF(L1202=Meses!$A$3,"Por revisar",
IF(H1202="","Sin registro","En programación Frcst."))),"En programación")))),
"Error")</f>
        <v>Por revisar</v>
      </c>
      <c r="Q1202" s="9" t="str">
        <f t="shared" si="54"/>
        <v>programación de act. NO, estado: Facturando, Comercializador: QI ENERGY, Etapa: Instalado y Activado</v>
      </c>
      <c r="R1202" s="25" t="str">
        <f>IF(P1202="En programación Frcst.",VLOOKUP(L1202,Meses!$A$1:$H$14,3+HLOOKUP(Cronograma!J1202,Meses!$D$1:$G$2,2,FALSE),FALSE),
IF(P1202="En programación",M1202,""))</f>
        <v/>
      </c>
      <c r="S1202" s="25" t="str">
        <f t="shared" si="56"/>
        <v/>
      </c>
      <c r="T1202" s="21" t="str">
        <f>IFERROR(
(VLOOKUP(MONTH(R1202),Meses!$B$3:$C$14,2,FALSE)-DAY(R1202))/VLOOKUP(MONTH(R1202),Meses!$B$3:$C$14,2,FALSE)*U1202,
"")</f>
        <v/>
      </c>
      <c r="U1202" s="22">
        <f t="shared" si="55"/>
        <v>35642</v>
      </c>
    </row>
    <row r="1203" spans="1:21" ht="63" hidden="1" thickBot="1" x14ac:dyDescent="0.6">
      <c r="A1203" s="10" t="s">
        <v>1482</v>
      </c>
      <c r="B1203" s="10" t="s">
        <v>1498</v>
      </c>
      <c r="C1203" s="12">
        <v>45246</v>
      </c>
      <c r="D1203" s="10" t="s">
        <v>65</v>
      </c>
      <c r="E1203" s="10" t="s">
        <v>44</v>
      </c>
      <c r="F1203" s="10">
        <v>19418</v>
      </c>
      <c r="G1203" s="10" t="s">
        <v>15</v>
      </c>
      <c r="H1203" s="10" t="s">
        <v>17</v>
      </c>
      <c r="I1203" s="10" t="s">
        <v>66</v>
      </c>
      <c r="J1203" s="10" t="s">
        <v>19</v>
      </c>
      <c r="K1203" s="10" t="s">
        <v>19</v>
      </c>
      <c r="L1203" s="10" t="s">
        <v>19</v>
      </c>
      <c r="M1203" s="12"/>
      <c r="N1203" s="10" t="s">
        <v>20</v>
      </c>
      <c r="O1203" s="10" t="s">
        <v>2054</v>
      </c>
      <c r="P1203" s="25" t="str">
        <f>IFERROR(
IF(OR(O1203="anulado",O1203="stand by"),CONCATENATE(O1203,": ",H1203),
IF(OR(YEAR(M1203)=2022,YEAR(M1203)=2023),CONCATENATE("Se activó en ",YEAR(M1203)),
IF(AND(OR(O1203="En proceso",O1203="facturando"),AND(J1203="-",M1203="")),"Por revisar",
IF(M1203="",IF(J1203="NUEVAS",CONCATENATE("Estado: ",O1203,", ",J1203),
IF(L1203=Meses!$A$3,"Por revisar",
IF(H1203="","Sin registro","En programación Frcst."))),"En programación")))),
"Error")</f>
        <v>Por revisar</v>
      </c>
      <c r="Q1203" s="9" t="str">
        <f t="shared" si="54"/>
        <v>programación de act. NO, estado: Facturando, Comercializador: NEU, Etapa: Instalado y Activado</v>
      </c>
      <c r="R1203" s="25" t="str">
        <f>IF(P1203="En programación Frcst.",VLOOKUP(L1203,Meses!$A$1:$H$14,3+HLOOKUP(Cronograma!J1203,Meses!$D$1:$G$2,2,FALSE),FALSE),
IF(P1203="En programación",M1203,""))</f>
        <v/>
      </c>
      <c r="S1203" s="25" t="str">
        <f t="shared" si="56"/>
        <v/>
      </c>
      <c r="T1203" s="21" t="str">
        <f>IFERROR(
(VLOOKUP(MONTH(R1203),Meses!$B$3:$C$14,2,FALSE)-DAY(R1203))/VLOOKUP(MONTH(R1203),Meses!$B$3:$C$14,2,FALSE)*U1203,
"")</f>
        <v/>
      </c>
      <c r="U1203" s="22">
        <f t="shared" si="55"/>
        <v>19418</v>
      </c>
    </row>
    <row r="1204" spans="1:21" ht="63" hidden="1" thickBot="1" x14ac:dyDescent="0.6">
      <c r="A1204" s="10" t="s">
        <v>1482</v>
      </c>
      <c r="B1204" s="10" t="s">
        <v>1499</v>
      </c>
      <c r="C1204" s="12">
        <v>45295</v>
      </c>
      <c r="D1204" s="10" t="s">
        <v>1496</v>
      </c>
      <c r="E1204" s="10" t="s">
        <v>14</v>
      </c>
      <c r="F1204" s="10">
        <v>9115</v>
      </c>
      <c r="G1204" s="10" t="s">
        <v>15</v>
      </c>
      <c r="H1204" s="10" t="s">
        <v>17</v>
      </c>
      <c r="I1204" s="10" t="s">
        <v>66</v>
      </c>
      <c r="J1204" s="10" t="s">
        <v>292</v>
      </c>
      <c r="K1204" s="10" t="s">
        <v>945</v>
      </c>
      <c r="L1204" s="10" t="s">
        <v>145</v>
      </c>
      <c r="M1204" s="12"/>
      <c r="N1204" s="10" t="s">
        <v>15</v>
      </c>
      <c r="O1204" s="10" t="s">
        <v>2054</v>
      </c>
      <c r="P1204" s="25" t="str">
        <f>IFERROR(
IF(OR(O1204="anulado",O1204="stand by"),CONCATENATE(O1204,": ",H1204),
IF(OR(YEAR(M1204)=2022,YEAR(M1204)=2023),CONCATENATE("Se activó en ",YEAR(M1204)),
IF(AND(OR(O1204="En proceso",O1204="facturando"),AND(J1204="-",M1204="")),"Por revisar",
IF(M1204="",IF(J1204="NUEVAS",CONCATENATE("Estado: ",O1204,", ",J1204),
IF(L1204=Meses!$A$3,"Por revisar",
IF(H1204="","Sin registro","En programación Frcst."))),"En programación")))),
"Error")</f>
        <v>Por revisar</v>
      </c>
      <c r="Q1204" s="9" t="str">
        <f t="shared" si="54"/>
        <v>programación de act. SI, estado: Facturando, Comercializador: ENERBIT, Etapa: Instalado y Activado</v>
      </c>
      <c r="R1204" s="25" t="str">
        <f>IF(P1204="En programación Frcst.",VLOOKUP(L1204,Meses!$A$1:$H$14,3+HLOOKUP(Cronograma!J1204,Meses!$D$1:$G$2,2,FALSE),FALSE),
IF(P1204="En programación",M1204,""))</f>
        <v/>
      </c>
      <c r="S1204" s="25" t="str">
        <f t="shared" si="56"/>
        <v/>
      </c>
      <c r="T1204" s="21" t="str">
        <f>IFERROR(
(VLOOKUP(MONTH(R1204),Meses!$B$3:$C$14,2,FALSE)-DAY(R1204))/VLOOKUP(MONTH(R1204),Meses!$B$3:$C$14,2,FALSE)*U1204,
"")</f>
        <v/>
      </c>
      <c r="U1204" s="22">
        <f t="shared" si="55"/>
        <v>9115</v>
      </c>
    </row>
    <row r="1205" spans="1:21" ht="63" hidden="1" thickBot="1" x14ac:dyDescent="0.6">
      <c r="A1205" s="10" t="s">
        <v>1482</v>
      </c>
      <c r="B1205" s="10" t="s">
        <v>1500</v>
      </c>
      <c r="C1205" s="12">
        <v>45295</v>
      </c>
      <c r="D1205" s="10" t="s">
        <v>1496</v>
      </c>
      <c r="E1205" s="10" t="s">
        <v>14</v>
      </c>
      <c r="F1205" s="10">
        <v>5514</v>
      </c>
      <c r="G1205" s="10" t="s">
        <v>15</v>
      </c>
      <c r="H1205" s="10" t="s">
        <v>17</v>
      </c>
      <c r="I1205" s="10" t="s">
        <v>66</v>
      </c>
      <c r="J1205" s="10" t="s">
        <v>292</v>
      </c>
      <c r="K1205" s="10" t="s">
        <v>945</v>
      </c>
      <c r="L1205" s="10" t="s">
        <v>145</v>
      </c>
      <c r="M1205" s="12"/>
      <c r="N1205" s="10" t="s">
        <v>15</v>
      </c>
      <c r="O1205" s="10" t="s">
        <v>2054</v>
      </c>
      <c r="P1205" s="25" t="str">
        <f>IFERROR(
IF(OR(O1205="anulado",O1205="stand by"),CONCATENATE(O1205,": ",H1205),
IF(OR(YEAR(M1205)=2022,YEAR(M1205)=2023),CONCATENATE("Se activó en ",YEAR(M1205)),
IF(AND(OR(O1205="En proceso",O1205="facturando"),AND(J1205="-",M1205="")),"Por revisar",
IF(M1205="",IF(J1205="NUEVAS",CONCATENATE("Estado: ",O1205,", ",J1205),
IF(L1205=Meses!$A$3,"Por revisar",
IF(H1205="","Sin registro","En programación Frcst."))),"En programación")))),
"Error")</f>
        <v>Por revisar</v>
      </c>
      <c r="Q1205" s="9" t="str">
        <f t="shared" si="54"/>
        <v>programación de act. SI, estado: Facturando, Comercializador: ENERBIT, Etapa: Instalado y Activado</v>
      </c>
      <c r="R1205" s="25" t="str">
        <f>IF(P1205="En programación Frcst.",VLOOKUP(L1205,Meses!$A$1:$H$14,3+HLOOKUP(Cronograma!J1205,Meses!$D$1:$G$2,2,FALSE),FALSE),
IF(P1205="En programación",M1205,""))</f>
        <v/>
      </c>
      <c r="S1205" s="25" t="str">
        <f t="shared" si="56"/>
        <v/>
      </c>
      <c r="T1205" s="21" t="str">
        <f>IFERROR(
(VLOOKUP(MONTH(R1205),Meses!$B$3:$C$14,2,FALSE)-DAY(R1205))/VLOOKUP(MONTH(R1205),Meses!$B$3:$C$14,2,FALSE)*U1205,
"")</f>
        <v/>
      </c>
      <c r="U1205" s="22">
        <f t="shared" si="55"/>
        <v>5514</v>
      </c>
    </row>
    <row r="1206" spans="1:21" ht="63" hidden="1" thickBot="1" x14ac:dyDescent="0.6">
      <c r="A1206" s="10" t="s">
        <v>1482</v>
      </c>
      <c r="B1206" s="10" t="s">
        <v>1501</v>
      </c>
      <c r="C1206" s="12">
        <v>45295</v>
      </c>
      <c r="D1206" s="10" t="s">
        <v>1496</v>
      </c>
      <c r="E1206" s="10" t="s">
        <v>14</v>
      </c>
      <c r="F1206" s="10">
        <v>8388</v>
      </c>
      <c r="G1206" s="10" t="s">
        <v>15</v>
      </c>
      <c r="H1206" s="10" t="s">
        <v>17</v>
      </c>
      <c r="I1206" s="10" t="s">
        <v>66</v>
      </c>
      <c r="J1206" s="10" t="s">
        <v>292</v>
      </c>
      <c r="K1206" s="10" t="s">
        <v>945</v>
      </c>
      <c r="L1206" s="10" t="s">
        <v>145</v>
      </c>
      <c r="M1206" s="12"/>
      <c r="N1206" s="10" t="s">
        <v>15</v>
      </c>
      <c r="O1206" s="10" t="s">
        <v>2054</v>
      </c>
      <c r="P1206" s="25" t="str">
        <f>IFERROR(
IF(OR(O1206="anulado",O1206="stand by"),CONCATENATE(O1206,": ",H1206),
IF(OR(YEAR(M1206)=2022,YEAR(M1206)=2023),CONCATENATE("Se activó en ",YEAR(M1206)),
IF(AND(OR(O1206="En proceso",O1206="facturando"),AND(J1206="-",M1206="")),"Por revisar",
IF(M1206="",IF(J1206="NUEVAS",CONCATENATE("Estado: ",O1206,", ",J1206),
IF(L1206=Meses!$A$3,"Por revisar",
IF(H1206="","Sin registro","En programación Frcst."))),"En programación")))),
"Error")</f>
        <v>Por revisar</v>
      </c>
      <c r="Q1206" s="9" t="str">
        <f t="shared" si="54"/>
        <v>programación de act. SI, estado: Facturando, Comercializador: ENERBIT, Etapa: Instalado y Activado</v>
      </c>
      <c r="R1206" s="25" t="str">
        <f>IF(P1206="En programación Frcst.",VLOOKUP(L1206,Meses!$A$1:$H$14,3+HLOOKUP(Cronograma!J1206,Meses!$D$1:$G$2,2,FALSE),FALSE),
IF(P1206="En programación",M1206,""))</f>
        <v/>
      </c>
      <c r="S1206" s="25" t="str">
        <f t="shared" si="56"/>
        <v/>
      </c>
      <c r="T1206" s="21" t="str">
        <f>IFERROR(
(VLOOKUP(MONTH(R1206),Meses!$B$3:$C$14,2,FALSE)-DAY(R1206))/VLOOKUP(MONTH(R1206),Meses!$B$3:$C$14,2,FALSE)*U1206,
"")</f>
        <v/>
      </c>
      <c r="U1206" s="22">
        <f t="shared" si="55"/>
        <v>8388</v>
      </c>
    </row>
    <row r="1207" spans="1:21" ht="63" hidden="1" thickBot="1" x14ac:dyDescent="0.6">
      <c r="A1207" s="10" t="s">
        <v>1482</v>
      </c>
      <c r="B1207" s="10" t="s">
        <v>1502</v>
      </c>
      <c r="C1207" s="12">
        <v>45295</v>
      </c>
      <c r="D1207" s="10" t="s">
        <v>1496</v>
      </c>
      <c r="E1207" s="10" t="s">
        <v>14</v>
      </c>
      <c r="F1207" s="10">
        <v>8257</v>
      </c>
      <c r="G1207" s="10" t="s">
        <v>15</v>
      </c>
      <c r="H1207" s="10" t="s">
        <v>17</v>
      </c>
      <c r="I1207" s="10" t="s">
        <v>66</v>
      </c>
      <c r="J1207" s="10" t="s">
        <v>292</v>
      </c>
      <c r="K1207" s="10" t="s">
        <v>945</v>
      </c>
      <c r="L1207" s="10" t="s">
        <v>145</v>
      </c>
      <c r="M1207" s="12"/>
      <c r="N1207" s="10" t="s">
        <v>15</v>
      </c>
      <c r="O1207" s="10" t="s">
        <v>2054</v>
      </c>
      <c r="P1207" s="25" t="str">
        <f>IFERROR(
IF(OR(O1207="anulado",O1207="stand by"),CONCATENATE(O1207,": ",H1207),
IF(OR(YEAR(M1207)=2022,YEAR(M1207)=2023),CONCATENATE("Se activó en ",YEAR(M1207)),
IF(AND(OR(O1207="En proceso",O1207="facturando"),AND(J1207="-",M1207="")),"Por revisar",
IF(M1207="",IF(J1207="NUEVAS",CONCATENATE("Estado: ",O1207,", ",J1207),
IF(L1207=Meses!$A$3,"Por revisar",
IF(H1207="","Sin registro","En programación Frcst."))),"En programación")))),
"Error")</f>
        <v>Por revisar</v>
      </c>
      <c r="Q1207" s="9" t="str">
        <f t="shared" si="54"/>
        <v>programación de act. SI, estado: Facturando, Comercializador: ENERBIT, Etapa: Instalado y Activado</v>
      </c>
      <c r="R1207" s="25" t="str">
        <f>IF(P1207="En programación Frcst.",VLOOKUP(L1207,Meses!$A$1:$H$14,3+HLOOKUP(Cronograma!J1207,Meses!$D$1:$G$2,2,FALSE),FALSE),
IF(P1207="En programación",M1207,""))</f>
        <v/>
      </c>
      <c r="S1207" s="25" t="str">
        <f t="shared" si="56"/>
        <v/>
      </c>
      <c r="T1207" s="21" t="str">
        <f>IFERROR(
(VLOOKUP(MONTH(R1207),Meses!$B$3:$C$14,2,FALSE)-DAY(R1207))/VLOOKUP(MONTH(R1207),Meses!$B$3:$C$14,2,FALSE)*U1207,
"")</f>
        <v/>
      </c>
      <c r="U1207" s="22">
        <f t="shared" si="55"/>
        <v>8257</v>
      </c>
    </row>
    <row r="1208" spans="1:21" ht="63" hidden="1" thickBot="1" x14ac:dyDescent="0.6">
      <c r="A1208" s="10" t="s">
        <v>1482</v>
      </c>
      <c r="B1208" s="10" t="s">
        <v>1503</v>
      </c>
      <c r="C1208" s="12">
        <v>45295</v>
      </c>
      <c r="D1208" s="10" t="s">
        <v>1496</v>
      </c>
      <c r="E1208" s="10" t="s">
        <v>14</v>
      </c>
      <c r="F1208" s="10">
        <v>7360</v>
      </c>
      <c r="G1208" s="10" t="s">
        <v>15</v>
      </c>
      <c r="H1208" s="10" t="s">
        <v>17</v>
      </c>
      <c r="I1208" s="10" t="s">
        <v>66</v>
      </c>
      <c r="J1208" s="10" t="s">
        <v>292</v>
      </c>
      <c r="K1208" s="10" t="s">
        <v>945</v>
      </c>
      <c r="L1208" s="10" t="s">
        <v>145</v>
      </c>
      <c r="M1208" s="12"/>
      <c r="N1208" s="10" t="s">
        <v>15</v>
      </c>
      <c r="O1208" s="10" t="s">
        <v>2054</v>
      </c>
      <c r="P1208" s="25" t="str">
        <f>IFERROR(
IF(OR(O1208="anulado",O1208="stand by"),CONCATENATE(O1208,": ",H1208),
IF(OR(YEAR(M1208)=2022,YEAR(M1208)=2023),CONCATENATE("Se activó en ",YEAR(M1208)),
IF(AND(OR(O1208="En proceso",O1208="facturando"),AND(J1208="-",M1208="")),"Por revisar",
IF(M1208="",IF(J1208="NUEVAS",CONCATENATE("Estado: ",O1208,", ",J1208),
IF(L1208=Meses!$A$3,"Por revisar",
IF(H1208="","Sin registro","En programación Frcst."))),"En programación")))),
"Error")</f>
        <v>Por revisar</v>
      </c>
      <c r="Q1208" s="9" t="str">
        <f t="shared" si="54"/>
        <v>programación de act. SI, estado: Facturando, Comercializador: ENERBIT, Etapa: Instalado y Activado</v>
      </c>
      <c r="R1208" s="25" t="str">
        <f>IF(P1208="En programación Frcst.",VLOOKUP(L1208,Meses!$A$1:$H$14,3+HLOOKUP(Cronograma!J1208,Meses!$D$1:$G$2,2,FALSE),FALSE),
IF(P1208="En programación",M1208,""))</f>
        <v/>
      </c>
      <c r="S1208" s="25" t="str">
        <f t="shared" si="56"/>
        <v/>
      </c>
      <c r="T1208" s="21" t="str">
        <f>IFERROR(
(VLOOKUP(MONTH(R1208),Meses!$B$3:$C$14,2,FALSE)-DAY(R1208))/VLOOKUP(MONTH(R1208),Meses!$B$3:$C$14,2,FALSE)*U1208,
"")</f>
        <v/>
      </c>
      <c r="U1208" s="22">
        <f t="shared" si="55"/>
        <v>7360</v>
      </c>
    </row>
    <row r="1209" spans="1:21" ht="63" hidden="1" thickBot="1" x14ac:dyDescent="0.6">
      <c r="A1209" s="10" t="s">
        <v>1482</v>
      </c>
      <c r="B1209" s="10" t="s">
        <v>1504</v>
      </c>
      <c r="C1209" s="12">
        <v>45295</v>
      </c>
      <c r="D1209" s="10" t="s">
        <v>1496</v>
      </c>
      <c r="E1209" s="10" t="s">
        <v>14</v>
      </c>
      <c r="F1209" s="10">
        <v>4273</v>
      </c>
      <c r="G1209" s="10" t="s">
        <v>15</v>
      </c>
      <c r="H1209" s="10" t="s">
        <v>17</v>
      </c>
      <c r="I1209" s="10" t="s">
        <v>66</v>
      </c>
      <c r="J1209" s="10" t="s">
        <v>292</v>
      </c>
      <c r="K1209" s="10" t="s">
        <v>945</v>
      </c>
      <c r="L1209" s="10" t="s">
        <v>145</v>
      </c>
      <c r="M1209" s="12"/>
      <c r="N1209" s="10" t="s">
        <v>15</v>
      </c>
      <c r="O1209" s="10" t="s">
        <v>2054</v>
      </c>
      <c r="P1209" s="25" t="str">
        <f>IFERROR(
IF(OR(O1209="anulado",O1209="stand by"),CONCATENATE(O1209,": ",H1209),
IF(OR(YEAR(M1209)=2022,YEAR(M1209)=2023),CONCATENATE("Se activó en ",YEAR(M1209)),
IF(AND(OR(O1209="En proceso",O1209="facturando"),AND(J1209="-",M1209="")),"Por revisar",
IF(M1209="",IF(J1209="NUEVAS",CONCATENATE("Estado: ",O1209,", ",J1209),
IF(L1209=Meses!$A$3,"Por revisar",
IF(H1209="","Sin registro","En programación Frcst."))),"En programación")))),
"Error")</f>
        <v>Por revisar</v>
      </c>
      <c r="Q1209" s="9" t="str">
        <f t="shared" si="54"/>
        <v>programación de act. SI, estado: Facturando, Comercializador: ENERBIT, Etapa: Instalado y Activado</v>
      </c>
      <c r="R1209" s="25" t="str">
        <f>IF(P1209="En programación Frcst.",VLOOKUP(L1209,Meses!$A$1:$H$14,3+HLOOKUP(Cronograma!J1209,Meses!$D$1:$G$2,2,FALSE),FALSE),
IF(P1209="En programación",M1209,""))</f>
        <v/>
      </c>
      <c r="S1209" s="25" t="str">
        <f t="shared" si="56"/>
        <v/>
      </c>
      <c r="T1209" s="21" t="str">
        <f>IFERROR(
(VLOOKUP(MONTH(R1209),Meses!$B$3:$C$14,2,FALSE)-DAY(R1209))/VLOOKUP(MONTH(R1209),Meses!$B$3:$C$14,2,FALSE)*U1209,
"")</f>
        <v/>
      </c>
      <c r="U1209" s="22">
        <f t="shared" si="55"/>
        <v>4273</v>
      </c>
    </row>
    <row r="1210" spans="1:21" ht="63" hidden="1" thickBot="1" x14ac:dyDescent="0.6">
      <c r="A1210" s="10" t="s">
        <v>1482</v>
      </c>
      <c r="B1210" s="10" t="s">
        <v>1505</v>
      </c>
      <c r="C1210" s="12"/>
      <c r="D1210" s="10" t="s">
        <v>1496</v>
      </c>
      <c r="E1210" s="10" t="s">
        <v>14</v>
      </c>
      <c r="F1210" s="10">
        <v>6959</v>
      </c>
      <c r="G1210" s="10" t="s">
        <v>15</v>
      </c>
      <c r="H1210" s="10" t="s">
        <v>2916</v>
      </c>
      <c r="I1210" s="10" t="s">
        <v>66</v>
      </c>
      <c r="J1210" s="10" t="s">
        <v>292</v>
      </c>
      <c r="K1210" s="10" t="s">
        <v>1697</v>
      </c>
      <c r="L1210" s="10" t="s">
        <v>1120</v>
      </c>
      <c r="M1210" s="12">
        <v>45379</v>
      </c>
      <c r="N1210" s="10" t="s">
        <v>15</v>
      </c>
      <c r="O1210" s="10" t="s">
        <v>2057</v>
      </c>
      <c r="P1210" s="25" t="str">
        <f>IFERROR(
IF(OR(O1210="anulado",O1210="stand by"),CONCATENATE(O1210,": ",H1210),
IF(OR(YEAR(M1210)=2022,YEAR(M1210)=2023),CONCATENATE("Se activó en ",YEAR(M1210)),
IF(AND(OR(O1210="En proceso",O1210="facturando"),AND(J1210="-",M1210="")),"Por revisar",
IF(M1210="",IF(J1210="NUEVAS",CONCATENATE("Estado: ",O1210,", ",J1210),
IF(L1210=Meses!$A$3,"Por revisar",
IF(H1210="","Sin registro","En programación Frcst."))),"En programación")))),
"Error")</f>
        <v>En programación</v>
      </c>
      <c r="Q1210" s="9" t="str">
        <f t="shared" si="54"/>
        <v/>
      </c>
      <c r="R1210" s="25">
        <f>IF(P1210="En programación Frcst.",VLOOKUP(L1210,Meses!$A$1:$H$14,3+HLOOKUP(Cronograma!J1210,Meses!$D$1:$G$2,2,FALSE),FALSE),
IF(P1210="En programación",M1210,""))</f>
        <v>45379</v>
      </c>
      <c r="S1210" s="25" t="str">
        <f t="shared" si="56"/>
        <v>2024/3</v>
      </c>
      <c r="T1210" s="21">
        <f>IFERROR(
(VLOOKUP(MONTH(R1210),Meses!$B$3:$C$14,2,FALSE)-DAY(R1210))/VLOOKUP(MONTH(R1210),Meses!$B$3:$C$14,2,FALSE)*U1210,
"")</f>
        <v>673.45161290322574</v>
      </c>
      <c r="U1210" s="22">
        <f t="shared" si="55"/>
        <v>6959</v>
      </c>
    </row>
    <row r="1211" spans="1:21" ht="63" hidden="1" thickBot="1" x14ac:dyDescent="0.6">
      <c r="A1211" s="10" t="s">
        <v>1482</v>
      </c>
      <c r="B1211" s="10" t="s">
        <v>1506</v>
      </c>
      <c r="C1211" s="12">
        <v>45295</v>
      </c>
      <c r="D1211" s="10" t="s">
        <v>1496</v>
      </c>
      <c r="E1211" s="10" t="s">
        <v>14</v>
      </c>
      <c r="F1211" s="10">
        <v>6579</v>
      </c>
      <c r="G1211" s="10" t="s">
        <v>15</v>
      </c>
      <c r="H1211" s="10" t="s">
        <v>17</v>
      </c>
      <c r="I1211" s="10" t="s">
        <v>66</v>
      </c>
      <c r="J1211" s="10" t="s">
        <v>292</v>
      </c>
      <c r="K1211" s="10" t="s">
        <v>945</v>
      </c>
      <c r="L1211" s="10" t="s">
        <v>145</v>
      </c>
      <c r="M1211" s="12"/>
      <c r="N1211" s="10" t="s">
        <v>15</v>
      </c>
      <c r="O1211" s="10" t="s">
        <v>2054</v>
      </c>
      <c r="P1211" s="25" t="str">
        <f>IFERROR(
IF(OR(O1211="anulado",O1211="stand by"),CONCATENATE(O1211,": ",H1211),
IF(OR(YEAR(M1211)=2022,YEAR(M1211)=2023),CONCATENATE("Se activó en ",YEAR(M1211)),
IF(AND(OR(O1211="En proceso",O1211="facturando"),AND(J1211="-",M1211="")),"Por revisar",
IF(M1211="",IF(J1211="NUEVAS",CONCATENATE("Estado: ",O1211,", ",J1211),
IF(L1211=Meses!$A$3,"Por revisar",
IF(H1211="","Sin registro","En programación Frcst."))),"En programación")))),
"Error")</f>
        <v>Por revisar</v>
      </c>
      <c r="Q1211" s="9" t="str">
        <f t="shared" si="54"/>
        <v>programación de act. SI, estado: Facturando, Comercializador: ENERBIT, Etapa: Instalado y Activado</v>
      </c>
      <c r="R1211" s="25" t="str">
        <f>IF(P1211="En programación Frcst.",VLOOKUP(L1211,Meses!$A$1:$H$14,3+HLOOKUP(Cronograma!J1211,Meses!$D$1:$G$2,2,FALSE),FALSE),
IF(P1211="En programación",M1211,""))</f>
        <v/>
      </c>
      <c r="S1211" s="25" t="str">
        <f t="shared" si="56"/>
        <v/>
      </c>
      <c r="T1211" s="21" t="str">
        <f>IFERROR(
(VLOOKUP(MONTH(R1211),Meses!$B$3:$C$14,2,FALSE)-DAY(R1211))/VLOOKUP(MONTH(R1211),Meses!$B$3:$C$14,2,FALSE)*U1211,
"")</f>
        <v/>
      </c>
      <c r="U1211" s="22">
        <f t="shared" si="55"/>
        <v>6579</v>
      </c>
    </row>
    <row r="1212" spans="1:21" ht="63" hidden="1" thickBot="1" x14ac:dyDescent="0.6">
      <c r="A1212" s="10" t="s">
        <v>1482</v>
      </c>
      <c r="B1212" s="10" t="s">
        <v>1507</v>
      </c>
      <c r="C1212" s="12">
        <v>45295</v>
      </c>
      <c r="D1212" s="10" t="s">
        <v>1496</v>
      </c>
      <c r="E1212" s="10" t="s">
        <v>14</v>
      </c>
      <c r="F1212" s="10">
        <v>6152</v>
      </c>
      <c r="G1212" s="10" t="s">
        <v>15</v>
      </c>
      <c r="H1212" s="10" t="s">
        <v>17</v>
      </c>
      <c r="I1212" s="10" t="s">
        <v>66</v>
      </c>
      <c r="J1212" s="10" t="s">
        <v>292</v>
      </c>
      <c r="K1212" s="10" t="s">
        <v>945</v>
      </c>
      <c r="L1212" s="10" t="s">
        <v>145</v>
      </c>
      <c r="M1212" s="12"/>
      <c r="N1212" s="10" t="s">
        <v>15</v>
      </c>
      <c r="O1212" s="10" t="s">
        <v>2054</v>
      </c>
      <c r="P1212" s="25" t="str">
        <f>IFERROR(
IF(OR(O1212="anulado",O1212="stand by"),CONCATENATE(O1212,": ",H1212),
IF(OR(YEAR(M1212)=2022,YEAR(M1212)=2023),CONCATENATE("Se activó en ",YEAR(M1212)),
IF(AND(OR(O1212="En proceso",O1212="facturando"),AND(J1212="-",M1212="")),"Por revisar",
IF(M1212="",IF(J1212="NUEVAS",CONCATENATE("Estado: ",O1212,", ",J1212),
IF(L1212=Meses!$A$3,"Por revisar",
IF(H1212="","Sin registro","En programación Frcst."))),"En programación")))),
"Error")</f>
        <v>Por revisar</v>
      </c>
      <c r="Q1212" s="9" t="str">
        <f t="shared" si="54"/>
        <v>programación de act. SI, estado: Facturando, Comercializador: ENERBIT, Etapa: Instalado y Activado</v>
      </c>
      <c r="R1212" s="25" t="str">
        <f>IF(P1212="En programación Frcst.",VLOOKUP(L1212,Meses!$A$1:$H$14,3+HLOOKUP(Cronograma!J1212,Meses!$D$1:$G$2,2,FALSE),FALSE),
IF(P1212="En programación",M1212,""))</f>
        <v/>
      </c>
      <c r="S1212" s="25" t="str">
        <f t="shared" si="56"/>
        <v/>
      </c>
      <c r="T1212" s="21" t="str">
        <f>IFERROR(
(VLOOKUP(MONTH(R1212),Meses!$B$3:$C$14,2,FALSE)-DAY(R1212))/VLOOKUP(MONTH(R1212),Meses!$B$3:$C$14,2,FALSE)*U1212,
"")</f>
        <v/>
      </c>
      <c r="U1212" s="22">
        <f t="shared" si="55"/>
        <v>6152</v>
      </c>
    </row>
    <row r="1213" spans="1:21" ht="63" hidden="1" thickBot="1" x14ac:dyDescent="0.6">
      <c r="A1213" s="10" t="s">
        <v>1482</v>
      </c>
      <c r="B1213" s="10" t="s">
        <v>1508</v>
      </c>
      <c r="C1213" s="12"/>
      <c r="D1213" s="10" t="s">
        <v>654</v>
      </c>
      <c r="E1213" s="10" t="s">
        <v>23</v>
      </c>
      <c r="F1213" s="10">
        <v>578</v>
      </c>
      <c r="G1213" s="10" t="s">
        <v>15</v>
      </c>
      <c r="H1213" s="10" t="s">
        <v>140</v>
      </c>
      <c r="I1213" s="10" t="s">
        <v>66</v>
      </c>
      <c r="J1213" s="10" t="s">
        <v>19</v>
      </c>
      <c r="K1213" s="10" t="s">
        <v>19</v>
      </c>
      <c r="L1213" s="10" t="s">
        <v>19</v>
      </c>
      <c r="M1213" s="12"/>
      <c r="N1213" s="10" t="s">
        <v>20</v>
      </c>
      <c r="O1213" s="10" t="s">
        <v>2056</v>
      </c>
      <c r="P1213" s="25" t="str">
        <f>IFERROR(
IF(OR(O1213="anulado",O1213="stand by"),CONCATENATE(O1213,": ",H1213),
IF(OR(YEAR(M1213)=2022,YEAR(M1213)=2023),CONCATENATE("Se activó en ",YEAR(M1213)),
IF(AND(OR(O1213="En proceso",O1213="facturando"),AND(J1213="-",M1213="")),"Por revisar",
IF(M1213="",IF(J1213="NUEVAS",CONCATENATE("Estado: ",O1213,", ",J1213),
IF(L1213=Meses!$A$3,"Por revisar",
IF(H1213="","Sin registro","En programación Frcst."))),"En programación")))),
"Error")</f>
        <v>anulado: Desistido</v>
      </c>
      <c r="Q1213" s="9" t="str">
        <f t="shared" si="54"/>
        <v/>
      </c>
      <c r="R1213" s="25" t="str">
        <f>IF(P1213="En programación Frcst.",VLOOKUP(L1213,Meses!$A$1:$H$14,3+HLOOKUP(Cronograma!J1213,Meses!$D$1:$G$2,2,FALSE),FALSE),
IF(P1213="En programación",M1213,""))</f>
        <v/>
      </c>
      <c r="S1213" s="25" t="str">
        <f t="shared" si="56"/>
        <v/>
      </c>
      <c r="T1213" s="21" t="str">
        <f>IFERROR(
(VLOOKUP(MONTH(R1213),Meses!$B$3:$C$14,2,FALSE)-DAY(R1213))/VLOOKUP(MONTH(R1213),Meses!$B$3:$C$14,2,FALSE)*U1213,
"")</f>
        <v/>
      </c>
      <c r="U1213" s="22">
        <f t="shared" si="55"/>
        <v>578</v>
      </c>
    </row>
    <row r="1214" spans="1:21" ht="63" hidden="1" thickBot="1" x14ac:dyDescent="0.6">
      <c r="A1214" s="10" t="s">
        <v>1482</v>
      </c>
      <c r="B1214" s="10" t="s">
        <v>1509</v>
      </c>
      <c r="C1214" s="12">
        <v>45295</v>
      </c>
      <c r="D1214" s="10" t="s">
        <v>1496</v>
      </c>
      <c r="E1214" s="10" t="s">
        <v>14</v>
      </c>
      <c r="F1214" s="10">
        <v>4031</v>
      </c>
      <c r="G1214" s="10" t="s">
        <v>15</v>
      </c>
      <c r="H1214" s="10" t="s">
        <v>17</v>
      </c>
      <c r="I1214" s="10" t="s">
        <v>66</v>
      </c>
      <c r="J1214" s="10" t="s">
        <v>292</v>
      </c>
      <c r="K1214" s="10" t="s">
        <v>945</v>
      </c>
      <c r="L1214" s="10" t="s">
        <v>145</v>
      </c>
      <c r="M1214" s="12"/>
      <c r="N1214" s="10" t="s">
        <v>15</v>
      </c>
      <c r="O1214" s="10" t="s">
        <v>2054</v>
      </c>
      <c r="P1214" s="25" t="str">
        <f>IFERROR(
IF(OR(O1214="anulado",O1214="stand by"),CONCATENATE(O1214,": ",H1214),
IF(OR(YEAR(M1214)=2022,YEAR(M1214)=2023),CONCATENATE("Se activó en ",YEAR(M1214)),
IF(AND(OR(O1214="En proceso",O1214="facturando"),AND(J1214="-",M1214="")),"Por revisar",
IF(M1214="",IF(J1214="NUEVAS",CONCATENATE("Estado: ",O1214,", ",J1214),
IF(L1214=Meses!$A$3,"Por revisar",
IF(H1214="","Sin registro","En programación Frcst."))),"En programación")))),
"Error")</f>
        <v>Por revisar</v>
      </c>
      <c r="Q1214" s="9" t="str">
        <f t="shared" si="54"/>
        <v>programación de act. SI, estado: Facturando, Comercializador: ENERBIT, Etapa: Instalado y Activado</v>
      </c>
      <c r="R1214" s="25" t="str">
        <f>IF(P1214="En programación Frcst.",VLOOKUP(L1214,Meses!$A$1:$H$14,3+HLOOKUP(Cronograma!J1214,Meses!$D$1:$G$2,2,FALSE),FALSE),
IF(P1214="En programación",M1214,""))</f>
        <v/>
      </c>
      <c r="S1214" s="25" t="str">
        <f t="shared" si="56"/>
        <v/>
      </c>
      <c r="T1214" s="21" t="str">
        <f>IFERROR(
(VLOOKUP(MONTH(R1214),Meses!$B$3:$C$14,2,FALSE)-DAY(R1214))/VLOOKUP(MONTH(R1214),Meses!$B$3:$C$14,2,FALSE)*U1214,
"")</f>
        <v/>
      </c>
      <c r="U1214" s="22">
        <f t="shared" si="55"/>
        <v>4031</v>
      </c>
    </row>
    <row r="1215" spans="1:21" ht="63" hidden="1" thickBot="1" x14ac:dyDescent="0.6">
      <c r="A1215" s="10" t="s">
        <v>1482</v>
      </c>
      <c r="B1215" s="10" t="s">
        <v>1510</v>
      </c>
      <c r="C1215" s="12">
        <v>45295</v>
      </c>
      <c r="D1215" s="10" t="s">
        <v>1496</v>
      </c>
      <c r="E1215" s="10" t="s">
        <v>14</v>
      </c>
      <c r="F1215" s="10">
        <v>6296</v>
      </c>
      <c r="G1215" s="10" t="s">
        <v>15</v>
      </c>
      <c r="H1215" s="10" t="s">
        <v>2406</v>
      </c>
      <c r="I1215" s="10" t="s">
        <v>66</v>
      </c>
      <c r="J1215" s="10" t="s">
        <v>292</v>
      </c>
      <c r="K1215" s="10" t="s">
        <v>945</v>
      </c>
      <c r="L1215" s="10" t="s">
        <v>145</v>
      </c>
      <c r="M1215" s="12"/>
      <c r="N1215" s="10" t="s">
        <v>15</v>
      </c>
      <c r="O1215" s="10" t="s">
        <v>2054</v>
      </c>
      <c r="P1215" s="25" t="str">
        <f>IFERROR(
IF(OR(O1215="anulado",O1215="stand by"),CONCATENATE(O1215,": ",H1215),
IF(OR(YEAR(M1215)=2022,YEAR(M1215)=2023),CONCATENATE("Se activó en ",YEAR(M1215)),
IF(AND(OR(O1215="En proceso",O1215="facturando"),AND(J1215="-",M1215="")),"Por revisar",
IF(M1215="",IF(J1215="NUEVAS",CONCATENATE("Estado: ",O1215,", ",J1215),
IF(L1215=Meses!$A$3,"Por revisar",
IF(H1215="","Sin registro","En programación Frcst."))),"En programación")))),
"Error")</f>
        <v>Por revisar</v>
      </c>
      <c r="Q1215" s="9" t="str">
        <f t="shared" si="54"/>
        <v>programación de act. SI, estado: Facturando, Comercializador: ENERBIT, Etapa:  Activo Pendiente Instalación</v>
      </c>
      <c r="R1215" s="25" t="str">
        <f>IF(P1215="En programación Frcst.",VLOOKUP(L1215,Meses!$A$1:$H$14,3+HLOOKUP(Cronograma!J1215,Meses!$D$1:$G$2,2,FALSE),FALSE),
IF(P1215="En programación",M1215,""))</f>
        <v/>
      </c>
      <c r="S1215" s="25" t="str">
        <f t="shared" si="56"/>
        <v/>
      </c>
      <c r="T1215" s="21" t="str">
        <f>IFERROR(
(VLOOKUP(MONTH(R1215),Meses!$B$3:$C$14,2,FALSE)-DAY(R1215))/VLOOKUP(MONTH(R1215),Meses!$B$3:$C$14,2,FALSE)*U1215,
"")</f>
        <v/>
      </c>
      <c r="U1215" s="22">
        <f t="shared" si="55"/>
        <v>6296</v>
      </c>
    </row>
    <row r="1216" spans="1:21" ht="63" hidden="1" thickBot="1" x14ac:dyDescent="0.6">
      <c r="A1216" s="10" t="s">
        <v>1482</v>
      </c>
      <c r="B1216" s="10" t="s">
        <v>1511</v>
      </c>
      <c r="C1216" s="12"/>
      <c r="D1216" s="10" t="s">
        <v>654</v>
      </c>
      <c r="E1216" s="10" t="s">
        <v>23</v>
      </c>
      <c r="F1216" s="10">
        <v>5239</v>
      </c>
      <c r="G1216" s="10" t="s">
        <v>15</v>
      </c>
      <c r="H1216" s="10" t="s">
        <v>140</v>
      </c>
      <c r="I1216" s="10" t="s">
        <v>66</v>
      </c>
      <c r="J1216" s="10" t="s">
        <v>19</v>
      </c>
      <c r="K1216" s="10" t="s">
        <v>19</v>
      </c>
      <c r="L1216" s="10" t="s">
        <v>19</v>
      </c>
      <c r="M1216" s="12"/>
      <c r="N1216" s="10" t="s">
        <v>20</v>
      </c>
      <c r="O1216" s="10" t="s">
        <v>2056</v>
      </c>
      <c r="P1216" s="25" t="str">
        <f>IFERROR(
IF(OR(O1216="anulado",O1216="stand by"),CONCATENATE(O1216,": ",H1216),
IF(OR(YEAR(M1216)=2022,YEAR(M1216)=2023),CONCATENATE("Se activó en ",YEAR(M1216)),
IF(AND(OR(O1216="En proceso",O1216="facturando"),AND(J1216="-",M1216="")),"Por revisar",
IF(M1216="",IF(J1216="NUEVAS",CONCATENATE("Estado: ",O1216,", ",J1216),
IF(L1216=Meses!$A$3,"Por revisar",
IF(H1216="","Sin registro","En programación Frcst."))),"En programación")))),
"Error")</f>
        <v>anulado: Desistido</v>
      </c>
      <c r="Q1216" s="9" t="str">
        <f t="shared" si="54"/>
        <v/>
      </c>
      <c r="R1216" s="25" t="str">
        <f>IF(P1216="En programación Frcst.",VLOOKUP(L1216,Meses!$A$1:$H$14,3+HLOOKUP(Cronograma!J1216,Meses!$D$1:$G$2,2,FALSE),FALSE),
IF(P1216="En programación",M1216,""))</f>
        <v/>
      </c>
      <c r="S1216" s="25" t="str">
        <f t="shared" si="56"/>
        <v/>
      </c>
      <c r="T1216" s="21" t="str">
        <f>IFERROR(
(VLOOKUP(MONTH(R1216),Meses!$B$3:$C$14,2,FALSE)-DAY(R1216))/VLOOKUP(MONTH(R1216),Meses!$B$3:$C$14,2,FALSE)*U1216,
"")</f>
        <v/>
      </c>
      <c r="U1216" s="22">
        <f t="shared" si="55"/>
        <v>5239</v>
      </c>
    </row>
    <row r="1217" spans="1:21" ht="63" hidden="1" thickBot="1" x14ac:dyDescent="0.6">
      <c r="A1217" s="10" t="s">
        <v>1482</v>
      </c>
      <c r="B1217" s="10" t="s">
        <v>1512</v>
      </c>
      <c r="C1217" s="12">
        <v>45295</v>
      </c>
      <c r="D1217" s="10" t="s">
        <v>1496</v>
      </c>
      <c r="E1217" s="10" t="s">
        <v>14</v>
      </c>
      <c r="F1217" s="10">
        <v>4903</v>
      </c>
      <c r="G1217" s="10" t="s">
        <v>15</v>
      </c>
      <c r="H1217" s="10" t="s">
        <v>17</v>
      </c>
      <c r="I1217" s="10" t="s">
        <v>66</v>
      </c>
      <c r="J1217" s="10" t="s">
        <v>292</v>
      </c>
      <c r="K1217" s="10" t="s">
        <v>945</v>
      </c>
      <c r="L1217" s="10" t="s">
        <v>145</v>
      </c>
      <c r="M1217" s="12"/>
      <c r="N1217" s="10" t="s">
        <v>15</v>
      </c>
      <c r="O1217" s="10" t="s">
        <v>2054</v>
      </c>
      <c r="P1217" s="25" t="str">
        <f>IFERROR(
IF(OR(O1217="anulado",O1217="stand by"),CONCATENATE(O1217,": ",H1217),
IF(OR(YEAR(M1217)=2022,YEAR(M1217)=2023),CONCATENATE("Se activó en ",YEAR(M1217)),
IF(AND(OR(O1217="En proceso",O1217="facturando"),AND(J1217="-",M1217="")),"Por revisar",
IF(M1217="",IF(J1217="NUEVAS",CONCATENATE("Estado: ",O1217,", ",J1217),
IF(L1217=Meses!$A$3,"Por revisar",
IF(H1217="","Sin registro","En programación Frcst."))),"En programación")))),
"Error")</f>
        <v>Por revisar</v>
      </c>
      <c r="Q1217" s="9" t="str">
        <f t="shared" si="54"/>
        <v>programación de act. SI, estado: Facturando, Comercializador: ENERBIT, Etapa: Instalado y Activado</v>
      </c>
      <c r="R1217" s="25" t="str">
        <f>IF(P1217="En programación Frcst.",VLOOKUP(L1217,Meses!$A$1:$H$14,3+HLOOKUP(Cronograma!J1217,Meses!$D$1:$G$2,2,FALSE),FALSE),
IF(P1217="En programación",M1217,""))</f>
        <v/>
      </c>
      <c r="S1217" s="25" t="str">
        <f t="shared" si="56"/>
        <v/>
      </c>
      <c r="T1217" s="21" t="str">
        <f>IFERROR(
(VLOOKUP(MONTH(R1217),Meses!$B$3:$C$14,2,FALSE)-DAY(R1217))/VLOOKUP(MONTH(R1217),Meses!$B$3:$C$14,2,FALSE)*U1217,
"")</f>
        <v/>
      </c>
      <c r="U1217" s="22">
        <f t="shared" si="55"/>
        <v>4903</v>
      </c>
    </row>
    <row r="1218" spans="1:21" ht="63" hidden="1" thickBot="1" x14ac:dyDescent="0.6">
      <c r="A1218" s="10" t="s">
        <v>1482</v>
      </c>
      <c r="B1218" s="10" t="s">
        <v>1513</v>
      </c>
      <c r="C1218" s="12">
        <v>45295</v>
      </c>
      <c r="D1218" s="10" t="s">
        <v>1496</v>
      </c>
      <c r="E1218" s="10" t="s">
        <v>14</v>
      </c>
      <c r="F1218" s="10">
        <v>6810</v>
      </c>
      <c r="G1218" s="10" t="s">
        <v>15</v>
      </c>
      <c r="H1218" s="10" t="s">
        <v>17</v>
      </c>
      <c r="I1218" s="10" t="s">
        <v>66</v>
      </c>
      <c r="J1218" s="10" t="s">
        <v>292</v>
      </c>
      <c r="K1218" s="10" t="s">
        <v>945</v>
      </c>
      <c r="L1218" s="10" t="s">
        <v>145</v>
      </c>
      <c r="M1218" s="12"/>
      <c r="N1218" s="10" t="s">
        <v>15</v>
      </c>
      <c r="O1218" s="10" t="s">
        <v>2054</v>
      </c>
      <c r="P1218" s="25" t="str">
        <f>IFERROR(
IF(OR(O1218="anulado",O1218="stand by"),CONCATENATE(O1218,": ",H1218),
IF(OR(YEAR(M1218)=2022,YEAR(M1218)=2023),CONCATENATE("Se activó en ",YEAR(M1218)),
IF(AND(OR(O1218="En proceso",O1218="facturando"),AND(J1218="-",M1218="")),"Por revisar",
IF(M1218="",IF(J1218="NUEVAS",CONCATENATE("Estado: ",O1218,", ",J1218),
IF(L1218=Meses!$A$3,"Por revisar",
IF(H1218="","Sin registro","En programación Frcst."))),"En programación")))),
"Error")</f>
        <v>Por revisar</v>
      </c>
      <c r="Q1218" s="9" t="str">
        <f t="shared" ref="Q1218:Q1281" si="57">IF(P1218="Por revisar",CONCATENATE("programación de act. ",N1218,", estado: ",O1218,", Comercializador: ",D1218,", Etapa: ",H1218),"")</f>
        <v>programación de act. SI, estado: Facturando, Comercializador: ENERBIT, Etapa: Instalado y Activado</v>
      </c>
      <c r="R1218" s="25" t="str">
        <f>IF(P1218="En programación Frcst.",VLOOKUP(L1218,Meses!$A$1:$H$14,3+HLOOKUP(Cronograma!J1218,Meses!$D$1:$G$2,2,FALSE),FALSE),
IF(P1218="En programación",M1218,""))</f>
        <v/>
      </c>
      <c r="S1218" s="25" t="str">
        <f t="shared" si="56"/>
        <v/>
      </c>
      <c r="T1218" s="21" t="str">
        <f>IFERROR(
(VLOOKUP(MONTH(R1218),Meses!$B$3:$C$14,2,FALSE)-DAY(R1218))/VLOOKUP(MONTH(R1218),Meses!$B$3:$C$14,2,FALSE)*U1218,
"")</f>
        <v/>
      </c>
      <c r="U1218" s="22">
        <f t="shared" ref="U1218:U1281" si="58">F1218</f>
        <v>6810</v>
      </c>
    </row>
    <row r="1219" spans="1:21" ht="63" hidden="1" thickBot="1" x14ac:dyDescent="0.6">
      <c r="A1219" s="10" t="s">
        <v>1482</v>
      </c>
      <c r="B1219" s="10" t="s">
        <v>1514</v>
      </c>
      <c r="C1219" s="12">
        <v>45295</v>
      </c>
      <c r="D1219" s="10" t="s">
        <v>1496</v>
      </c>
      <c r="E1219" s="10" t="s">
        <v>14</v>
      </c>
      <c r="F1219" s="10">
        <v>6480</v>
      </c>
      <c r="G1219" s="10" t="s">
        <v>15</v>
      </c>
      <c r="H1219" s="10" t="s">
        <v>17</v>
      </c>
      <c r="I1219" s="10" t="s">
        <v>66</v>
      </c>
      <c r="J1219" s="10" t="s">
        <v>292</v>
      </c>
      <c r="K1219" s="10" t="s">
        <v>945</v>
      </c>
      <c r="L1219" s="10" t="s">
        <v>145</v>
      </c>
      <c r="M1219" s="12"/>
      <c r="N1219" s="10" t="s">
        <v>15</v>
      </c>
      <c r="O1219" s="10" t="s">
        <v>2054</v>
      </c>
      <c r="P1219" s="25" t="str">
        <f>IFERROR(
IF(OR(O1219="anulado",O1219="stand by"),CONCATENATE(O1219,": ",H1219),
IF(OR(YEAR(M1219)=2022,YEAR(M1219)=2023),CONCATENATE("Se activó en ",YEAR(M1219)),
IF(AND(OR(O1219="En proceso",O1219="facturando"),AND(J1219="-",M1219="")),"Por revisar",
IF(M1219="",IF(J1219="NUEVAS",CONCATENATE("Estado: ",O1219,", ",J1219),
IF(L1219=Meses!$A$3,"Por revisar",
IF(H1219="","Sin registro","En programación Frcst."))),"En programación")))),
"Error")</f>
        <v>Por revisar</v>
      </c>
      <c r="Q1219" s="9" t="str">
        <f t="shared" si="57"/>
        <v>programación de act. SI, estado: Facturando, Comercializador: ENERBIT, Etapa: Instalado y Activado</v>
      </c>
      <c r="R1219" s="25" t="str">
        <f>IF(P1219="En programación Frcst.",VLOOKUP(L1219,Meses!$A$1:$H$14,3+HLOOKUP(Cronograma!J1219,Meses!$D$1:$G$2,2,FALSE),FALSE),
IF(P1219="En programación",M1219,""))</f>
        <v/>
      </c>
      <c r="S1219" s="25" t="str">
        <f t="shared" ref="S1219:S1282" si="59">IFERROR(CONCATENATE(YEAR(R1219),"/",MONTH(R1219)),"")</f>
        <v/>
      </c>
      <c r="T1219" s="21" t="str">
        <f>IFERROR(
(VLOOKUP(MONTH(R1219),Meses!$B$3:$C$14,2,FALSE)-DAY(R1219))/VLOOKUP(MONTH(R1219),Meses!$B$3:$C$14,2,FALSE)*U1219,
"")</f>
        <v/>
      </c>
      <c r="U1219" s="22">
        <f t="shared" si="58"/>
        <v>6480</v>
      </c>
    </row>
    <row r="1220" spans="1:21" ht="31.8" hidden="1" thickBot="1" x14ac:dyDescent="0.6">
      <c r="A1220" s="10" t="s">
        <v>1515</v>
      </c>
      <c r="B1220" s="10" t="s">
        <v>1516</v>
      </c>
      <c r="C1220" s="12"/>
      <c r="D1220" s="10" t="s">
        <v>291</v>
      </c>
      <c r="E1220" s="10" t="s">
        <v>291</v>
      </c>
      <c r="F1220" s="10">
        <v>17520</v>
      </c>
      <c r="G1220" s="10" t="s">
        <v>15</v>
      </c>
      <c r="H1220" s="10" t="s">
        <v>140</v>
      </c>
      <c r="I1220" s="10" t="s">
        <v>43</v>
      </c>
      <c r="J1220" s="10" t="s">
        <v>19</v>
      </c>
      <c r="K1220" s="10" t="s">
        <v>19</v>
      </c>
      <c r="L1220" s="10" t="s">
        <v>19</v>
      </c>
      <c r="M1220" s="12"/>
      <c r="N1220" s="10" t="s">
        <v>20</v>
      </c>
      <c r="O1220" s="10" t="s">
        <v>2056</v>
      </c>
      <c r="P1220" s="25" t="str">
        <f>IFERROR(
IF(OR(O1220="anulado",O1220="stand by"),CONCATENATE(O1220,": ",H1220),
IF(OR(YEAR(M1220)=2022,YEAR(M1220)=2023),CONCATENATE("Se activó en ",YEAR(M1220)),
IF(AND(OR(O1220="En proceso",O1220="facturando"),AND(J1220="-",M1220="")),"Por revisar",
IF(M1220="",IF(J1220="NUEVAS",CONCATENATE("Estado: ",O1220,", ",J1220),
IF(L1220=Meses!$A$3,"Por revisar",
IF(H1220="","Sin registro","En programación Frcst."))),"En programación")))),
"Error")</f>
        <v>anulado: Desistido</v>
      </c>
      <c r="Q1220" s="9" t="str">
        <f t="shared" si="57"/>
        <v/>
      </c>
      <c r="R1220" s="25" t="str">
        <f>IF(P1220="En programación Frcst.",VLOOKUP(L1220,Meses!$A$1:$H$14,3+HLOOKUP(Cronograma!J1220,Meses!$D$1:$G$2,2,FALSE),FALSE),
IF(P1220="En programación",M1220,""))</f>
        <v/>
      </c>
      <c r="S1220" s="25" t="str">
        <f t="shared" si="59"/>
        <v/>
      </c>
      <c r="T1220" s="21" t="str">
        <f>IFERROR(
(VLOOKUP(MONTH(R1220),Meses!$B$3:$C$14,2,FALSE)-DAY(R1220))/VLOOKUP(MONTH(R1220),Meses!$B$3:$C$14,2,FALSE)*U1220,
"")</f>
        <v/>
      </c>
      <c r="U1220" s="22">
        <f t="shared" si="58"/>
        <v>17520</v>
      </c>
    </row>
    <row r="1221" spans="1:21" ht="31.8" hidden="1" thickBot="1" x14ac:dyDescent="0.6">
      <c r="A1221" s="10" t="s">
        <v>1515</v>
      </c>
      <c r="B1221" s="10" t="s">
        <v>1517</v>
      </c>
      <c r="C1221" s="12"/>
      <c r="D1221" s="10" t="s">
        <v>1249</v>
      </c>
      <c r="E1221" s="10" t="s">
        <v>289</v>
      </c>
      <c r="F1221" s="10">
        <v>14058</v>
      </c>
      <c r="G1221" s="10" t="s">
        <v>15</v>
      </c>
      <c r="H1221" s="10" t="s">
        <v>140</v>
      </c>
      <c r="I1221" s="10" t="s">
        <v>66</v>
      </c>
      <c r="J1221" s="10" t="s">
        <v>19</v>
      </c>
      <c r="K1221" s="10" t="s">
        <v>19</v>
      </c>
      <c r="L1221" s="10" t="s">
        <v>19</v>
      </c>
      <c r="M1221" s="12"/>
      <c r="N1221" s="10" t="s">
        <v>20</v>
      </c>
      <c r="O1221" s="10" t="s">
        <v>2056</v>
      </c>
      <c r="P1221" s="25" t="str">
        <f>IFERROR(
IF(OR(O1221="anulado",O1221="stand by"),CONCATENATE(O1221,": ",H1221),
IF(OR(YEAR(M1221)=2022,YEAR(M1221)=2023),CONCATENATE("Se activó en ",YEAR(M1221)),
IF(AND(OR(O1221="En proceso",O1221="facturando"),AND(J1221="-",M1221="")),"Por revisar",
IF(M1221="",IF(J1221="NUEVAS",CONCATENATE("Estado: ",O1221,", ",J1221),
IF(L1221=Meses!$A$3,"Por revisar",
IF(H1221="","Sin registro","En programación Frcst."))),"En programación")))),
"Error")</f>
        <v>anulado: Desistido</v>
      </c>
      <c r="Q1221" s="9" t="str">
        <f t="shared" si="57"/>
        <v/>
      </c>
      <c r="R1221" s="25" t="str">
        <f>IF(P1221="En programación Frcst.",VLOOKUP(L1221,Meses!$A$1:$H$14,3+HLOOKUP(Cronograma!J1221,Meses!$D$1:$G$2,2,FALSE),FALSE),
IF(P1221="En programación",M1221,""))</f>
        <v/>
      </c>
      <c r="S1221" s="25" t="str">
        <f t="shared" si="59"/>
        <v/>
      </c>
      <c r="T1221" s="21" t="str">
        <f>IFERROR(
(VLOOKUP(MONTH(R1221),Meses!$B$3:$C$14,2,FALSE)-DAY(R1221))/VLOOKUP(MONTH(R1221),Meses!$B$3:$C$14,2,FALSE)*U1221,
"")</f>
        <v/>
      </c>
      <c r="U1221" s="22">
        <f t="shared" si="58"/>
        <v>14058</v>
      </c>
    </row>
    <row r="1222" spans="1:21" ht="31.8" hidden="1" thickBot="1" x14ac:dyDescent="0.6">
      <c r="A1222" s="10" t="s">
        <v>1515</v>
      </c>
      <c r="B1222" s="10" t="s">
        <v>1518</v>
      </c>
      <c r="C1222" s="12"/>
      <c r="D1222" s="10" t="s">
        <v>1249</v>
      </c>
      <c r="E1222" s="10" t="s">
        <v>657</v>
      </c>
      <c r="F1222" s="10">
        <v>10337</v>
      </c>
      <c r="G1222" s="10" t="s">
        <v>15</v>
      </c>
      <c r="H1222" s="10" t="s">
        <v>140</v>
      </c>
      <c r="I1222" s="10" t="s">
        <v>66</v>
      </c>
      <c r="J1222" s="10" t="s">
        <v>19</v>
      </c>
      <c r="K1222" s="10" t="s">
        <v>19</v>
      </c>
      <c r="L1222" s="10" t="s">
        <v>19</v>
      </c>
      <c r="M1222" s="12"/>
      <c r="N1222" s="10" t="s">
        <v>20</v>
      </c>
      <c r="O1222" s="10" t="s">
        <v>2056</v>
      </c>
      <c r="P1222" s="25" t="str">
        <f>IFERROR(
IF(OR(O1222="anulado",O1222="stand by"),CONCATENATE(O1222,": ",H1222),
IF(OR(YEAR(M1222)=2022,YEAR(M1222)=2023),CONCATENATE("Se activó en ",YEAR(M1222)),
IF(AND(OR(O1222="En proceso",O1222="facturando"),AND(J1222="-",M1222="")),"Por revisar",
IF(M1222="",IF(J1222="NUEVAS",CONCATENATE("Estado: ",O1222,", ",J1222),
IF(L1222=Meses!$A$3,"Por revisar",
IF(H1222="","Sin registro","En programación Frcst."))),"En programación")))),
"Error")</f>
        <v>anulado: Desistido</v>
      </c>
      <c r="Q1222" s="9" t="str">
        <f t="shared" si="57"/>
        <v/>
      </c>
      <c r="R1222" s="25" t="str">
        <f>IF(P1222="En programación Frcst.",VLOOKUP(L1222,Meses!$A$1:$H$14,3+HLOOKUP(Cronograma!J1222,Meses!$D$1:$G$2,2,FALSE),FALSE),
IF(P1222="En programación",M1222,""))</f>
        <v/>
      </c>
      <c r="S1222" s="25" t="str">
        <f t="shared" si="59"/>
        <v/>
      </c>
      <c r="T1222" s="21" t="str">
        <f>IFERROR(
(VLOOKUP(MONTH(R1222),Meses!$B$3:$C$14,2,FALSE)-DAY(R1222))/VLOOKUP(MONTH(R1222),Meses!$B$3:$C$14,2,FALSE)*U1222,
"")</f>
        <v/>
      </c>
      <c r="U1222" s="22">
        <f t="shared" si="58"/>
        <v>10337</v>
      </c>
    </row>
    <row r="1223" spans="1:21" ht="31.8" hidden="1" thickBot="1" x14ac:dyDescent="0.6">
      <c r="A1223" s="10" t="s">
        <v>1515</v>
      </c>
      <c r="B1223" s="10" t="s">
        <v>1519</v>
      </c>
      <c r="C1223" s="12"/>
      <c r="D1223" s="10" t="s">
        <v>1249</v>
      </c>
      <c r="E1223" s="10" t="s">
        <v>14</v>
      </c>
      <c r="F1223" s="10">
        <v>10420</v>
      </c>
      <c r="G1223" s="10" t="s">
        <v>15</v>
      </c>
      <c r="H1223" s="10" t="s">
        <v>140</v>
      </c>
      <c r="I1223" s="10" t="s">
        <v>66</v>
      </c>
      <c r="J1223" s="10" t="s">
        <v>19</v>
      </c>
      <c r="K1223" s="10" t="s">
        <v>19</v>
      </c>
      <c r="L1223" s="10" t="s">
        <v>19</v>
      </c>
      <c r="M1223" s="12"/>
      <c r="N1223" s="10" t="s">
        <v>20</v>
      </c>
      <c r="O1223" s="10" t="s">
        <v>2056</v>
      </c>
      <c r="P1223" s="25" t="str">
        <f>IFERROR(
IF(OR(O1223="anulado",O1223="stand by"),CONCATENATE(O1223,": ",H1223),
IF(OR(YEAR(M1223)=2022,YEAR(M1223)=2023),CONCATENATE("Se activó en ",YEAR(M1223)),
IF(AND(OR(O1223="En proceso",O1223="facturando"),AND(J1223="-",M1223="")),"Por revisar",
IF(M1223="",IF(J1223="NUEVAS",CONCATENATE("Estado: ",O1223,", ",J1223),
IF(L1223=Meses!$A$3,"Por revisar",
IF(H1223="","Sin registro","En programación Frcst."))),"En programación")))),
"Error")</f>
        <v>anulado: Desistido</v>
      </c>
      <c r="Q1223" s="9" t="str">
        <f t="shared" si="57"/>
        <v/>
      </c>
      <c r="R1223" s="25" t="str">
        <f>IF(P1223="En programación Frcst.",VLOOKUP(L1223,Meses!$A$1:$H$14,3+HLOOKUP(Cronograma!J1223,Meses!$D$1:$G$2,2,FALSE),FALSE),
IF(P1223="En programación",M1223,""))</f>
        <v/>
      </c>
      <c r="S1223" s="25" t="str">
        <f t="shared" si="59"/>
        <v/>
      </c>
      <c r="T1223" s="21" t="str">
        <f>IFERROR(
(VLOOKUP(MONTH(R1223),Meses!$B$3:$C$14,2,FALSE)-DAY(R1223))/VLOOKUP(MONTH(R1223),Meses!$B$3:$C$14,2,FALSE)*U1223,
"")</f>
        <v/>
      </c>
      <c r="U1223" s="22">
        <f t="shared" si="58"/>
        <v>10420</v>
      </c>
    </row>
    <row r="1224" spans="1:21" ht="63" hidden="1" thickBot="1" x14ac:dyDescent="0.6">
      <c r="A1224" s="10" t="s">
        <v>1520</v>
      </c>
      <c r="B1224" s="10" t="s">
        <v>1521</v>
      </c>
      <c r="C1224" s="12"/>
      <c r="D1224" s="10" t="s">
        <v>287</v>
      </c>
      <c r="E1224" s="10" t="s">
        <v>287</v>
      </c>
      <c r="F1224" s="10">
        <v>17860</v>
      </c>
      <c r="G1224" s="10" t="s">
        <v>15</v>
      </c>
      <c r="H1224" s="10" t="s">
        <v>140</v>
      </c>
      <c r="I1224" s="10" t="s">
        <v>43</v>
      </c>
      <c r="J1224" s="10" t="s">
        <v>19</v>
      </c>
      <c r="K1224" s="10" t="s">
        <v>19</v>
      </c>
      <c r="L1224" s="10" t="s">
        <v>19</v>
      </c>
      <c r="M1224" s="12"/>
      <c r="N1224" s="10" t="s">
        <v>20</v>
      </c>
      <c r="O1224" s="10" t="s">
        <v>2056</v>
      </c>
      <c r="P1224" s="25" t="str">
        <f>IFERROR(
IF(OR(O1224="anulado",O1224="stand by"),CONCATENATE(O1224,": ",H1224),
IF(OR(YEAR(M1224)=2022,YEAR(M1224)=2023),CONCATENATE("Se activó en ",YEAR(M1224)),
IF(AND(OR(O1224="En proceso",O1224="facturando"),AND(J1224="-",M1224="")),"Por revisar",
IF(M1224="",IF(J1224="NUEVAS",CONCATENATE("Estado: ",O1224,", ",J1224),
IF(L1224=Meses!$A$3,"Por revisar",
IF(H1224="","Sin registro","En programación Frcst."))),"En programación")))),
"Error")</f>
        <v>anulado: Desistido</v>
      </c>
      <c r="Q1224" s="9" t="str">
        <f t="shared" si="57"/>
        <v/>
      </c>
      <c r="R1224" s="25" t="str">
        <f>IF(P1224="En programación Frcst.",VLOOKUP(L1224,Meses!$A$1:$H$14,3+HLOOKUP(Cronograma!J1224,Meses!$D$1:$G$2,2,FALSE),FALSE),
IF(P1224="En programación",M1224,""))</f>
        <v/>
      </c>
      <c r="S1224" s="25" t="str">
        <f t="shared" si="59"/>
        <v/>
      </c>
      <c r="T1224" s="21" t="str">
        <f>IFERROR(
(VLOOKUP(MONTH(R1224),Meses!$B$3:$C$14,2,FALSE)-DAY(R1224))/VLOOKUP(MONTH(R1224),Meses!$B$3:$C$14,2,FALSE)*U1224,
"")</f>
        <v/>
      </c>
      <c r="U1224" s="22">
        <f t="shared" si="58"/>
        <v>17860</v>
      </c>
    </row>
    <row r="1225" spans="1:21" ht="63" hidden="1" thickBot="1" x14ac:dyDescent="0.6">
      <c r="A1225" s="10" t="s">
        <v>1520</v>
      </c>
      <c r="B1225" s="10" t="s">
        <v>1522</v>
      </c>
      <c r="C1225" s="12"/>
      <c r="D1225" s="10" t="s">
        <v>74</v>
      </c>
      <c r="E1225" s="10" t="s">
        <v>74</v>
      </c>
      <c r="F1225" s="10">
        <v>6637</v>
      </c>
      <c r="G1225" s="10" t="s">
        <v>15</v>
      </c>
      <c r="H1225" s="10" t="s">
        <v>140</v>
      </c>
      <c r="I1225" s="10" t="s">
        <v>43</v>
      </c>
      <c r="J1225" s="10" t="s">
        <v>19</v>
      </c>
      <c r="K1225" s="10" t="s">
        <v>19</v>
      </c>
      <c r="L1225" s="10" t="s">
        <v>19</v>
      </c>
      <c r="M1225" s="12"/>
      <c r="N1225" s="10" t="s">
        <v>20</v>
      </c>
      <c r="O1225" s="10" t="s">
        <v>2056</v>
      </c>
      <c r="P1225" s="25" t="str">
        <f>IFERROR(
IF(OR(O1225="anulado",O1225="stand by"),CONCATENATE(O1225,": ",H1225),
IF(OR(YEAR(M1225)=2022,YEAR(M1225)=2023),CONCATENATE("Se activó en ",YEAR(M1225)),
IF(AND(OR(O1225="En proceso",O1225="facturando"),AND(J1225="-",M1225="")),"Por revisar",
IF(M1225="",IF(J1225="NUEVAS",CONCATENATE("Estado: ",O1225,", ",J1225),
IF(L1225=Meses!$A$3,"Por revisar",
IF(H1225="","Sin registro","En programación Frcst."))),"En programación")))),
"Error")</f>
        <v>anulado: Desistido</v>
      </c>
      <c r="Q1225" s="9" t="str">
        <f t="shared" si="57"/>
        <v/>
      </c>
      <c r="R1225" s="25" t="str">
        <f>IF(P1225="En programación Frcst.",VLOOKUP(L1225,Meses!$A$1:$H$14,3+HLOOKUP(Cronograma!J1225,Meses!$D$1:$G$2,2,FALSE),FALSE),
IF(P1225="En programación",M1225,""))</f>
        <v/>
      </c>
      <c r="S1225" s="25" t="str">
        <f t="shared" si="59"/>
        <v/>
      </c>
      <c r="T1225" s="21" t="str">
        <f>IFERROR(
(VLOOKUP(MONTH(R1225),Meses!$B$3:$C$14,2,FALSE)-DAY(R1225))/VLOOKUP(MONTH(R1225),Meses!$B$3:$C$14,2,FALSE)*U1225,
"")</f>
        <v/>
      </c>
      <c r="U1225" s="22">
        <f t="shared" si="58"/>
        <v>6637</v>
      </c>
    </row>
    <row r="1226" spans="1:21" ht="63" hidden="1" thickBot="1" x14ac:dyDescent="0.6">
      <c r="A1226" s="10" t="s">
        <v>1520</v>
      </c>
      <c r="B1226" s="10" t="s">
        <v>1523</v>
      </c>
      <c r="C1226" s="12"/>
      <c r="D1226" s="10" t="s">
        <v>74</v>
      </c>
      <c r="E1226" s="10" t="s">
        <v>74</v>
      </c>
      <c r="F1226" s="10">
        <v>2689</v>
      </c>
      <c r="G1226" s="10" t="s">
        <v>15</v>
      </c>
      <c r="H1226" s="10" t="s">
        <v>140</v>
      </c>
      <c r="I1226" s="10" t="s">
        <v>43</v>
      </c>
      <c r="J1226" s="10" t="s">
        <v>19</v>
      </c>
      <c r="K1226" s="10" t="s">
        <v>19</v>
      </c>
      <c r="L1226" s="10" t="s">
        <v>19</v>
      </c>
      <c r="M1226" s="12"/>
      <c r="N1226" s="10" t="s">
        <v>20</v>
      </c>
      <c r="O1226" s="10" t="s">
        <v>2056</v>
      </c>
      <c r="P1226" s="25" t="str">
        <f>IFERROR(
IF(OR(O1226="anulado",O1226="stand by"),CONCATENATE(O1226,": ",H1226),
IF(OR(YEAR(M1226)=2022,YEAR(M1226)=2023),CONCATENATE("Se activó en ",YEAR(M1226)),
IF(AND(OR(O1226="En proceso",O1226="facturando"),AND(J1226="-",M1226="")),"Por revisar",
IF(M1226="",IF(J1226="NUEVAS",CONCATENATE("Estado: ",O1226,", ",J1226),
IF(L1226=Meses!$A$3,"Por revisar",
IF(H1226="","Sin registro","En programación Frcst."))),"En programación")))),
"Error")</f>
        <v>anulado: Desistido</v>
      </c>
      <c r="Q1226" s="9" t="str">
        <f t="shared" si="57"/>
        <v/>
      </c>
      <c r="R1226" s="25" t="str">
        <f>IF(P1226="En programación Frcst.",VLOOKUP(L1226,Meses!$A$1:$H$14,3+HLOOKUP(Cronograma!J1226,Meses!$D$1:$G$2,2,FALSE),FALSE),
IF(P1226="En programación",M1226,""))</f>
        <v/>
      </c>
      <c r="S1226" s="25" t="str">
        <f t="shared" si="59"/>
        <v/>
      </c>
      <c r="T1226" s="21" t="str">
        <f>IFERROR(
(VLOOKUP(MONTH(R1226),Meses!$B$3:$C$14,2,FALSE)-DAY(R1226))/VLOOKUP(MONTH(R1226),Meses!$B$3:$C$14,2,FALSE)*U1226,
"")</f>
        <v/>
      </c>
      <c r="U1226" s="22">
        <f t="shared" si="58"/>
        <v>2689</v>
      </c>
    </row>
    <row r="1227" spans="1:21" ht="63" hidden="1" thickBot="1" x14ac:dyDescent="0.6">
      <c r="A1227" s="10" t="s">
        <v>1520</v>
      </c>
      <c r="B1227" s="10" t="s">
        <v>1524</v>
      </c>
      <c r="C1227" s="12"/>
      <c r="D1227" s="10" t="s">
        <v>74</v>
      </c>
      <c r="E1227" s="10" t="s">
        <v>74</v>
      </c>
      <c r="F1227" s="10">
        <v>1793</v>
      </c>
      <c r="G1227" s="10" t="s">
        <v>15</v>
      </c>
      <c r="H1227" s="10" t="s">
        <v>140</v>
      </c>
      <c r="I1227" s="10" t="s">
        <v>43</v>
      </c>
      <c r="J1227" s="10" t="s">
        <v>19</v>
      </c>
      <c r="K1227" s="10" t="s">
        <v>19</v>
      </c>
      <c r="L1227" s="10" t="s">
        <v>19</v>
      </c>
      <c r="M1227" s="12"/>
      <c r="N1227" s="10" t="s">
        <v>20</v>
      </c>
      <c r="O1227" s="10" t="s">
        <v>2056</v>
      </c>
      <c r="P1227" s="25" t="str">
        <f>IFERROR(
IF(OR(O1227="anulado",O1227="stand by"),CONCATENATE(O1227,": ",H1227),
IF(OR(YEAR(M1227)=2022,YEAR(M1227)=2023),CONCATENATE("Se activó en ",YEAR(M1227)),
IF(AND(OR(O1227="En proceso",O1227="facturando"),AND(J1227="-",M1227="")),"Por revisar",
IF(M1227="",IF(J1227="NUEVAS",CONCATENATE("Estado: ",O1227,", ",J1227),
IF(L1227=Meses!$A$3,"Por revisar",
IF(H1227="","Sin registro","En programación Frcst."))),"En programación")))),
"Error")</f>
        <v>anulado: Desistido</v>
      </c>
      <c r="Q1227" s="9" t="str">
        <f t="shared" si="57"/>
        <v/>
      </c>
      <c r="R1227" s="25" t="str">
        <f>IF(P1227="En programación Frcst.",VLOOKUP(L1227,Meses!$A$1:$H$14,3+HLOOKUP(Cronograma!J1227,Meses!$D$1:$G$2,2,FALSE),FALSE),
IF(P1227="En programación",M1227,""))</f>
        <v/>
      </c>
      <c r="S1227" s="25" t="str">
        <f t="shared" si="59"/>
        <v/>
      </c>
      <c r="T1227" s="21" t="str">
        <f>IFERROR(
(VLOOKUP(MONTH(R1227),Meses!$B$3:$C$14,2,FALSE)-DAY(R1227))/VLOOKUP(MONTH(R1227),Meses!$B$3:$C$14,2,FALSE)*U1227,
"")</f>
        <v/>
      </c>
      <c r="U1227" s="22">
        <f t="shared" si="58"/>
        <v>1793</v>
      </c>
    </row>
    <row r="1228" spans="1:21" ht="63" hidden="1" thickBot="1" x14ac:dyDescent="0.6">
      <c r="A1228" s="10" t="s">
        <v>1520</v>
      </c>
      <c r="B1228" s="10" t="s">
        <v>1525</v>
      </c>
      <c r="C1228" s="12"/>
      <c r="D1228" s="10" t="s">
        <v>23</v>
      </c>
      <c r="E1228" s="10" t="s">
        <v>23</v>
      </c>
      <c r="F1228" s="10">
        <v>10040</v>
      </c>
      <c r="G1228" s="10" t="s">
        <v>15</v>
      </c>
      <c r="H1228" s="10" t="s">
        <v>140</v>
      </c>
      <c r="I1228" s="10" t="s">
        <v>43</v>
      </c>
      <c r="J1228" s="10" t="s">
        <v>143</v>
      </c>
      <c r="K1228" s="10" t="s">
        <v>2895</v>
      </c>
      <c r="L1228" s="10" t="s">
        <v>2292</v>
      </c>
      <c r="M1228" s="12">
        <v>45400</v>
      </c>
      <c r="N1228" s="10" t="s">
        <v>15</v>
      </c>
      <c r="O1228" s="10" t="s">
        <v>2056</v>
      </c>
      <c r="P1228" s="25" t="str">
        <f>IFERROR(
IF(OR(O1228="anulado",O1228="stand by"),CONCATENATE(O1228,": ",H1228),
IF(OR(YEAR(M1228)=2022,YEAR(M1228)=2023),CONCATENATE("Se activó en ",YEAR(M1228)),
IF(AND(OR(O1228="En proceso",O1228="facturando"),AND(J1228="-",M1228="")),"Por revisar",
IF(M1228="",IF(J1228="NUEVAS",CONCATENATE("Estado: ",O1228,", ",J1228),
IF(L1228=Meses!$A$3,"Por revisar",
IF(H1228="","Sin registro","En programación Frcst."))),"En programación")))),
"Error")</f>
        <v>anulado: Desistido</v>
      </c>
      <c r="Q1228" s="9" t="str">
        <f t="shared" si="57"/>
        <v/>
      </c>
      <c r="R1228" s="25" t="str">
        <f>IF(P1228="En programación Frcst.",VLOOKUP(L1228,Meses!$A$1:$H$14,3+HLOOKUP(Cronograma!J1228,Meses!$D$1:$G$2,2,FALSE),FALSE),
IF(P1228="En programación",M1228,""))</f>
        <v/>
      </c>
      <c r="S1228" s="25" t="str">
        <f t="shared" si="59"/>
        <v/>
      </c>
      <c r="T1228" s="21" t="str">
        <f>IFERROR(
(VLOOKUP(MONTH(R1228),Meses!$B$3:$C$14,2,FALSE)-DAY(R1228))/VLOOKUP(MONTH(R1228),Meses!$B$3:$C$14,2,FALSE)*U1228,
"")</f>
        <v/>
      </c>
      <c r="U1228" s="22">
        <f t="shared" si="58"/>
        <v>10040</v>
      </c>
    </row>
    <row r="1229" spans="1:21" ht="63" hidden="1" thickBot="1" x14ac:dyDescent="0.6">
      <c r="A1229" s="10" t="s">
        <v>1526</v>
      </c>
      <c r="B1229" s="10" t="s">
        <v>1527</v>
      </c>
      <c r="C1229" s="12"/>
      <c r="D1229" s="10" t="s">
        <v>14</v>
      </c>
      <c r="E1229" s="10" t="s">
        <v>14</v>
      </c>
      <c r="F1229" s="10">
        <v>3715</v>
      </c>
      <c r="G1229" s="10" t="s">
        <v>15</v>
      </c>
      <c r="H1229" s="10" t="s">
        <v>140</v>
      </c>
      <c r="I1229" s="10" t="s">
        <v>18</v>
      </c>
      <c r="J1229" s="10" t="s">
        <v>19</v>
      </c>
      <c r="K1229" s="10" t="s">
        <v>19</v>
      </c>
      <c r="L1229" s="10" t="s">
        <v>19</v>
      </c>
      <c r="M1229" s="12"/>
      <c r="N1229" s="10" t="s">
        <v>20</v>
      </c>
      <c r="O1229" s="10" t="s">
        <v>2056</v>
      </c>
      <c r="P1229" s="25" t="str">
        <f>IFERROR(
IF(OR(O1229="anulado",O1229="stand by"),CONCATENATE(O1229,": ",H1229),
IF(OR(YEAR(M1229)=2022,YEAR(M1229)=2023),CONCATENATE("Se activó en ",YEAR(M1229)),
IF(AND(OR(O1229="En proceso",O1229="facturando"),AND(J1229="-",M1229="")),"Por revisar",
IF(M1229="",IF(J1229="NUEVAS",CONCATENATE("Estado: ",O1229,", ",J1229),
IF(L1229=Meses!$A$3,"Por revisar",
IF(H1229="","Sin registro","En programación Frcst."))),"En programación")))),
"Error")</f>
        <v>anulado: Desistido</v>
      </c>
      <c r="Q1229" s="9" t="str">
        <f t="shared" si="57"/>
        <v/>
      </c>
      <c r="R1229" s="25" t="str">
        <f>IF(P1229="En programación Frcst.",VLOOKUP(L1229,Meses!$A$1:$H$14,3+HLOOKUP(Cronograma!J1229,Meses!$D$1:$G$2,2,FALSE),FALSE),
IF(P1229="En programación",M1229,""))</f>
        <v/>
      </c>
      <c r="S1229" s="25" t="str">
        <f t="shared" si="59"/>
        <v/>
      </c>
      <c r="T1229" s="21" t="str">
        <f>IFERROR(
(VLOOKUP(MONTH(R1229),Meses!$B$3:$C$14,2,FALSE)-DAY(R1229))/VLOOKUP(MONTH(R1229),Meses!$B$3:$C$14,2,FALSE)*U1229,
"")</f>
        <v/>
      </c>
      <c r="U1229" s="22">
        <f t="shared" si="58"/>
        <v>3715</v>
      </c>
    </row>
    <row r="1230" spans="1:21" ht="63" hidden="1" thickBot="1" x14ac:dyDescent="0.6">
      <c r="A1230" s="10" t="s">
        <v>1526</v>
      </c>
      <c r="B1230" s="10" t="s">
        <v>1528</v>
      </c>
      <c r="C1230" s="12"/>
      <c r="D1230" s="10" t="s">
        <v>14</v>
      </c>
      <c r="E1230" s="10" t="s">
        <v>14</v>
      </c>
      <c r="F1230" s="10">
        <v>2824</v>
      </c>
      <c r="G1230" s="10" t="s">
        <v>15</v>
      </c>
      <c r="H1230" s="10" t="s">
        <v>140</v>
      </c>
      <c r="I1230" s="10" t="s">
        <v>18</v>
      </c>
      <c r="J1230" s="10" t="s">
        <v>19</v>
      </c>
      <c r="K1230" s="10" t="s">
        <v>19</v>
      </c>
      <c r="L1230" s="10" t="s">
        <v>19</v>
      </c>
      <c r="M1230" s="12"/>
      <c r="N1230" s="10" t="s">
        <v>20</v>
      </c>
      <c r="O1230" s="10" t="s">
        <v>2056</v>
      </c>
      <c r="P1230" s="25" t="str">
        <f>IFERROR(
IF(OR(O1230="anulado",O1230="stand by"),CONCATENATE(O1230,": ",H1230),
IF(OR(YEAR(M1230)=2022,YEAR(M1230)=2023),CONCATENATE("Se activó en ",YEAR(M1230)),
IF(AND(OR(O1230="En proceso",O1230="facturando"),AND(J1230="-",M1230="")),"Por revisar",
IF(M1230="",IF(J1230="NUEVAS",CONCATENATE("Estado: ",O1230,", ",J1230),
IF(L1230=Meses!$A$3,"Por revisar",
IF(H1230="","Sin registro","En programación Frcst."))),"En programación")))),
"Error")</f>
        <v>anulado: Desistido</v>
      </c>
      <c r="Q1230" s="9" t="str">
        <f t="shared" si="57"/>
        <v/>
      </c>
      <c r="R1230" s="25" t="str">
        <f>IF(P1230="En programación Frcst.",VLOOKUP(L1230,Meses!$A$1:$H$14,3+HLOOKUP(Cronograma!J1230,Meses!$D$1:$G$2,2,FALSE),FALSE),
IF(P1230="En programación",M1230,""))</f>
        <v/>
      </c>
      <c r="S1230" s="25" t="str">
        <f t="shared" si="59"/>
        <v/>
      </c>
      <c r="T1230" s="21" t="str">
        <f>IFERROR(
(VLOOKUP(MONTH(R1230),Meses!$B$3:$C$14,2,FALSE)-DAY(R1230))/VLOOKUP(MONTH(R1230),Meses!$B$3:$C$14,2,FALSE)*U1230,
"")</f>
        <v/>
      </c>
      <c r="U1230" s="22">
        <f t="shared" si="58"/>
        <v>2824</v>
      </c>
    </row>
    <row r="1231" spans="1:21" ht="63" hidden="1" thickBot="1" x14ac:dyDescent="0.6">
      <c r="A1231" s="10" t="s">
        <v>1526</v>
      </c>
      <c r="B1231" s="10" t="s">
        <v>1529</v>
      </c>
      <c r="C1231" s="12"/>
      <c r="D1231" s="10" t="s">
        <v>14</v>
      </c>
      <c r="E1231" s="10" t="s">
        <v>14</v>
      </c>
      <c r="F1231" s="10">
        <v>3364</v>
      </c>
      <c r="G1231" s="10" t="s">
        <v>15</v>
      </c>
      <c r="H1231" s="10" t="s">
        <v>140</v>
      </c>
      <c r="I1231" s="10" t="s">
        <v>18</v>
      </c>
      <c r="J1231" s="10" t="s">
        <v>19</v>
      </c>
      <c r="K1231" s="10" t="s">
        <v>19</v>
      </c>
      <c r="L1231" s="10" t="s">
        <v>19</v>
      </c>
      <c r="M1231" s="12"/>
      <c r="N1231" s="10" t="s">
        <v>20</v>
      </c>
      <c r="O1231" s="10" t="s">
        <v>2056</v>
      </c>
      <c r="P1231" s="25" t="str">
        <f>IFERROR(
IF(OR(O1231="anulado",O1231="stand by"),CONCATENATE(O1231,": ",H1231),
IF(OR(YEAR(M1231)=2022,YEAR(M1231)=2023),CONCATENATE("Se activó en ",YEAR(M1231)),
IF(AND(OR(O1231="En proceso",O1231="facturando"),AND(J1231="-",M1231="")),"Por revisar",
IF(M1231="",IF(J1231="NUEVAS",CONCATENATE("Estado: ",O1231,", ",J1231),
IF(L1231=Meses!$A$3,"Por revisar",
IF(H1231="","Sin registro","En programación Frcst."))),"En programación")))),
"Error")</f>
        <v>anulado: Desistido</v>
      </c>
      <c r="Q1231" s="9" t="str">
        <f t="shared" si="57"/>
        <v/>
      </c>
      <c r="R1231" s="25" t="str">
        <f>IF(P1231="En programación Frcst.",VLOOKUP(L1231,Meses!$A$1:$H$14,3+HLOOKUP(Cronograma!J1231,Meses!$D$1:$G$2,2,FALSE),FALSE),
IF(P1231="En programación",M1231,""))</f>
        <v/>
      </c>
      <c r="S1231" s="25" t="str">
        <f t="shared" si="59"/>
        <v/>
      </c>
      <c r="T1231" s="21" t="str">
        <f>IFERROR(
(VLOOKUP(MONTH(R1231),Meses!$B$3:$C$14,2,FALSE)-DAY(R1231))/VLOOKUP(MONTH(R1231),Meses!$B$3:$C$14,2,FALSE)*U1231,
"")</f>
        <v/>
      </c>
      <c r="U1231" s="22">
        <f t="shared" si="58"/>
        <v>3364</v>
      </c>
    </row>
    <row r="1232" spans="1:21" ht="63" hidden="1" thickBot="1" x14ac:dyDescent="0.6">
      <c r="A1232" s="10" t="s">
        <v>1526</v>
      </c>
      <c r="B1232" s="10" t="s">
        <v>1530</v>
      </c>
      <c r="C1232" s="12"/>
      <c r="D1232" s="10" t="s">
        <v>14</v>
      </c>
      <c r="E1232" s="10" t="s">
        <v>14</v>
      </c>
      <c r="F1232" s="10">
        <v>501</v>
      </c>
      <c r="G1232" s="10" t="s">
        <v>15</v>
      </c>
      <c r="H1232" s="10" t="s">
        <v>140</v>
      </c>
      <c r="I1232" s="10" t="s">
        <v>18</v>
      </c>
      <c r="J1232" s="10" t="s">
        <v>19</v>
      </c>
      <c r="K1232" s="10" t="s">
        <v>19</v>
      </c>
      <c r="L1232" s="10" t="s">
        <v>19</v>
      </c>
      <c r="M1232" s="12"/>
      <c r="N1232" s="10" t="s">
        <v>20</v>
      </c>
      <c r="O1232" s="10" t="s">
        <v>2056</v>
      </c>
      <c r="P1232" s="25" t="str">
        <f>IFERROR(
IF(OR(O1232="anulado",O1232="stand by"),CONCATENATE(O1232,": ",H1232),
IF(OR(YEAR(M1232)=2022,YEAR(M1232)=2023),CONCATENATE("Se activó en ",YEAR(M1232)),
IF(AND(OR(O1232="En proceso",O1232="facturando"),AND(J1232="-",M1232="")),"Por revisar",
IF(M1232="",IF(J1232="NUEVAS",CONCATENATE("Estado: ",O1232,", ",J1232),
IF(L1232=Meses!$A$3,"Por revisar",
IF(H1232="","Sin registro","En programación Frcst."))),"En programación")))),
"Error")</f>
        <v>anulado: Desistido</v>
      </c>
      <c r="Q1232" s="9" t="str">
        <f t="shared" si="57"/>
        <v/>
      </c>
      <c r="R1232" s="25" t="str">
        <f>IF(P1232="En programación Frcst.",VLOOKUP(L1232,Meses!$A$1:$H$14,3+HLOOKUP(Cronograma!J1232,Meses!$D$1:$G$2,2,FALSE),FALSE),
IF(P1232="En programación",M1232,""))</f>
        <v/>
      </c>
      <c r="S1232" s="25" t="str">
        <f t="shared" si="59"/>
        <v/>
      </c>
      <c r="T1232" s="21" t="str">
        <f>IFERROR(
(VLOOKUP(MONTH(R1232),Meses!$B$3:$C$14,2,FALSE)-DAY(R1232))/VLOOKUP(MONTH(R1232),Meses!$B$3:$C$14,2,FALSE)*U1232,
"")</f>
        <v/>
      </c>
      <c r="U1232" s="22">
        <f t="shared" si="58"/>
        <v>501</v>
      </c>
    </row>
    <row r="1233" spans="1:21" ht="63" hidden="1" thickBot="1" x14ac:dyDescent="0.6">
      <c r="A1233" s="10" t="s">
        <v>1526</v>
      </c>
      <c r="B1233" s="10" t="s">
        <v>1531</v>
      </c>
      <c r="C1233" s="12"/>
      <c r="D1233" s="10" t="s">
        <v>14</v>
      </c>
      <c r="E1233" s="10" t="s">
        <v>14</v>
      </c>
      <c r="F1233" s="10">
        <v>4500</v>
      </c>
      <c r="G1233" s="10" t="s">
        <v>15</v>
      </c>
      <c r="H1233" s="10" t="s">
        <v>140</v>
      </c>
      <c r="I1233" s="10" t="s">
        <v>18</v>
      </c>
      <c r="J1233" s="10" t="s">
        <v>19</v>
      </c>
      <c r="K1233" s="10" t="s">
        <v>19</v>
      </c>
      <c r="L1233" s="10" t="s">
        <v>19</v>
      </c>
      <c r="M1233" s="12"/>
      <c r="N1233" s="10" t="s">
        <v>20</v>
      </c>
      <c r="O1233" s="10" t="s">
        <v>2056</v>
      </c>
      <c r="P1233" s="25" t="str">
        <f>IFERROR(
IF(OR(O1233="anulado",O1233="stand by"),CONCATENATE(O1233,": ",H1233),
IF(OR(YEAR(M1233)=2022,YEAR(M1233)=2023),CONCATENATE("Se activó en ",YEAR(M1233)),
IF(AND(OR(O1233="En proceso",O1233="facturando"),AND(J1233="-",M1233="")),"Por revisar",
IF(M1233="",IF(J1233="NUEVAS",CONCATENATE("Estado: ",O1233,", ",J1233),
IF(L1233=Meses!$A$3,"Por revisar",
IF(H1233="","Sin registro","En programación Frcst."))),"En programación")))),
"Error")</f>
        <v>anulado: Desistido</v>
      </c>
      <c r="Q1233" s="9" t="str">
        <f t="shared" si="57"/>
        <v/>
      </c>
      <c r="R1233" s="25" t="str">
        <f>IF(P1233="En programación Frcst.",VLOOKUP(L1233,Meses!$A$1:$H$14,3+HLOOKUP(Cronograma!J1233,Meses!$D$1:$G$2,2,FALSE),FALSE),
IF(P1233="En programación",M1233,""))</f>
        <v/>
      </c>
      <c r="S1233" s="25" t="str">
        <f t="shared" si="59"/>
        <v/>
      </c>
      <c r="T1233" s="21" t="str">
        <f>IFERROR(
(VLOOKUP(MONTH(R1233),Meses!$B$3:$C$14,2,FALSE)-DAY(R1233))/VLOOKUP(MONTH(R1233),Meses!$B$3:$C$14,2,FALSE)*U1233,
"")</f>
        <v/>
      </c>
      <c r="U1233" s="22">
        <f t="shared" si="58"/>
        <v>4500</v>
      </c>
    </row>
    <row r="1234" spans="1:21" ht="63" hidden="1" thickBot="1" x14ac:dyDescent="0.6">
      <c r="A1234" s="10" t="s">
        <v>1526</v>
      </c>
      <c r="B1234" s="10" t="s">
        <v>1532</v>
      </c>
      <c r="C1234" s="12"/>
      <c r="D1234" s="10" t="s">
        <v>14</v>
      </c>
      <c r="E1234" s="10" t="s">
        <v>14</v>
      </c>
      <c r="F1234" s="10">
        <v>110</v>
      </c>
      <c r="G1234" s="10" t="s">
        <v>15</v>
      </c>
      <c r="H1234" s="10" t="s">
        <v>140</v>
      </c>
      <c r="I1234" s="10" t="s">
        <v>18</v>
      </c>
      <c r="J1234" s="10" t="s">
        <v>19</v>
      </c>
      <c r="K1234" s="10" t="s">
        <v>19</v>
      </c>
      <c r="L1234" s="10" t="s">
        <v>19</v>
      </c>
      <c r="M1234" s="12"/>
      <c r="N1234" s="10" t="s">
        <v>20</v>
      </c>
      <c r="O1234" s="10" t="s">
        <v>2056</v>
      </c>
      <c r="P1234" s="25" t="str">
        <f>IFERROR(
IF(OR(O1234="anulado",O1234="stand by"),CONCATENATE(O1234,": ",H1234),
IF(OR(YEAR(M1234)=2022,YEAR(M1234)=2023),CONCATENATE("Se activó en ",YEAR(M1234)),
IF(AND(OR(O1234="En proceso",O1234="facturando"),AND(J1234="-",M1234="")),"Por revisar",
IF(M1234="",IF(J1234="NUEVAS",CONCATENATE("Estado: ",O1234,", ",J1234),
IF(L1234=Meses!$A$3,"Por revisar",
IF(H1234="","Sin registro","En programación Frcst."))),"En programación")))),
"Error")</f>
        <v>anulado: Desistido</v>
      </c>
      <c r="Q1234" s="9" t="str">
        <f t="shared" si="57"/>
        <v/>
      </c>
      <c r="R1234" s="25" t="str">
        <f>IF(P1234="En programación Frcst.",VLOOKUP(L1234,Meses!$A$1:$H$14,3+HLOOKUP(Cronograma!J1234,Meses!$D$1:$G$2,2,FALSE),FALSE),
IF(P1234="En programación",M1234,""))</f>
        <v/>
      </c>
      <c r="S1234" s="25" t="str">
        <f t="shared" si="59"/>
        <v/>
      </c>
      <c r="T1234" s="21" t="str">
        <f>IFERROR(
(VLOOKUP(MONTH(R1234),Meses!$B$3:$C$14,2,FALSE)-DAY(R1234))/VLOOKUP(MONTH(R1234),Meses!$B$3:$C$14,2,FALSE)*U1234,
"")</f>
        <v/>
      </c>
      <c r="U1234" s="22">
        <f t="shared" si="58"/>
        <v>110</v>
      </c>
    </row>
    <row r="1235" spans="1:21" ht="63" hidden="1" thickBot="1" x14ac:dyDescent="0.6">
      <c r="A1235" s="10" t="s">
        <v>1526</v>
      </c>
      <c r="B1235" s="10" t="s">
        <v>1533</v>
      </c>
      <c r="C1235" s="12"/>
      <c r="D1235" s="10" t="s">
        <v>14</v>
      </c>
      <c r="E1235" s="10" t="s">
        <v>14</v>
      </c>
      <c r="F1235" s="10">
        <v>1500</v>
      </c>
      <c r="G1235" s="10" t="s">
        <v>15</v>
      </c>
      <c r="H1235" s="10" t="s">
        <v>140</v>
      </c>
      <c r="I1235" s="10" t="s">
        <v>18</v>
      </c>
      <c r="J1235" s="10" t="s">
        <v>19</v>
      </c>
      <c r="K1235" s="10" t="s">
        <v>19</v>
      </c>
      <c r="L1235" s="10" t="s">
        <v>19</v>
      </c>
      <c r="M1235" s="12"/>
      <c r="N1235" s="10" t="s">
        <v>20</v>
      </c>
      <c r="O1235" s="10" t="s">
        <v>2056</v>
      </c>
      <c r="P1235" s="25" t="str">
        <f>IFERROR(
IF(OR(O1235="anulado",O1235="stand by"),CONCATENATE(O1235,": ",H1235),
IF(OR(YEAR(M1235)=2022,YEAR(M1235)=2023),CONCATENATE("Se activó en ",YEAR(M1235)),
IF(AND(OR(O1235="En proceso",O1235="facturando"),AND(J1235="-",M1235="")),"Por revisar",
IF(M1235="",IF(J1235="NUEVAS",CONCATENATE("Estado: ",O1235,", ",J1235),
IF(L1235=Meses!$A$3,"Por revisar",
IF(H1235="","Sin registro","En programación Frcst."))),"En programación")))),
"Error")</f>
        <v>anulado: Desistido</v>
      </c>
      <c r="Q1235" s="9" t="str">
        <f t="shared" si="57"/>
        <v/>
      </c>
      <c r="R1235" s="25" t="str">
        <f>IF(P1235="En programación Frcst.",VLOOKUP(L1235,Meses!$A$1:$H$14,3+HLOOKUP(Cronograma!J1235,Meses!$D$1:$G$2,2,FALSE),FALSE),
IF(P1235="En programación",M1235,""))</f>
        <v/>
      </c>
      <c r="S1235" s="25" t="str">
        <f t="shared" si="59"/>
        <v/>
      </c>
      <c r="T1235" s="21" t="str">
        <f>IFERROR(
(VLOOKUP(MONTH(R1235),Meses!$B$3:$C$14,2,FALSE)-DAY(R1235))/VLOOKUP(MONTH(R1235),Meses!$B$3:$C$14,2,FALSE)*U1235,
"")</f>
        <v/>
      </c>
      <c r="U1235" s="22">
        <f t="shared" si="58"/>
        <v>1500</v>
      </c>
    </row>
    <row r="1236" spans="1:21" ht="63" hidden="1" thickBot="1" x14ac:dyDescent="0.6">
      <c r="A1236" s="10" t="s">
        <v>1526</v>
      </c>
      <c r="B1236" s="10" t="s">
        <v>1534</v>
      </c>
      <c r="C1236" s="12"/>
      <c r="D1236" s="10" t="s">
        <v>291</v>
      </c>
      <c r="E1236" s="10" t="s">
        <v>291</v>
      </c>
      <c r="F1236" s="10">
        <v>3345</v>
      </c>
      <c r="G1236" s="10" t="s">
        <v>15</v>
      </c>
      <c r="H1236" s="10" t="s">
        <v>140</v>
      </c>
      <c r="I1236" s="10" t="s">
        <v>43</v>
      </c>
      <c r="J1236" s="10" t="s">
        <v>19</v>
      </c>
      <c r="K1236" s="10" t="s">
        <v>19</v>
      </c>
      <c r="L1236" s="10" t="s">
        <v>19</v>
      </c>
      <c r="M1236" s="12"/>
      <c r="N1236" s="10" t="s">
        <v>20</v>
      </c>
      <c r="O1236" s="10" t="s">
        <v>2056</v>
      </c>
      <c r="P1236" s="25" t="str">
        <f>IFERROR(
IF(OR(O1236="anulado",O1236="stand by"),CONCATENATE(O1236,": ",H1236),
IF(OR(YEAR(M1236)=2022,YEAR(M1236)=2023),CONCATENATE("Se activó en ",YEAR(M1236)),
IF(AND(OR(O1236="En proceso",O1236="facturando"),AND(J1236="-",M1236="")),"Por revisar",
IF(M1236="",IF(J1236="NUEVAS",CONCATENATE("Estado: ",O1236,", ",J1236),
IF(L1236=Meses!$A$3,"Por revisar",
IF(H1236="","Sin registro","En programación Frcst."))),"En programación")))),
"Error")</f>
        <v>anulado: Desistido</v>
      </c>
      <c r="Q1236" s="9" t="str">
        <f t="shared" si="57"/>
        <v/>
      </c>
      <c r="R1236" s="25" t="str">
        <f>IF(P1236="En programación Frcst.",VLOOKUP(L1236,Meses!$A$1:$H$14,3+HLOOKUP(Cronograma!J1236,Meses!$D$1:$G$2,2,FALSE),FALSE),
IF(P1236="En programación",M1236,""))</f>
        <v/>
      </c>
      <c r="S1236" s="25" t="str">
        <f t="shared" si="59"/>
        <v/>
      </c>
      <c r="T1236" s="21" t="str">
        <f>IFERROR(
(VLOOKUP(MONTH(R1236),Meses!$B$3:$C$14,2,FALSE)-DAY(R1236))/VLOOKUP(MONTH(R1236),Meses!$B$3:$C$14,2,FALSE)*U1236,
"")</f>
        <v/>
      </c>
      <c r="U1236" s="22">
        <f t="shared" si="58"/>
        <v>3345</v>
      </c>
    </row>
    <row r="1237" spans="1:21" ht="63" hidden="1" thickBot="1" x14ac:dyDescent="0.6">
      <c r="A1237" s="10" t="s">
        <v>1526</v>
      </c>
      <c r="B1237" s="10" t="s">
        <v>1535</v>
      </c>
      <c r="C1237" s="12"/>
      <c r="D1237" s="10" t="s">
        <v>1249</v>
      </c>
      <c r="E1237" s="10" t="s">
        <v>44</v>
      </c>
      <c r="F1237" s="10">
        <v>7667</v>
      </c>
      <c r="G1237" s="10" t="s">
        <v>15</v>
      </c>
      <c r="H1237" s="10" t="s">
        <v>140</v>
      </c>
      <c r="I1237" s="10" t="s">
        <v>66</v>
      </c>
      <c r="J1237" s="10" t="s">
        <v>19</v>
      </c>
      <c r="K1237" s="10" t="s">
        <v>19</v>
      </c>
      <c r="L1237" s="10" t="s">
        <v>19</v>
      </c>
      <c r="M1237" s="12"/>
      <c r="N1237" s="10" t="s">
        <v>20</v>
      </c>
      <c r="O1237" s="10" t="s">
        <v>2056</v>
      </c>
      <c r="P1237" s="25" t="str">
        <f>IFERROR(
IF(OR(O1237="anulado",O1237="stand by"),CONCATENATE(O1237,": ",H1237),
IF(OR(YEAR(M1237)=2022,YEAR(M1237)=2023),CONCATENATE("Se activó en ",YEAR(M1237)),
IF(AND(OR(O1237="En proceso",O1237="facturando"),AND(J1237="-",M1237="")),"Por revisar",
IF(M1237="",IF(J1237="NUEVAS",CONCATENATE("Estado: ",O1237,", ",J1237),
IF(L1237=Meses!$A$3,"Por revisar",
IF(H1237="","Sin registro","En programación Frcst."))),"En programación")))),
"Error")</f>
        <v>anulado: Desistido</v>
      </c>
      <c r="Q1237" s="9" t="str">
        <f t="shared" si="57"/>
        <v/>
      </c>
      <c r="R1237" s="25" t="str">
        <f>IF(P1237="En programación Frcst.",VLOOKUP(L1237,Meses!$A$1:$H$14,3+HLOOKUP(Cronograma!J1237,Meses!$D$1:$G$2,2,FALSE),FALSE),
IF(P1237="En programación",M1237,""))</f>
        <v/>
      </c>
      <c r="S1237" s="25" t="str">
        <f t="shared" si="59"/>
        <v/>
      </c>
      <c r="T1237" s="21" t="str">
        <f>IFERROR(
(VLOOKUP(MONTH(R1237),Meses!$B$3:$C$14,2,FALSE)-DAY(R1237))/VLOOKUP(MONTH(R1237),Meses!$B$3:$C$14,2,FALSE)*U1237,
"")</f>
        <v/>
      </c>
      <c r="U1237" s="22">
        <f t="shared" si="58"/>
        <v>7667</v>
      </c>
    </row>
    <row r="1238" spans="1:21" ht="63" hidden="1" thickBot="1" x14ac:dyDescent="0.6">
      <c r="A1238" s="10" t="s">
        <v>1526</v>
      </c>
      <c r="B1238" s="10" t="s">
        <v>1536</v>
      </c>
      <c r="C1238" s="12"/>
      <c r="D1238" s="10" t="s">
        <v>1249</v>
      </c>
      <c r="E1238" s="10" t="s">
        <v>291</v>
      </c>
      <c r="F1238" s="10">
        <v>14944</v>
      </c>
      <c r="G1238" s="10" t="s">
        <v>15</v>
      </c>
      <c r="H1238" s="10" t="s">
        <v>140</v>
      </c>
      <c r="I1238" s="10" t="s">
        <v>66</v>
      </c>
      <c r="J1238" s="10" t="s">
        <v>19</v>
      </c>
      <c r="K1238" s="10" t="s">
        <v>19</v>
      </c>
      <c r="L1238" s="10" t="s">
        <v>19</v>
      </c>
      <c r="M1238" s="12"/>
      <c r="N1238" s="10" t="s">
        <v>20</v>
      </c>
      <c r="O1238" s="10" t="s">
        <v>2056</v>
      </c>
      <c r="P1238" s="25" t="str">
        <f>IFERROR(
IF(OR(O1238="anulado",O1238="stand by"),CONCATENATE(O1238,": ",H1238),
IF(OR(YEAR(M1238)=2022,YEAR(M1238)=2023),CONCATENATE("Se activó en ",YEAR(M1238)),
IF(AND(OR(O1238="En proceso",O1238="facturando"),AND(J1238="-",M1238="")),"Por revisar",
IF(M1238="",IF(J1238="NUEVAS",CONCATENATE("Estado: ",O1238,", ",J1238),
IF(L1238=Meses!$A$3,"Por revisar",
IF(H1238="","Sin registro","En programación Frcst."))),"En programación")))),
"Error")</f>
        <v>anulado: Desistido</v>
      </c>
      <c r="Q1238" s="9" t="str">
        <f t="shared" si="57"/>
        <v/>
      </c>
      <c r="R1238" s="25" t="str">
        <f>IF(P1238="En programación Frcst.",VLOOKUP(L1238,Meses!$A$1:$H$14,3+HLOOKUP(Cronograma!J1238,Meses!$D$1:$G$2,2,FALSE),FALSE),
IF(P1238="En programación",M1238,""))</f>
        <v/>
      </c>
      <c r="S1238" s="25" t="str">
        <f t="shared" si="59"/>
        <v/>
      </c>
      <c r="T1238" s="21" t="str">
        <f>IFERROR(
(VLOOKUP(MONTH(R1238),Meses!$B$3:$C$14,2,FALSE)-DAY(R1238))/VLOOKUP(MONTH(R1238),Meses!$B$3:$C$14,2,FALSE)*U1238,
"")</f>
        <v/>
      </c>
      <c r="U1238" s="22">
        <f t="shared" si="58"/>
        <v>14944</v>
      </c>
    </row>
    <row r="1239" spans="1:21" ht="31.8" hidden="1" thickBot="1" x14ac:dyDescent="0.6">
      <c r="A1239" s="10" t="s">
        <v>1537</v>
      </c>
      <c r="B1239" s="10" t="s">
        <v>1538</v>
      </c>
      <c r="C1239" s="12"/>
      <c r="D1239" s="10" t="s">
        <v>654</v>
      </c>
      <c r="E1239" s="10" t="s">
        <v>14</v>
      </c>
      <c r="F1239" s="10">
        <v>5612</v>
      </c>
      <c r="G1239" s="10" t="s">
        <v>15</v>
      </c>
      <c r="H1239" s="10" t="s">
        <v>140</v>
      </c>
      <c r="I1239" s="10" t="s">
        <v>66</v>
      </c>
      <c r="J1239" s="10" t="s">
        <v>19</v>
      </c>
      <c r="K1239" s="10" t="s">
        <v>19</v>
      </c>
      <c r="L1239" s="10" t="s">
        <v>19</v>
      </c>
      <c r="M1239" s="12"/>
      <c r="N1239" s="10" t="s">
        <v>20</v>
      </c>
      <c r="O1239" s="10" t="s">
        <v>2056</v>
      </c>
      <c r="P1239" s="25" t="str">
        <f>IFERROR(
IF(OR(O1239="anulado",O1239="stand by"),CONCATENATE(O1239,": ",H1239),
IF(OR(YEAR(M1239)=2022,YEAR(M1239)=2023),CONCATENATE("Se activó en ",YEAR(M1239)),
IF(AND(OR(O1239="En proceso",O1239="facturando"),AND(J1239="-",M1239="")),"Por revisar",
IF(M1239="",IF(J1239="NUEVAS",CONCATENATE("Estado: ",O1239,", ",J1239),
IF(L1239=Meses!$A$3,"Por revisar",
IF(H1239="","Sin registro","En programación Frcst."))),"En programación")))),
"Error")</f>
        <v>anulado: Desistido</v>
      </c>
      <c r="Q1239" s="9" t="str">
        <f t="shared" si="57"/>
        <v/>
      </c>
      <c r="R1239" s="25" t="str">
        <f>IF(P1239="En programación Frcst.",VLOOKUP(L1239,Meses!$A$1:$H$14,3+HLOOKUP(Cronograma!J1239,Meses!$D$1:$G$2,2,FALSE),FALSE),
IF(P1239="En programación",M1239,""))</f>
        <v/>
      </c>
      <c r="S1239" s="25" t="str">
        <f t="shared" si="59"/>
        <v/>
      </c>
      <c r="T1239" s="21" t="str">
        <f>IFERROR(
(VLOOKUP(MONTH(R1239),Meses!$B$3:$C$14,2,FALSE)-DAY(R1239))/VLOOKUP(MONTH(R1239),Meses!$B$3:$C$14,2,FALSE)*U1239,
"")</f>
        <v/>
      </c>
      <c r="U1239" s="22">
        <f t="shared" si="58"/>
        <v>5612</v>
      </c>
    </row>
    <row r="1240" spans="1:21" ht="63" hidden="1" thickBot="1" x14ac:dyDescent="0.6">
      <c r="A1240" s="10" t="s">
        <v>1539</v>
      </c>
      <c r="B1240" s="10" t="s">
        <v>1540</v>
      </c>
      <c r="C1240" s="12">
        <v>45288</v>
      </c>
      <c r="D1240" s="10" t="s">
        <v>654</v>
      </c>
      <c r="E1240" s="10" t="s">
        <v>289</v>
      </c>
      <c r="F1240" s="10">
        <v>9300</v>
      </c>
      <c r="G1240" s="10" t="s">
        <v>15</v>
      </c>
      <c r="H1240" s="10" t="s">
        <v>2406</v>
      </c>
      <c r="I1240" s="10" t="s">
        <v>66</v>
      </c>
      <c r="J1240" s="10" t="s">
        <v>292</v>
      </c>
      <c r="K1240" s="10" t="s">
        <v>945</v>
      </c>
      <c r="L1240" s="10" t="s">
        <v>145</v>
      </c>
      <c r="M1240" s="12"/>
      <c r="N1240" s="10" t="s">
        <v>15</v>
      </c>
      <c r="O1240" s="10" t="s">
        <v>2054</v>
      </c>
      <c r="P1240" s="25" t="str">
        <f>IFERROR(
IF(OR(O1240="anulado",O1240="stand by"),CONCATENATE(O1240,": ",H1240),
IF(OR(YEAR(M1240)=2022,YEAR(M1240)=2023),CONCATENATE("Se activó en ",YEAR(M1240)),
IF(AND(OR(O1240="En proceso",O1240="facturando"),AND(J1240="-",M1240="")),"Por revisar",
IF(M1240="",IF(J1240="NUEVAS",CONCATENATE("Estado: ",O1240,", ",J1240),
IF(L1240=Meses!$A$3,"Por revisar",
IF(H1240="","Sin registro","En programación Frcst."))),"En programación")))),
"Error")</f>
        <v>Por revisar</v>
      </c>
      <c r="Q1240" s="9" t="str">
        <f t="shared" si="57"/>
        <v>programación de act. SI, estado: Facturando, Comercializador: QI ENERGY, Etapa:  Activo Pendiente Instalación</v>
      </c>
      <c r="R1240" s="25" t="str">
        <f>IF(P1240="En programación Frcst.",VLOOKUP(L1240,Meses!$A$1:$H$14,3+HLOOKUP(Cronograma!J1240,Meses!$D$1:$G$2,2,FALSE),FALSE),
IF(P1240="En programación",M1240,""))</f>
        <v/>
      </c>
      <c r="S1240" s="25" t="str">
        <f t="shared" si="59"/>
        <v/>
      </c>
      <c r="T1240" s="21" t="str">
        <f>IFERROR(
(VLOOKUP(MONTH(R1240),Meses!$B$3:$C$14,2,FALSE)-DAY(R1240))/VLOOKUP(MONTH(R1240),Meses!$B$3:$C$14,2,FALSE)*U1240,
"")</f>
        <v/>
      </c>
      <c r="U1240" s="22">
        <f t="shared" si="58"/>
        <v>9300</v>
      </c>
    </row>
    <row r="1241" spans="1:21" ht="32.4" hidden="1" thickBot="1" x14ac:dyDescent="0.6">
      <c r="A1241" s="10" t="s">
        <v>1541</v>
      </c>
      <c r="B1241" s="10" t="s">
        <v>1542</v>
      </c>
      <c r="C1241" s="12">
        <v>45292</v>
      </c>
      <c r="D1241" s="10" t="s">
        <v>14</v>
      </c>
      <c r="E1241" s="10" t="s">
        <v>14</v>
      </c>
      <c r="F1241" s="10">
        <v>430000</v>
      </c>
      <c r="G1241" s="10" t="s">
        <v>15</v>
      </c>
      <c r="H1241" s="10" t="s">
        <v>17</v>
      </c>
      <c r="I1241" s="10" t="s">
        <v>66</v>
      </c>
      <c r="J1241" s="10" t="s">
        <v>292</v>
      </c>
      <c r="K1241" s="10" t="s">
        <v>945</v>
      </c>
      <c r="L1241" s="10" t="s">
        <v>145</v>
      </c>
      <c r="M1241" s="12"/>
      <c r="N1241" s="10" t="s">
        <v>15</v>
      </c>
      <c r="O1241" s="10" t="s">
        <v>2054</v>
      </c>
      <c r="P1241" s="25" t="str">
        <f>IFERROR(
IF(OR(O1241="anulado",O1241="stand by"),CONCATENATE(O1241,": ",H1241),
IF(OR(YEAR(M1241)=2022,YEAR(M1241)=2023),CONCATENATE("Se activó en ",YEAR(M1241)),
IF(AND(OR(O1241="En proceso",O1241="facturando"),AND(J1241="-",M1241="")),"Por revisar",
IF(M1241="",IF(J1241="NUEVAS",CONCATENATE("Estado: ",O1241,", ",J1241),
IF(L1241=Meses!$A$3,"Por revisar",
IF(H1241="","Sin registro","En programación Frcst."))),"En programación")))),
"Error")</f>
        <v>Por revisar</v>
      </c>
      <c r="Q1241" s="9" t="str">
        <f t="shared" si="57"/>
        <v>programación de act. SI, estado: Facturando, Comercializador: ENEL, Etapa: Instalado y Activado</v>
      </c>
      <c r="R1241" s="25" t="str">
        <f>IF(P1241="En programación Frcst.",VLOOKUP(L1241,Meses!$A$1:$H$14,3+HLOOKUP(Cronograma!J1241,Meses!$D$1:$G$2,2,FALSE),FALSE),
IF(P1241="En programación",M1241,""))</f>
        <v/>
      </c>
      <c r="S1241" s="25" t="str">
        <f t="shared" si="59"/>
        <v/>
      </c>
      <c r="T1241" s="21" t="str">
        <f>IFERROR(
(VLOOKUP(MONTH(R1241),Meses!$B$3:$C$14,2,FALSE)-DAY(R1241))/VLOOKUP(MONTH(R1241),Meses!$B$3:$C$14,2,FALSE)*U1241,
"")</f>
        <v/>
      </c>
      <c r="U1241" s="22">
        <f t="shared" si="58"/>
        <v>430000</v>
      </c>
    </row>
    <row r="1242" spans="1:21" ht="78.599999999999994" hidden="1" thickBot="1" x14ac:dyDescent="0.6">
      <c r="A1242" s="10" t="s">
        <v>1543</v>
      </c>
      <c r="B1242" s="10" t="s">
        <v>1544</v>
      </c>
      <c r="C1242" s="12">
        <v>45225</v>
      </c>
      <c r="D1242" s="10" t="s">
        <v>654</v>
      </c>
      <c r="E1242" s="10" t="s">
        <v>14</v>
      </c>
      <c r="F1242" s="10">
        <v>10346</v>
      </c>
      <c r="G1242" s="10" t="s">
        <v>15</v>
      </c>
      <c r="H1242" s="10" t="s">
        <v>17</v>
      </c>
      <c r="I1242" s="10" t="s">
        <v>66</v>
      </c>
      <c r="J1242" s="10" t="s">
        <v>19</v>
      </c>
      <c r="K1242" s="10" t="s">
        <v>19</v>
      </c>
      <c r="L1242" s="10" t="s">
        <v>19</v>
      </c>
      <c r="M1242" s="12"/>
      <c r="N1242" s="10" t="s">
        <v>20</v>
      </c>
      <c r="O1242" s="10" t="s">
        <v>2054</v>
      </c>
      <c r="P1242" s="25" t="str">
        <f>IFERROR(
IF(OR(O1242="anulado",O1242="stand by"),CONCATENATE(O1242,": ",H1242),
IF(OR(YEAR(M1242)=2022,YEAR(M1242)=2023),CONCATENATE("Se activó en ",YEAR(M1242)),
IF(AND(OR(O1242="En proceso",O1242="facturando"),AND(J1242="-",M1242="")),"Por revisar",
IF(M1242="",IF(J1242="NUEVAS",CONCATENATE("Estado: ",O1242,", ",J1242),
IF(L1242=Meses!$A$3,"Por revisar",
IF(H1242="","Sin registro","En programación Frcst."))),"En programación")))),
"Error")</f>
        <v>Por revisar</v>
      </c>
      <c r="Q1242" s="9" t="str">
        <f t="shared" si="57"/>
        <v>programación de act. NO, estado: Facturando, Comercializador: QI ENERGY, Etapa: Instalado y Activado</v>
      </c>
      <c r="R1242" s="25" t="str">
        <f>IF(P1242="En programación Frcst.",VLOOKUP(L1242,Meses!$A$1:$H$14,3+HLOOKUP(Cronograma!J1242,Meses!$D$1:$G$2,2,FALSE),FALSE),
IF(P1242="En programación",M1242,""))</f>
        <v/>
      </c>
      <c r="S1242" s="25" t="str">
        <f t="shared" si="59"/>
        <v/>
      </c>
      <c r="T1242" s="21" t="str">
        <f>IFERROR(
(VLOOKUP(MONTH(R1242),Meses!$B$3:$C$14,2,FALSE)-DAY(R1242))/VLOOKUP(MONTH(R1242),Meses!$B$3:$C$14,2,FALSE)*U1242,
"")</f>
        <v/>
      </c>
      <c r="U1242" s="22">
        <f t="shared" si="58"/>
        <v>10346</v>
      </c>
    </row>
    <row r="1243" spans="1:21" ht="78.599999999999994" hidden="1" thickBot="1" x14ac:dyDescent="0.6">
      <c r="A1243" s="10" t="s">
        <v>1543</v>
      </c>
      <c r="B1243" s="10" t="s">
        <v>1545</v>
      </c>
      <c r="C1243" s="12">
        <v>45225</v>
      </c>
      <c r="D1243" s="10" t="s">
        <v>654</v>
      </c>
      <c r="E1243" s="10" t="s">
        <v>14</v>
      </c>
      <c r="F1243" s="10">
        <v>3248</v>
      </c>
      <c r="G1243" s="10" t="s">
        <v>15</v>
      </c>
      <c r="H1243" s="10" t="s">
        <v>17</v>
      </c>
      <c r="I1243" s="10" t="s">
        <v>66</v>
      </c>
      <c r="J1243" s="10" t="s">
        <v>19</v>
      </c>
      <c r="K1243" s="10" t="s">
        <v>19</v>
      </c>
      <c r="L1243" s="10" t="s">
        <v>19</v>
      </c>
      <c r="M1243" s="12"/>
      <c r="N1243" s="10" t="s">
        <v>20</v>
      </c>
      <c r="O1243" s="10" t="s">
        <v>2054</v>
      </c>
      <c r="P1243" s="25" t="str">
        <f>IFERROR(
IF(OR(O1243="anulado",O1243="stand by"),CONCATENATE(O1243,": ",H1243),
IF(OR(YEAR(M1243)=2022,YEAR(M1243)=2023),CONCATENATE("Se activó en ",YEAR(M1243)),
IF(AND(OR(O1243="En proceso",O1243="facturando"),AND(J1243="-",M1243="")),"Por revisar",
IF(M1243="",IF(J1243="NUEVAS",CONCATENATE("Estado: ",O1243,", ",J1243),
IF(L1243=Meses!$A$3,"Por revisar",
IF(H1243="","Sin registro","En programación Frcst."))),"En programación")))),
"Error")</f>
        <v>Por revisar</v>
      </c>
      <c r="Q1243" s="9" t="str">
        <f t="shared" si="57"/>
        <v>programación de act. NO, estado: Facturando, Comercializador: QI ENERGY, Etapa: Instalado y Activado</v>
      </c>
      <c r="R1243" s="25" t="str">
        <f>IF(P1243="En programación Frcst.",VLOOKUP(L1243,Meses!$A$1:$H$14,3+HLOOKUP(Cronograma!J1243,Meses!$D$1:$G$2,2,FALSE),FALSE),
IF(P1243="En programación",M1243,""))</f>
        <v/>
      </c>
      <c r="S1243" s="25" t="str">
        <f t="shared" si="59"/>
        <v/>
      </c>
      <c r="T1243" s="21" t="str">
        <f>IFERROR(
(VLOOKUP(MONTH(R1243),Meses!$B$3:$C$14,2,FALSE)-DAY(R1243))/VLOOKUP(MONTH(R1243),Meses!$B$3:$C$14,2,FALSE)*U1243,
"")</f>
        <v/>
      </c>
      <c r="U1243" s="22">
        <f t="shared" si="58"/>
        <v>3248</v>
      </c>
    </row>
    <row r="1244" spans="1:21" ht="78.599999999999994" hidden="1" thickBot="1" x14ac:dyDescent="0.6">
      <c r="A1244" s="10" t="s">
        <v>1543</v>
      </c>
      <c r="B1244" s="10" t="s">
        <v>1546</v>
      </c>
      <c r="C1244" s="12">
        <v>45225</v>
      </c>
      <c r="D1244" s="10" t="s">
        <v>654</v>
      </c>
      <c r="E1244" s="10" t="s">
        <v>14</v>
      </c>
      <c r="F1244" s="10">
        <v>5367</v>
      </c>
      <c r="G1244" s="10" t="s">
        <v>15</v>
      </c>
      <c r="H1244" s="10" t="s">
        <v>17</v>
      </c>
      <c r="I1244" s="10" t="s">
        <v>66</v>
      </c>
      <c r="J1244" s="10" t="s">
        <v>19</v>
      </c>
      <c r="K1244" s="10" t="s">
        <v>19</v>
      </c>
      <c r="L1244" s="10" t="s">
        <v>19</v>
      </c>
      <c r="M1244" s="12"/>
      <c r="N1244" s="10" t="s">
        <v>20</v>
      </c>
      <c r="O1244" s="10" t="s">
        <v>2054</v>
      </c>
      <c r="P1244" s="25" t="str">
        <f>IFERROR(
IF(OR(O1244="anulado",O1244="stand by"),CONCATENATE(O1244,": ",H1244),
IF(OR(YEAR(M1244)=2022,YEAR(M1244)=2023),CONCATENATE("Se activó en ",YEAR(M1244)),
IF(AND(OR(O1244="En proceso",O1244="facturando"),AND(J1244="-",M1244="")),"Por revisar",
IF(M1244="",IF(J1244="NUEVAS",CONCATENATE("Estado: ",O1244,", ",J1244),
IF(L1244=Meses!$A$3,"Por revisar",
IF(H1244="","Sin registro","En programación Frcst."))),"En programación")))),
"Error")</f>
        <v>Por revisar</v>
      </c>
      <c r="Q1244" s="9" t="str">
        <f t="shared" si="57"/>
        <v>programación de act. NO, estado: Facturando, Comercializador: QI ENERGY, Etapa: Instalado y Activado</v>
      </c>
      <c r="R1244" s="25" t="str">
        <f>IF(P1244="En programación Frcst.",VLOOKUP(L1244,Meses!$A$1:$H$14,3+HLOOKUP(Cronograma!J1244,Meses!$D$1:$G$2,2,FALSE),FALSE),
IF(P1244="En programación",M1244,""))</f>
        <v/>
      </c>
      <c r="S1244" s="25" t="str">
        <f t="shared" si="59"/>
        <v/>
      </c>
      <c r="T1244" s="21" t="str">
        <f>IFERROR(
(VLOOKUP(MONTH(R1244),Meses!$B$3:$C$14,2,FALSE)-DAY(R1244))/VLOOKUP(MONTH(R1244),Meses!$B$3:$C$14,2,FALSE)*U1244,
"")</f>
        <v/>
      </c>
      <c r="U1244" s="22">
        <f t="shared" si="58"/>
        <v>5367</v>
      </c>
    </row>
    <row r="1245" spans="1:21" ht="78.599999999999994" hidden="1" thickBot="1" x14ac:dyDescent="0.6">
      <c r="A1245" s="10" t="s">
        <v>1543</v>
      </c>
      <c r="B1245" s="10" t="s">
        <v>1547</v>
      </c>
      <c r="C1245" s="12">
        <v>45225</v>
      </c>
      <c r="D1245" s="10" t="s">
        <v>654</v>
      </c>
      <c r="E1245" s="10" t="s">
        <v>14</v>
      </c>
      <c r="F1245" s="10">
        <v>4484</v>
      </c>
      <c r="G1245" s="10" t="s">
        <v>15</v>
      </c>
      <c r="H1245" s="10" t="s">
        <v>17</v>
      </c>
      <c r="I1245" s="10" t="s">
        <v>66</v>
      </c>
      <c r="J1245" s="10" t="s">
        <v>19</v>
      </c>
      <c r="K1245" s="10" t="s">
        <v>19</v>
      </c>
      <c r="L1245" s="10" t="s">
        <v>19</v>
      </c>
      <c r="M1245" s="12"/>
      <c r="N1245" s="10" t="s">
        <v>20</v>
      </c>
      <c r="O1245" s="10" t="s">
        <v>2054</v>
      </c>
      <c r="P1245" s="25" t="str">
        <f>IFERROR(
IF(OR(O1245="anulado",O1245="stand by"),CONCATENATE(O1245,": ",H1245),
IF(OR(YEAR(M1245)=2022,YEAR(M1245)=2023),CONCATENATE("Se activó en ",YEAR(M1245)),
IF(AND(OR(O1245="En proceso",O1245="facturando"),AND(J1245="-",M1245="")),"Por revisar",
IF(M1245="",IF(J1245="NUEVAS",CONCATENATE("Estado: ",O1245,", ",J1245),
IF(L1245=Meses!$A$3,"Por revisar",
IF(H1245="","Sin registro","En programación Frcst."))),"En programación")))),
"Error")</f>
        <v>Por revisar</v>
      </c>
      <c r="Q1245" s="9" t="str">
        <f t="shared" si="57"/>
        <v>programación de act. NO, estado: Facturando, Comercializador: QI ENERGY, Etapa: Instalado y Activado</v>
      </c>
      <c r="R1245" s="25" t="str">
        <f>IF(P1245="En programación Frcst.",VLOOKUP(L1245,Meses!$A$1:$H$14,3+HLOOKUP(Cronograma!J1245,Meses!$D$1:$G$2,2,FALSE),FALSE),
IF(P1245="En programación",M1245,""))</f>
        <v/>
      </c>
      <c r="S1245" s="25" t="str">
        <f t="shared" si="59"/>
        <v/>
      </c>
      <c r="T1245" s="21" t="str">
        <f>IFERROR(
(VLOOKUP(MONTH(R1245),Meses!$B$3:$C$14,2,FALSE)-DAY(R1245))/VLOOKUP(MONTH(R1245),Meses!$B$3:$C$14,2,FALSE)*U1245,
"")</f>
        <v/>
      </c>
      <c r="U1245" s="22">
        <f t="shared" si="58"/>
        <v>4484</v>
      </c>
    </row>
    <row r="1246" spans="1:21" ht="78.599999999999994" hidden="1" thickBot="1" x14ac:dyDescent="0.6">
      <c r="A1246" s="10" t="s">
        <v>1543</v>
      </c>
      <c r="B1246" s="10" t="s">
        <v>1548</v>
      </c>
      <c r="C1246" s="12">
        <v>45225</v>
      </c>
      <c r="D1246" s="10" t="s">
        <v>654</v>
      </c>
      <c r="E1246" s="10" t="s">
        <v>14</v>
      </c>
      <c r="F1246" s="10">
        <v>7484</v>
      </c>
      <c r="G1246" s="10" t="s">
        <v>15</v>
      </c>
      <c r="H1246" s="10" t="s">
        <v>17</v>
      </c>
      <c r="I1246" s="10" t="s">
        <v>66</v>
      </c>
      <c r="J1246" s="10" t="s">
        <v>19</v>
      </c>
      <c r="K1246" s="10" t="s">
        <v>19</v>
      </c>
      <c r="L1246" s="10" t="s">
        <v>19</v>
      </c>
      <c r="M1246" s="12"/>
      <c r="N1246" s="10" t="s">
        <v>20</v>
      </c>
      <c r="O1246" s="10" t="s">
        <v>2054</v>
      </c>
      <c r="P1246" s="25" t="str">
        <f>IFERROR(
IF(OR(O1246="anulado",O1246="stand by"),CONCATENATE(O1246,": ",H1246),
IF(OR(YEAR(M1246)=2022,YEAR(M1246)=2023),CONCATENATE("Se activó en ",YEAR(M1246)),
IF(AND(OR(O1246="En proceso",O1246="facturando"),AND(J1246="-",M1246="")),"Por revisar",
IF(M1246="",IF(J1246="NUEVAS",CONCATENATE("Estado: ",O1246,", ",J1246),
IF(L1246=Meses!$A$3,"Por revisar",
IF(H1246="","Sin registro","En programación Frcst."))),"En programación")))),
"Error")</f>
        <v>Por revisar</v>
      </c>
      <c r="Q1246" s="9" t="str">
        <f t="shared" si="57"/>
        <v>programación de act. NO, estado: Facturando, Comercializador: QI ENERGY, Etapa: Instalado y Activado</v>
      </c>
      <c r="R1246" s="25" t="str">
        <f>IF(P1246="En programación Frcst.",VLOOKUP(L1246,Meses!$A$1:$H$14,3+HLOOKUP(Cronograma!J1246,Meses!$D$1:$G$2,2,FALSE),FALSE),
IF(P1246="En programación",M1246,""))</f>
        <v/>
      </c>
      <c r="S1246" s="25" t="str">
        <f t="shared" si="59"/>
        <v/>
      </c>
      <c r="T1246" s="21" t="str">
        <f>IFERROR(
(VLOOKUP(MONTH(R1246),Meses!$B$3:$C$14,2,FALSE)-DAY(R1246))/VLOOKUP(MONTH(R1246),Meses!$B$3:$C$14,2,FALSE)*U1246,
"")</f>
        <v/>
      </c>
      <c r="U1246" s="22">
        <f t="shared" si="58"/>
        <v>7484</v>
      </c>
    </row>
    <row r="1247" spans="1:21" ht="78.599999999999994" hidden="1" thickBot="1" x14ac:dyDescent="0.6">
      <c r="A1247" s="10" t="s">
        <v>1543</v>
      </c>
      <c r="B1247" s="10" t="s">
        <v>1549</v>
      </c>
      <c r="C1247" s="12">
        <v>45225</v>
      </c>
      <c r="D1247" s="10" t="s">
        <v>654</v>
      </c>
      <c r="E1247" s="10" t="s">
        <v>14</v>
      </c>
      <c r="F1247" s="10">
        <v>8175</v>
      </c>
      <c r="G1247" s="10" t="s">
        <v>15</v>
      </c>
      <c r="H1247" s="10" t="s">
        <v>17</v>
      </c>
      <c r="I1247" s="10" t="s">
        <v>66</v>
      </c>
      <c r="J1247" s="10" t="s">
        <v>19</v>
      </c>
      <c r="K1247" s="10" t="s">
        <v>19</v>
      </c>
      <c r="L1247" s="10" t="s">
        <v>19</v>
      </c>
      <c r="M1247" s="12"/>
      <c r="N1247" s="10" t="s">
        <v>20</v>
      </c>
      <c r="O1247" s="10" t="s">
        <v>2054</v>
      </c>
      <c r="P1247" s="25" t="str">
        <f>IFERROR(
IF(OR(O1247="anulado",O1247="stand by"),CONCATENATE(O1247,": ",H1247),
IF(OR(YEAR(M1247)=2022,YEAR(M1247)=2023),CONCATENATE("Se activó en ",YEAR(M1247)),
IF(AND(OR(O1247="En proceso",O1247="facturando"),AND(J1247="-",M1247="")),"Por revisar",
IF(M1247="",IF(J1247="NUEVAS",CONCATENATE("Estado: ",O1247,", ",J1247),
IF(L1247=Meses!$A$3,"Por revisar",
IF(H1247="","Sin registro","En programación Frcst."))),"En programación")))),
"Error")</f>
        <v>Por revisar</v>
      </c>
      <c r="Q1247" s="9" t="str">
        <f t="shared" si="57"/>
        <v>programación de act. NO, estado: Facturando, Comercializador: QI ENERGY, Etapa: Instalado y Activado</v>
      </c>
      <c r="R1247" s="25" t="str">
        <f>IF(P1247="En programación Frcst.",VLOOKUP(L1247,Meses!$A$1:$H$14,3+HLOOKUP(Cronograma!J1247,Meses!$D$1:$G$2,2,FALSE),FALSE),
IF(P1247="En programación",M1247,""))</f>
        <v/>
      </c>
      <c r="S1247" s="25" t="str">
        <f t="shared" si="59"/>
        <v/>
      </c>
      <c r="T1247" s="21" t="str">
        <f>IFERROR(
(VLOOKUP(MONTH(R1247),Meses!$B$3:$C$14,2,FALSE)-DAY(R1247))/VLOOKUP(MONTH(R1247),Meses!$B$3:$C$14,2,FALSE)*U1247,
"")</f>
        <v/>
      </c>
      <c r="U1247" s="22">
        <f t="shared" si="58"/>
        <v>8175</v>
      </c>
    </row>
    <row r="1248" spans="1:21" ht="78.599999999999994" hidden="1" thickBot="1" x14ac:dyDescent="0.6">
      <c r="A1248" s="10" t="s">
        <v>1543</v>
      </c>
      <c r="B1248" s="10" t="s">
        <v>1550</v>
      </c>
      <c r="C1248" s="12">
        <v>45225</v>
      </c>
      <c r="D1248" s="10" t="s">
        <v>654</v>
      </c>
      <c r="E1248" s="10" t="s">
        <v>14</v>
      </c>
      <c r="F1248" s="10">
        <v>73751</v>
      </c>
      <c r="G1248" s="10" t="s">
        <v>15</v>
      </c>
      <c r="H1248" s="10" t="s">
        <v>17</v>
      </c>
      <c r="I1248" s="10" t="s">
        <v>66</v>
      </c>
      <c r="J1248" s="10" t="s">
        <v>19</v>
      </c>
      <c r="K1248" s="10" t="s">
        <v>19</v>
      </c>
      <c r="L1248" s="10" t="s">
        <v>19</v>
      </c>
      <c r="M1248" s="12"/>
      <c r="N1248" s="10" t="s">
        <v>20</v>
      </c>
      <c r="O1248" s="10" t="s">
        <v>2054</v>
      </c>
      <c r="P1248" s="25" t="str">
        <f>IFERROR(
IF(OR(O1248="anulado",O1248="stand by"),CONCATENATE(O1248,": ",H1248),
IF(OR(YEAR(M1248)=2022,YEAR(M1248)=2023),CONCATENATE("Se activó en ",YEAR(M1248)),
IF(AND(OR(O1248="En proceso",O1248="facturando"),AND(J1248="-",M1248="")),"Por revisar",
IF(M1248="",IF(J1248="NUEVAS",CONCATENATE("Estado: ",O1248,", ",J1248),
IF(L1248=Meses!$A$3,"Por revisar",
IF(H1248="","Sin registro","En programación Frcst."))),"En programación")))),
"Error")</f>
        <v>Por revisar</v>
      </c>
      <c r="Q1248" s="9" t="str">
        <f t="shared" si="57"/>
        <v>programación de act. NO, estado: Facturando, Comercializador: QI ENERGY, Etapa: Instalado y Activado</v>
      </c>
      <c r="R1248" s="25" t="str">
        <f>IF(P1248="En programación Frcst.",VLOOKUP(L1248,Meses!$A$1:$H$14,3+HLOOKUP(Cronograma!J1248,Meses!$D$1:$G$2,2,FALSE),FALSE),
IF(P1248="En programación",M1248,""))</f>
        <v/>
      </c>
      <c r="S1248" s="25" t="str">
        <f t="shared" si="59"/>
        <v/>
      </c>
      <c r="T1248" s="21" t="str">
        <f>IFERROR(
(VLOOKUP(MONTH(R1248),Meses!$B$3:$C$14,2,FALSE)-DAY(R1248))/VLOOKUP(MONTH(R1248),Meses!$B$3:$C$14,2,FALSE)*U1248,
"")</f>
        <v/>
      </c>
      <c r="U1248" s="22">
        <f t="shared" si="58"/>
        <v>73751</v>
      </c>
    </row>
    <row r="1249" spans="1:21" ht="78.599999999999994" hidden="1" thickBot="1" x14ac:dyDescent="0.6">
      <c r="A1249" s="10" t="s">
        <v>1543</v>
      </c>
      <c r="B1249" s="10" t="s">
        <v>1551</v>
      </c>
      <c r="C1249" s="12">
        <v>45225</v>
      </c>
      <c r="D1249" s="10" t="s">
        <v>654</v>
      </c>
      <c r="E1249" s="10" t="s">
        <v>14</v>
      </c>
      <c r="F1249" s="10">
        <v>19462</v>
      </c>
      <c r="G1249" s="10" t="s">
        <v>15</v>
      </c>
      <c r="H1249" s="10" t="s">
        <v>17</v>
      </c>
      <c r="I1249" s="10" t="s">
        <v>66</v>
      </c>
      <c r="J1249" s="10" t="s">
        <v>19</v>
      </c>
      <c r="K1249" s="10" t="s">
        <v>19</v>
      </c>
      <c r="L1249" s="10" t="s">
        <v>19</v>
      </c>
      <c r="M1249" s="12"/>
      <c r="N1249" s="10" t="s">
        <v>20</v>
      </c>
      <c r="O1249" s="10" t="s">
        <v>2054</v>
      </c>
      <c r="P1249" s="25" t="str">
        <f>IFERROR(
IF(OR(O1249="anulado",O1249="stand by"),CONCATENATE(O1249,": ",H1249),
IF(OR(YEAR(M1249)=2022,YEAR(M1249)=2023),CONCATENATE("Se activó en ",YEAR(M1249)),
IF(AND(OR(O1249="En proceso",O1249="facturando"),AND(J1249="-",M1249="")),"Por revisar",
IF(M1249="",IF(J1249="NUEVAS",CONCATENATE("Estado: ",O1249,", ",J1249),
IF(L1249=Meses!$A$3,"Por revisar",
IF(H1249="","Sin registro","En programación Frcst."))),"En programación")))),
"Error")</f>
        <v>Por revisar</v>
      </c>
      <c r="Q1249" s="9" t="str">
        <f t="shared" si="57"/>
        <v>programación de act. NO, estado: Facturando, Comercializador: QI ENERGY, Etapa: Instalado y Activado</v>
      </c>
      <c r="R1249" s="25" t="str">
        <f>IF(P1249="En programación Frcst.",VLOOKUP(L1249,Meses!$A$1:$H$14,3+HLOOKUP(Cronograma!J1249,Meses!$D$1:$G$2,2,FALSE),FALSE),
IF(P1249="En programación",M1249,""))</f>
        <v/>
      </c>
      <c r="S1249" s="25" t="str">
        <f t="shared" si="59"/>
        <v/>
      </c>
      <c r="T1249" s="21" t="str">
        <f>IFERROR(
(VLOOKUP(MONTH(R1249),Meses!$B$3:$C$14,2,FALSE)-DAY(R1249))/VLOOKUP(MONTH(R1249),Meses!$B$3:$C$14,2,FALSE)*U1249,
"")</f>
        <v/>
      </c>
      <c r="U1249" s="22">
        <f t="shared" si="58"/>
        <v>19462</v>
      </c>
    </row>
    <row r="1250" spans="1:21" ht="78.599999999999994" hidden="1" thickBot="1" x14ac:dyDescent="0.6">
      <c r="A1250" s="10" t="s">
        <v>1543</v>
      </c>
      <c r="B1250" s="10" t="s">
        <v>1552</v>
      </c>
      <c r="C1250" s="12">
        <v>45225</v>
      </c>
      <c r="D1250" s="10" t="s">
        <v>654</v>
      </c>
      <c r="E1250" s="10" t="s">
        <v>14</v>
      </c>
      <c r="F1250" s="10">
        <v>7891</v>
      </c>
      <c r="G1250" s="10" t="s">
        <v>15</v>
      </c>
      <c r="H1250" s="10" t="s">
        <v>17</v>
      </c>
      <c r="I1250" s="10" t="s">
        <v>66</v>
      </c>
      <c r="J1250" s="10" t="s">
        <v>19</v>
      </c>
      <c r="K1250" s="10" t="s">
        <v>19</v>
      </c>
      <c r="L1250" s="10" t="s">
        <v>19</v>
      </c>
      <c r="M1250" s="12"/>
      <c r="N1250" s="10" t="s">
        <v>20</v>
      </c>
      <c r="O1250" s="10" t="s">
        <v>2054</v>
      </c>
      <c r="P1250" s="25" t="str">
        <f>IFERROR(
IF(OR(O1250="anulado",O1250="stand by"),CONCATENATE(O1250,": ",H1250),
IF(OR(YEAR(M1250)=2022,YEAR(M1250)=2023),CONCATENATE("Se activó en ",YEAR(M1250)),
IF(AND(OR(O1250="En proceso",O1250="facturando"),AND(J1250="-",M1250="")),"Por revisar",
IF(M1250="",IF(J1250="NUEVAS",CONCATENATE("Estado: ",O1250,", ",J1250),
IF(L1250=Meses!$A$3,"Por revisar",
IF(H1250="","Sin registro","En programación Frcst."))),"En programación")))),
"Error")</f>
        <v>Por revisar</v>
      </c>
      <c r="Q1250" s="9" t="str">
        <f t="shared" si="57"/>
        <v>programación de act. NO, estado: Facturando, Comercializador: QI ENERGY, Etapa: Instalado y Activado</v>
      </c>
      <c r="R1250" s="25" t="str">
        <f>IF(P1250="En programación Frcst.",VLOOKUP(L1250,Meses!$A$1:$H$14,3+HLOOKUP(Cronograma!J1250,Meses!$D$1:$G$2,2,FALSE),FALSE),
IF(P1250="En programación",M1250,""))</f>
        <v/>
      </c>
      <c r="S1250" s="25" t="str">
        <f t="shared" si="59"/>
        <v/>
      </c>
      <c r="T1250" s="21" t="str">
        <f>IFERROR(
(VLOOKUP(MONTH(R1250),Meses!$B$3:$C$14,2,FALSE)-DAY(R1250))/VLOOKUP(MONTH(R1250),Meses!$B$3:$C$14,2,FALSE)*U1250,
"")</f>
        <v/>
      </c>
      <c r="U1250" s="22">
        <f t="shared" si="58"/>
        <v>7891</v>
      </c>
    </row>
    <row r="1251" spans="1:21" ht="78.599999999999994" hidden="1" thickBot="1" x14ac:dyDescent="0.6">
      <c r="A1251" s="10" t="s">
        <v>1543</v>
      </c>
      <c r="B1251" s="10" t="s">
        <v>1553</v>
      </c>
      <c r="C1251" s="12">
        <v>45225</v>
      </c>
      <c r="D1251" s="10" t="s">
        <v>654</v>
      </c>
      <c r="E1251" s="10" t="s">
        <v>14</v>
      </c>
      <c r="F1251" s="10">
        <v>1266</v>
      </c>
      <c r="G1251" s="10" t="s">
        <v>15</v>
      </c>
      <c r="H1251" s="10" t="s">
        <v>17</v>
      </c>
      <c r="I1251" s="10" t="s">
        <v>66</v>
      </c>
      <c r="J1251" s="10" t="s">
        <v>19</v>
      </c>
      <c r="K1251" s="10" t="s">
        <v>19</v>
      </c>
      <c r="L1251" s="10" t="s">
        <v>19</v>
      </c>
      <c r="M1251" s="12"/>
      <c r="N1251" s="10" t="s">
        <v>20</v>
      </c>
      <c r="O1251" s="10" t="s">
        <v>2054</v>
      </c>
      <c r="P1251" s="25" t="str">
        <f>IFERROR(
IF(OR(O1251="anulado",O1251="stand by"),CONCATENATE(O1251,": ",H1251),
IF(OR(YEAR(M1251)=2022,YEAR(M1251)=2023),CONCATENATE("Se activó en ",YEAR(M1251)),
IF(AND(OR(O1251="En proceso",O1251="facturando"),AND(J1251="-",M1251="")),"Por revisar",
IF(M1251="",IF(J1251="NUEVAS",CONCATENATE("Estado: ",O1251,", ",J1251),
IF(L1251=Meses!$A$3,"Por revisar",
IF(H1251="","Sin registro","En programación Frcst."))),"En programación")))),
"Error")</f>
        <v>Por revisar</v>
      </c>
      <c r="Q1251" s="9" t="str">
        <f t="shared" si="57"/>
        <v>programación de act. NO, estado: Facturando, Comercializador: QI ENERGY, Etapa: Instalado y Activado</v>
      </c>
      <c r="R1251" s="25" t="str">
        <f>IF(P1251="En programación Frcst.",VLOOKUP(L1251,Meses!$A$1:$H$14,3+HLOOKUP(Cronograma!J1251,Meses!$D$1:$G$2,2,FALSE),FALSE),
IF(P1251="En programación",M1251,""))</f>
        <v/>
      </c>
      <c r="S1251" s="25" t="str">
        <f t="shared" si="59"/>
        <v/>
      </c>
      <c r="T1251" s="21" t="str">
        <f>IFERROR(
(VLOOKUP(MONTH(R1251),Meses!$B$3:$C$14,2,FALSE)-DAY(R1251))/VLOOKUP(MONTH(R1251),Meses!$B$3:$C$14,2,FALSE)*U1251,
"")</f>
        <v/>
      </c>
      <c r="U1251" s="22">
        <f t="shared" si="58"/>
        <v>1266</v>
      </c>
    </row>
    <row r="1252" spans="1:21" ht="78.599999999999994" hidden="1" thickBot="1" x14ac:dyDescent="0.6">
      <c r="A1252" s="10" t="s">
        <v>1543</v>
      </c>
      <c r="B1252" s="10" t="s">
        <v>1554</v>
      </c>
      <c r="C1252" s="12">
        <v>45225</v>
      </c>
      <c r="D1252" s="10" t="s">
        <v>654</v>
      </c>
      <c r="E1252" s="10" t="s">
        <v>14</v>
      </c>
      <c r="F1252" s="10">
        <v>10544</v>
      </c>
      <c r="G1252" s="10" t="s">
        <v>15</v>
      </c>
      <c r="H1252" s="10" t="s">
        <v>17</v>
      </c>
      <c r="I1252" s="10" t="s">
        <v>66</v>
      </c>
      <c r="J1252" s="10" t="s">
        <v>19</v>
      </c>
      <c r="K1252" s="10" t="s">
        <v>19</v>
      </c>
      <c r="L1252" s="10" t="s">
        <v>19</v>
      </c>
      <c r="M1252" s="12"/>
      <c r="N1252" s="10" t="s">
        <v>20</v>
      </c>
      <c r="O1252" s="10" t="s">
        <v>2054</v>
      </c>
      <c r="P1252" s="25" t="str">
        <f>IFERROR(
IF(OR(O1252="anulado",O1252="stand by"),CONCATENATE(O1252,": ",H1252),
IF(OR(YEAR(M1252)=2022,YEAR(M1252)=2023),CONCATENATE("Se activó en ",YEAR(M1252)),
IF(AND(OR(O1252="En proceso",O1252="facturando"),AND(J1252="-",M1252="")),"Por revisar",
IF(M1252="",IF(J1252="NUEVAS",CONCATENATE("Estado: ",O1252,", ",J1252),
IF(L1252=Meses!$A$3,"Por revisar",
IF(H1252="","Sin registro","En programación Frcst."))),"En programación")))),
"Error")</f>
        <v>Por revisar</v>
      </c>
      <c r="Q1252" s="9" t="str">
        <f t="shared" si="57"/>
        <v>programación de act. NO, estado: Facturando, Comercializador: QI ENERGY, Etapa: Instalado y Activado</v>
      </c>
      <c r="R1252" s="25" t="str">
        <f>IF(P1252="En programación Frcst.",VLOOKUP(L1252,Meses!$A$1:$H$14,3+HLOOKUP(Cronograma!J1252,Meses!$D$1:$G$2,2,FALSE),FALSE),
IF(P1252="En programación",M1252,""))</f>
        <v/>
      </c>
      <c r="S1252" s="25" t="str">
        <f t="shared" si="59"/>
        <v/>
      </c>
      <c r="T1252" s="21" t="str">
        <f>IFERROR(
(VLOOKUP(MONTH(R1252),Meses!$B$3:$C$14,2,FALSE)-DAY(R1252))/VLOOKUP(MONTH(R1252),Meses!$B$3:$C$14,2,FALSE)*U1252,
"")</f>
        <v/>
      </c>
      <c r="U1252" s="22">
        <f t="shared" si="58"/>
        <v>10544</v>
      </c>
    </row>
    <row r="1253" spans="1:21" ht="78.599999999999994" hidden="1" thickBot="1" x14ac:dyDescent="0.6">
      <c r="A1253" s="10" t="s">
        <v>1543</v>
      </c>
      <c r="B1253" s="10" t="s">
        <v>1555</v>
      </c>
      <c r="C1253" s="12">
        <v>45225</v>
      </c>
      <c r="D1253" s="10" t="s">
        <v>654</v>
      </c>
      <c r="E1253" s="10" t="s">
        <v>14</v>
      </c>
      <c r="F1253" s="10">
        <v>9782</v>
      </c>
      <c r="G1253" s="10" t="s">
        <v>15</v>
      </c>
      <c r="H1253" s="10" t="s">
        <v>17</v>
      </c>
      <c r="I1253" s="10" t="s">
        <v>66</v>
      </c>
      <c r="J1253" s="10" t="s">
        <v>19</v>
      </c>
      <c r="K1253" s="10" t="s">
        <v>19</v>
      </c>
      <c r="L1253" s="10" t="s">
        <v>19</v>
      </c>
      <c r="M1253" s="12"/>
      <c r="N1253" s="10" t="s">
        <v>20</v>
      </c>
      <c r="O1253" s="10" t="s">
        <v>2054</v>
      </c>
      <c r="P1253" s="25" t="str">
        <f>IFERROR(
IF(OR(O1253="anulado",O1253="stand by"),CONCATENATE(O1253,": ",H1253),
IF(OR(YEAR(M1253)=2022,YEAR(M1253)=2023),CONCATENATE("Se activó en ",YEAR(M1253)),
IF(AND(OR(O1253="En proceso",O1253="facturando"),AND(J1253="-",M1253="")),"Por revisar",
IF(M1253="",IF(J1253="NUEVAS",CONCATENATE("Estado: ",O1253,", ",J1253),
IF(L1253=Meses!$A$3,"Por revisar",
IF(H1253="","Sin registro","En programación Frcst."))),"En programación")))),
"Error")</f>
        <v>Por revisar</v>
      </c>
      <c r="Q1253" s="9" t="str">
        <f t="shared" si="57"/>
        <v>programación de act. NO, estado: Facturando, Comercializador: QI ENERGY, Etapa: Instalado y Activado</v>
      </c>
      <c r="R1253" s="25" t="str">
        <f>IF(P1253="En programación Frcst.",VLOOKUP(L1253,Meses!$A$1:$H$14,3+HLOOKUP(Cronograma!J1253,Meses!$D$1:$G$2,2,FALSE),FALSE),
IF(P1253="En programación",M1253,""))</f>
        <v/>
      </c>
      <c r="S1253" s="25" t="str">
        <f t="shared" si="59"/>
        <v/>
      </c>
      <c r="T1253" s="21" t="str">
        <f>IFERROR(
(VLOOKUP(MONTH(R1253),Meses!$B$3:$C$14,2,FALSE)-DAY(R1253))/VLOOKUP(MONTH(R1253),Meses!$B$3:$C$14,2,FALSE)*U1253,
"")</f>
        <v/>
      </c>
      <c r="U1253" s="22">
        <f t="shared" si="58"/>
        <v>9782</v>
      </c>
    </row>
    <row r="1254" spans="1:21" ht="78.599999999999994" hidden="1" thickBot="1" x14ac:dyDescent="0.6">
      <c r="A1254" s="10" t="s">
        <v>1543</v>
      </c>
      <c r="B1254" s="10" t="s">
        <v>1556</v>
      </c>
      <c r="C1254" s="12">
        <v>45225</v>
      </c>
      <c r="D1254" s="10" t="s">
        <v>654</v>
      </c>
      <c r="E1254" s="10" t="s">
        <v>14</v>
      </c>
      <c r="F1254" s="10">
        <v>5795</v>
      </c>
      <c r="G1254" s="10" t="s">
        <v>15</v>
      </c>
      <c r="H1254" s="10" t="s">
        <v>17</v>
      </c>
      <c r="I1254" s="10" t="s">
        <v>66</v>
      </c>
      <c r="J1254" s="10" t="s">
        <v>19</v>
      </c>
      <c r="K1254" s="10" t="s">
        <v>19</v>
      </c>
      <c r="L1254" s="10" t="s">
        <v>19</v>
      </c>
      <c r="M1254" s="12"/>
      <c r="N1254" s="10" t="s">
        <v>20</v>
      </c>
      <c r="O1254" s="10" t="s">
        <v>2054</v>
      </c>
      <c r="P1254" s="25" t="str">
        <f>IFERROR(
IF(OR(O1254="anulado",O1254="stand by"),CONCATENATE(O1254,": ",H1254),
IF(OR(YEAR(M1254)=2022,YEAR(M1254)=2023),CONCATENATE("Se activó en ",YEAR(M1254)),
IF(AND(OR(O1254="En proceso",O1254="facturando"),AND(J1254="-",M1254="")),"Por revisar",
IF(M1254="",IF(J1254="NUEVAS",CONCATENATE("Estado: ",O1254,", ",J1254),
IF(L1254=Meses!$A$3,"Por revisar",
IF(H1254="","Sin registro","En programación Frcst."))),"En programación")))),
"Error")</f>
        <v>Por revisar</v>
      </c>
      <c r="Q1254" s="9" t="str">
        <f t="shared" si="57"/>
        <v>programación de act. NO, estado: Facturando, Comercializador: QI ENERGY, Etapa: Instalado y Activado</v>
      </c>
      <c r="R1254" s="25" t="str">
        <f>IF(P1254="En programación Frcst.",VLOOKUP(L1254,Meses!$A$1:$H$14,3+HLOOKUP(Cronograma!J1254,Meses!$D$1:$G$2,2,FALSE),FALSE),
IF(P1254="En programación",M1254,""))</f>
        <v/>
      </c>
      <c r="S1254" s="25" t="str">
        <f t="shared" si="59"/>
        <v/>
      </c>
      <c r="T1254" s="21" t="str">
        <f>IFERROR(
(VLOOKUP(MONTH(R1254),Meses!$B$3:$C$14,2,FALSE)-DAY(R1254))/VLOOKUP(MONTH(R1254),Meses!$B$3:$C$14,2,FALSE)*U1254,
"")</f>
        <v/>
      </c>
      <c r="U1254" s="22">
        <f t="shared" si="58"/>
        <v>5795</v>
      </c>
    </row>
    <row r="1255" spans="1:21" ht="78.599999999999994" hidden="1" thickBot="1" x14ac:dyDescent="0.6">
      <c r="A1255" s="10" t="s">
        <v>1543</v>
      </c>
      <c r="B1255" s="10" t="s">
        <v>1557</v>
      </c>
      <c r="C1255" s="12">
        <v>45225</v>
      </c>
      <c r="D1255" s="10" t="s">
        <v>654</v>
      </c>
      <c r="E1255" s="10" t="s">
        <v>14</v>
      </c>
      <c r="F1255" s="10">
        <v>5686</v>
      </c>
      <c r="G1255" s="10" t="s">
        <v>15</v>
      </c>
      <c r="H1255" s="10" t="s">
        <v>17</v>
      </c>
      <c r="I1255" s="10" t="s">
        <v>66</v>
      </c>
      <c r="J1255" s="10" t="s">
        <v>19</v>
      </c>
      <c r="K1255" s="10" t="s">
        <v>19</v>
      </c>
      <c r="L1255" s="10" t="s">
        <v>19</v>
      </c>
      <c r="M1255" s="12"/>
      <c r="N1255" s="10" t="s">
        <v>20</v>
      </c>
      <c r="O1255" s="10" t="s">
        <v>2054</v>
      </c>
      <c r="P1255" s="25" t="str">
        <f>IFERROR(
IF(OR(O1255="anulado",O1255="stand by"),CONCATENATE(O1255,": ",H1255),
IF(OR(YEAR(M1255)=2022,YEAR(M1255)=2023),CONCATENATE("Se activó en ",YEAR(M1255)),
IF(AND(OR(O1255="En proceso",O1255="facturando"),AND(J1255="-",M1255="")),"Por revisar",
IF(M1255="",IF(J1255="NUEVAS",CONCATENATE("Estado: ",O1255,", ",J1255),
IF(L1255=Meses!$A$3,"Por revisar",
IF(H1255="","Sin registro","En programación Frcst."))),"En programación")))),
"Error")</f>
        <v>Por revisar</v>
      </c>
      <c r="Q1255" s="9" t="str">
        <f t="shared" si="57"/>
        <v>programación de act. NO, estado: Facturando, Comercializador: QI ENERGY, Etapa: Instalado y Activado</v>
      </c>
      <c r="R1255" s="25" t="str">
        <f>IF(P1255="En programación Frcst.",VLOOKUP(L1255,Meses!$A$1:$H$14,3+HLOOKUP(Cronograma!J1255,Meses!$D$1:$G$2,2,FALSE),FALSE),
IF(P1255="En programación",M1255,""))</f>
        <v/>
      </c>
      <c r="S1255" s="25" t="str">
        <f t="shared" si="59"/>
        <v/>
      </c>
      <c r="T1255" s="21" t="str">
        <f>IFERROR(
(VLOOKUP(MONTH(R1255),Meses!$B$3:$C$14,2,FALSE)-DAY(R1255))/VLOOKUP(MONTH(R1255),Meses!$B$3:$C$14,2,FALSE)*U1255,
"")</f>
        <v/>
      </c>
      <c r="U1255" s="22">
        <f t="shared" si="58"/>
        <v>5686</v>
      </c>
    </row>
    <row r="1256" spans="1:21" ht="78.599999999999994" hidden="1" thickBot="1" x14ac:dyDescent="0.6">
      <c r="A1256" s="10" t="s">
        <v>1543</v>
      </c>
      <c r="B1256" s="10" t="s">
        <v>1558</v>
      </c>
      <c r="C1256" s="12">
        <v>45225</v>
      </c>
      <c r="D1256" s="10" t="s">
        <v>654</v>
      </c>
      <c r="E1256" s="10" t="s">
        <v>14</v>
      </c>
      <c r="F1256" s="10">
        <v>8865</v>
      </c>
      <c r="G1256" s="10" t="s">
        <v>15</v>
      </c>
      <c r="H1256" s="10" t="s">
        <v>17</v>
      </c>
      <c r="I1256" s="10" t="s">
        <v>66</v>
      </c>
      <c r="J1256" s="10" t="s">
        <v>19</v>
      </c>
      <c r="K1256" s="10" t="s">
        <v>19</v>
      </c>
      <c r="L1256" s="10" t="s">
        <v>19</v>
      </c>
      <c r="M1256" s="12"/>
      <c r="N1256" s="10" t="s">
        <v>20</v>
      </c>
      <c r="O1256" s="10" t="s">
        <v>2054</v>
      </c>
      <c r="P1256" s="25" t="str">
        <f>IFERROR(
IF(OR(O1256="anulado",O1256="stand by"),CONCATENATE(O1256,": ",H1256),
IF(OR(YEAR(M1256)=2022,YEAR(M1256)=2023),CONCATENATE("Se activó en ",YEAR(M1256)),
IF(AND(OR(O1256="En proceso",O1256="facturando"),AND(J1256="-",M1256="")),"Por revisar",
IF(M1256="",IF(J1256="NUEVAS",CONCATENATE("Estado: ",O1256,", ",J1256),
IF(L1256=Meses!$A$3,"Por revisar",
IF(H1256="","Sin registro","En programación Frcst."))),"En programación")))),
"Error")</f>
        <v>Por revisar</v>
      </c>
      <c r="Q1256" s="9" t="str">
        <f t="shared" si="57"/>
        <v>programación de act. NO, estado: Facturando, Comercializador: QI ENERGY, Etapa: Instalado y Activado</v>
      </c>
      <c r="R1256" s="25" t="str">
        <f>IF(P1256="En programación Frcst.",VLOOKUP(L1256,Meses!$A$1:$H$14,3+HLOOKUP(Cronograma!J1256,Meses!$D$1:$G$2,2,FALSE),FALSE),
IF(P1256="En programación",M1256,""))</f>
        <v/>
      </c>
      <c r="S1256" s="25" t="str">
        <f t="shared" si="59"/>
        <v/>
      </c>
      <c r="T1256" s="21" t="str">
        <f>IFERROR(
(VLOOKUP(MONTH(R1256),Meses!$B$3:$C$14,2,FALSE)-DAY(R1256))/VLOOKUP(MONTH(R1256),Meses!$B$3:$C$14,2,FALSE)*U1256,
"")</f>
        <v/>
      </c>
      <c r="U1256" s="22">
        <f t="shared" si="58"/>
        <v>8865</v>
      </c>
    </row>
    <row r="1257" spans="1:21" ht="78.599999999999994" hidden="1" thickBot="1" x14ac:dyDescent="0.6">
      <c r="A1257" s="10" t="s">
        <v>1543</v>
      </c>
      <c r="B1257" s="10" t="s">
        <v>1559</v>
      </c>
      <c r="C1257" s="12">
        <v>45225</v>
      </c>
      <c r="D1257" s="10" t="s">
        <v>654</v>
      </c>
      <c r="E1257" s="10" t="s">
        <v>14</v>
      </c>
      <c r="F1257" s="10">
        <v>7088</v>
      </c>
      <c r="G1257" s="10" t="s">
        <v>15</v>
      </c>
      <c r="H1257" s="10" t="s">
        <v>17</v>
      </c>
      <c r="I1257" s="10" t="s">
        <v>66</v>
      </c>
      <c r="J1257" s="10" t="s">
        <v>19</v>
      </c>
      <c r="K1257" s="10" t="s">
        <v>19</v>
      </c>
      <c r="L1257" s="10" t="s">
        <v>19</v>
      </c>
      <c r="M1257" s="12"/>
      <c r="N1257" s="10" t="s">
        <v>20</v>
      </c>
      <c r="O1257" s="10" t="s">
        <v>2054</v>
      </c>
      <c r="P1257" s="25" t="str">
        <f>IFERROR(
IF(OR(O1257="anulado",O1257="stand by"),CONCATENATE(O1257,": ",H1257),
IF(OR(YEAR(M1257)=2022,YEAR(M1257)=2023),CONCATENATE("Se activó en ",YEAR(M1257)),
IF(AND(OR(O1257="En proceso",O1257="facturando"),AND(J1257="-",M1257="")),"Por revisar",
IF(M1257="",IF(J1257="NUEVAS",CONCATENATE("Estado: ",O1257,", ",J1257),
IF(L1257=Meses!$A$3,"Por revisar",
IF(H1257="","Sin registro","En programación Frcst."))),"En programación")))),
"Error")</f>
        <v>Por revisar</v>
      </c>
      <c r="Q1257" s="9" t="str">
        <f t="shared" si="57"/>
        <v>programación de act. NO, estado: Facturando, Comercializador: QI ENERGY, Etapa: Instalado y Activado</v>
      </c>
      <c r="R1257" s="25" t="str">
        <f>IF(P1257="En programación Frcst.",VLOOKUP(L1257,Meses!$A$1:$H$14,3+HLOOKUP(Cronograma!J1257,Meses!$D$1:$G$2,2,FALSE),FALSE),
IF(P1257="En programación",M1257,""))</f>
        <v/>
      </c>
      <c r="S1257" s="25" t="str">
        <f t="shared" si="59"/>
        <v/>
      </c>
      <c r="T1257" s="21" t="str">
        <f>IFERROR(
(VLOOKUP(MONTH(R1257),Meses!$B$3:$C$14,2,FALSE)-DAY(R1257))/VLOOKUP(MONTH(R1257),Meses!$B$3:$C$14,2,FALSE)*U1257,
"")</f>
        <v/>
      </c>
      <c r="U1257" s="22">
        <f t="shared" si="58"/>
        <v>7088</v>
      </c>
    </row>
    <row r="1258" spans="1:21" ht="78.599999999999994" hidden="1" thickBot="1" x14ac:dyDescent="0.6">
      <c r="A1258" s="10" t="s">
        <v>1543</v>
      </c>
      <c r="B1258" s="10" t="s">
        <v>1560</v>
      </c>
      <c r="C1258" s="12">
        <v>45225</v>
      </c>
      <c r="D1258" s="10" t="s">
        <v>654</v>
      </c>
      <c r="E1258" s="10" t="s">
        <v>14</v>
      </c>
      <c r="F1258" s="10" t="s">
        <v>2411</v>
      </c>
      <c r="G1258" s="10" t="s">
        <v>15</v>
      </c>
      <c r="H1258" s="10" t="s">
        <v>17</v>
      </c>
      <c r="I1258" s="10" t="s">
        <v>66</v>
      </c>
      <c r="J1258" s="10" t="s">
        <v>19</v>
      </c>
      <c r="K1258" s="10" t="s">
        <v>19</v>
      </c>
      <c r="L1258" s="10" t="s">
        <v>19</v>
      </c>
      <c r="M1258" s="12"/>
      <c r="N1258" s="10" t="s">
        <v>20</v>
      </c>
      <c r="O1258" s="10" t="s">
        <v>2054</v>
      </c>
      <c r="P1258" s="25" t="str">
        <f>IFERROR(
IF(OR(O1258="anulado",O1258="stand by"),CONCATENATE(O1258,": ",H1258),
IF(OR(YEAR(M1258)=2022,YEAR(M1258)=2023),CONCATENATE("Se activó en ",YEAR(M1258)),
IF(AND(OR(O1258="En proceso",O1258="facturando"),AND(J1258="-",M1258="")),"Por revisar",
IF(M1258="",IF(J1258="NUEVAS",CONCATENATE("Estado: ",O1258,", ",J1258),
IF(L1258=Meses!$A$3,"Por revisar",
IF(H1258="","Sin registro","En programación Frcst."))),"En programación")))),
"Error")</f>
        <v>Por revisar</v>
      </c>
      <c r="Q1258" s="9" t="str">
        <f t="shared" si="57"/>
        <v>programación de act. NO, estado: Facturando, Comercializador: QI ENERGY, Etapa: Instalado y Activado</v>
      </c>
      <c r="R1258" s="25" t="str">
        <f>IF(P1258="En programación Frcst.",VLOOKUP(L1258,Meses!$A$1:$H$14,3+HLOOKUP(Cronograma!J1258,Meses!$D$1:$G$2,2,FALSE),FALSE),
IF(P1258="En programación",M1258,""))</f>
        <v/>
      </c>
      <c r="S1258" s="25" t="str">
        <f t="shared" si="59"/>
        <v/>
      </c>
      <c r="T1258" s="21" t="str">
        <f>IFERROR(
(VLOOKUP(MONTH(R1258),Meses!$B$3:$C$14,2,FALSE)-DAY(R1258))/VLOOKUP(MONTH(R1258),Meses!$B$3:$C$14,2,FALSE)*U1258,
"")</f>
        <v/>
      </c>
      <c r="U1258" s="22" t="str">
        <f t="shared" si="58"/>
        <v>5.,290.00</v>
      </c>
    </row>
    <row r="1259" spans="1:21" ht="78.599999999999994" hidden="1" thickBot="1" x14ac:dyDescent="0.6">
      <c r="A1259" s="10" t="s">
        <v>1543</v>
      </c>
      <c r="B1259" s="10" t="s">
        <v>1561</v>
      </c>
      <c r="C1259" s="12">
        <v>45225</v>
      </c>
      <c r="D1259" s="10" t="s">
        <v>654</v>
      </c>
      <c r="E1259" s="10" t="s">
        <v>14</v>
      </c>
      <c r="F1259" s="10">
        <v>6696</v>
      </c>
      <c r="G1259" s="10" t="s">
        <v>15</v>
      </c>
      <c r="H1259" s="10" t="s">
        <v>17</v>
      </c>
      <c r="I1259" s="10" t="s">
        <v>66</v>
      </c>
      <c r="J1259" s="10" t="s">
        <v>19</v>
      </c>
      <c r="K1259" s="10" t="s">
        <v>19</v>
      </c>
      <c r="L1259" s="10" t="s">
        <v>19</v>
      </c>
      <c r="M1259" s="12"/>
      <c r="N1259" s="10" t="s">
        <v>20</v>
      </c>
      <c r="O1259" s="10" t="s">
        <v>2054</v>
      </c>
      <c r="P1259" s="25" t="str">
        <f>IFERROR(
IF(OR(O1259="anulado",O1259="stand by"),CONCATENATE(O1259,": ",H1259),
IF(OR(YEAR(M1259)=2022,YEAR(M1259)=2023),CONCATENATE("Se activó en ",YEAR(M1259)),
IF(AND(OR(O1259="En proceso",O1259="facturando"),AND(J1259="-",M1259="")),"Por revisar",
IF(M1259="",IF(J1259="NUEVAS",CONCATENATE("Estado: ",O1259,", ",J1259),
IF(L1259=Meses!$A$3,"Por revisar",
IF(H1259="","Sin registro","En programación Frcst."))),"En programación")))),
"Error")</f>
        <v>Por revisar</v>
      </c>
      <c r="Q1259" s="9" t="str">
        <f t="shared" si="57"/>
        <v>programación de act. NO, estado: Facturando, Comercializador: QI ENERGY, Etapa: Instalado y Activado</v>
      </c>
      <c r="R1259" s="25" t="str">
        <f>IF(P1259="En programación Frcst.",VLOOKUP(L1259,Meses!$A$1:$H$14,3+HLOOKUP(Cronograma!J1259,Meses!$D$1:$G$2,2,FALSE),FALSE),
IF(P1259="En programación",M1259,""))</f>
        <v/>
      </c>
      <c r="S1259" s="25" t="str">
        <f t="shared" si="59"/>
        <v/>
      </c>
      <c r="T1259" s="21" t="str">
        <f>IFERROR(
(VLOOKUP(MONTH(R1259),Meses!$B$3:$C$14,2,FALSE)-DAY(R1259))/VLOOKUP(MONTH(R1259),Meses!$B$3:$C$14,2,FALSE)*U1259,
"")</f>
        <v/>
      </c>
      <c r="U1259" s="22">
        <f t="shared" si="58"/>
        <v>6696</v>
      </c>
    </row>
    <row r="1260" spans="1:21" ht="78.599999999999994" hidden="1" thickBot="1" x14ac:dyDescent="0.6">
      <c r="A1260" s="10" t="s">
        <v>1543</v>
      </c>
      <c r="B1260" s="10" t="s">
        <v>1562</v>
      </c>
      <c r="C1260" s="12">
        <v>45225</v>
      </c>
      <c r="D1260" s="10" t="s">
        <v>654</v>
      </c>
      <c r="E1260" s="10" t="s">
        <v>14</v>
      </c>
      <c r="F1260" s="10">
        <v>17630</v>
      </c>
      <c r="G1260" s="10" t="s">
        <v>15</v>
      </c>
      <c r="H1260" s="10" t="s">
        <v>17</v>
      </c>
      <c r="I1260" s="10" t="s">
        <v>66</v>
      </c>
      <c r="J1260" s="10" t="s">
        <v>19</v>
      </c>
      <c r="K1260" s="10" t="s">
        <v>19</v>
      </c>
      <c r="L1260" s="10" t="s">
        <v>19</v>
      </c>
      <c r="M1260" s="12"/>
      <c r="N1260" s="10" t="s">
        <v>20</v>
      </c>
      <c r="O1260" s="10" t="s">
        <v>2054</v>
      </c>
      <c r="P1260" s="25" t="str">
        <f>IFERROR(
IF(OR(O1260="anulado",O1260="stand by"),CONCATENATE(O1260,": ",H1260),
IF(OR(YEAR(M1260)=2022,YEAR(M1260)=2023),CONCATENATE("Se activó en ",YEAR(M1260)),
IF(AND(OR(O1260="En proceso",O1260="facturando"),AND(J1260="-",M1260="")),"Por revisar",
IF(M1260="",IF(J1260="NUEVAS",CONCATENATE("Estado: ",O1260,", ",J1260),
IF(L1260=Meses!$A$3,"Por revisar",
IF(H1260="","Sin registro","En programación Frcst."))),"En programación")))),
"Error")</f>
        <v>Por revisar</v>
      </c>
      <c r="Q1260" s="9" t="str">
        <f t="shared" si="57"/>
        <v>programación de act. NO, estado: Facturando, Comercializador: QI ENERGY, Etapa: Instalado y Activado</v>
      </c>
      <c r="R1260" s="25" t="str">
        <f>IF(P1260="En programación Frcst.",VLOOKUP(L1260,Meses!$A$1:$H$14,3+HLOOKUP(Cronograma!J1260,Meses!$D$1:$G$2,2,FALSE),FALSE),
IF(P1260="En programación",M1260,""))</f>
        <v/>
      </c>
      <c r="S1260" s="25" t="str">
        <f t="shared" si="59"/>
        <v/>
      </c>
      <c r="T1260" s="21" t="str">
        <f>IFERROR(
(VLOOKUP(MONTH(R1260),Meses!$B$3:$C$14,2,FALSE)-DAY(R1260))/VLOOKUP(MONTH(R1260),Meses!$B$3:$C$14,2,FALSE)*U1260,
"")</f>
        <v/>
      </c>
      <c r="U1260" s="22">
        <f t="shared" si="58"/>
        <v>17630</v>
      </c>
    </row>
    <row r="1261" spans="1:21" ht="78.599999999999994" hidden="1" thickBot="1" x14ac:dyDescent="0.6">
      <c r="A1261" s="10" t="s">
        <v>1543</v>
      </c>
      <c r="B1261" s="10" t="s">
        <v>1563</v>
      </c>
      <c r="C1261" s="12">
        <v>45225</v>
      </c>
      <c r="D1261" s="10" t="s">
        <v>654</v>
      </c>
      <c r="E1261" s="10" t="s">
        <v>14</v>
      </c>
      <c r="F1261" s="10">
        <v>3877</v>
      </c>
      <c r="G1261" s="10" t="s">
        <v>15</v>
      </c>
      <c r="H1261" s="10" t="s">
        <v>17</v>
      </c>
      <c r="I1261" s="10" t="s">
        <v>66</v>
      </c>
      <c r="J1261" s="10" t="s">
        <v>19</v>
      </c>
      <c r="K1261" s="10" t="s">
        <v>19</v>
      </c>
      <c r="L1261" s="10" t="s">
        <v>19</v>
      </c>
      <c r="M1261" s="12"/>
      <c r="N1261" s="10" t="s">
        <v>20</v>
      </c>
      <c r="O1261" s="10" t="s">
        <v>2054</v>
      </c>
      <c r="P1261" s="25" t="str">
        <f>IFERROR(
IF(OR(O1261="anulado",O1261="stand by"),CONCATENATE(O1261,": ",H1261),
IF(OR(YEAR(M1261)=2022,YEAR(M1261)=2023),CONCATENATE("Se activó en ",YEAR(M1261)),
IF(AND(OR(O1261="En proceso",O1261="facturando"),AND(J1261="-",M1261="")),"Por revisar",
IF(M1261="",IF(J1261="NUEVAS",CONCATENATE("Estado: ",O1261,", ",J1261),
IF(L1261=Meses!$A$3,"Por revisar",
IF(H1261="","Sin registro","En programación Frcst."))),"En programación")))),
"Error")</f>
        <v>Por revisar</v>
      </c>
      <c r="Q1261" s="9" t="str">
        <f t="shared" si="57"/>
        <v>programación de act. NO, estado: Facturando, Comercializador: QI ENERGY, Etapa: Instalado y Activado</v>
      </c>
      <c r="R1261" s="25" t="str">
        <f>IF(P1261="En programación Frcst.",VLOOKUP(L1261,Meses!$A$1:$H$14,3+HLOOKUP(Cronograma!J1261,Meses!$D$1:$G$2,2,FALSE),FALSE),
IF(P1261="En programación",M1261,""))</f>
        <v/>
      </c>
      <c r="S1261" s="25" t="str">
        <f t="shared" si="59"/>
        <v/>
      </c>
      <c r="T1261" s="21" t="str">
        <f>IFERROR(
(VLOOKUP(MONTH(R1261),Meses!$B$3:$C$14,2,FALSE)-DAY(R1261))/VLOOKUP(MONTH(R1261),Meses!$B$3:$C$14,2,FALSE)*U1261,
"")</f>
        <v/>
      </c>
      <c r="U1261" s="22">
        <f t="shared" si="58"/>
        <v>3877</v>
      </c>
    </row>
    <row r="1262" spans="1:21" ht="78.599999999999994" hidden="1" thickBot="1" x14ac:dyDescent="0.6">
      <c r="A1262" s="10" t="s">
        <v>1543</v>
      </c>
      <c r="B1262" s="10" t="s">
        <v>1564</v>
      </c>
      <c r="C1262" s="12">
        <v>45225</v>
      </c>
      <c r="D1262" s="10" t="s">
        <v>654</v>
      </c>
      <c r="E1262" s="10" t="s">
        <v>14</v>
      </c>
      <c r="F1262" s="10">
        <v>14617</v>
      </c>
      <c r="G1262" s="10" t="s">
        <v>15</v>
      </c>
      <c r="H1262" s="10" t="s">
        <v>17</v>
      </c>
      <c r="I1262" s="10" t="s">
        <v>66</v>
      </c>
      <c r="J1262" s="10" t="s">
        <v>19</v>
      </c>
      <c r="K1262" s="10" t="s">
        <v>19</v>
      </c>
      <c r="L1262" s="10" t="s">
        <v>19</v>
      </c>
      <c r="M1262" s="12"/>
      <c r="N1262" s="10" t="s">
        <v>20</v>
      </c>
      <c r="O1262" s="10" t="s">
        <v>2054</v>
      </c>
      <c r="P1262" s="25" t="str">
        <f>IFERROR(
IF(OR(O1262="anulado",O1262="stand by"),CONCATENATE(O1262,": ",H1262),
IF(OR(YEAR(M1262)=2022,YEAR(M1262)=2023),CONCATENATE("Se activó en ",YEAR(M1262)),
IF(AND(OR(O1262="En proceso",O1262="facturando"),AND(J1262="-",M1262="")),"Por revisar",
IF(M1262="",IF(J1262="NUEVAS",CONCATENATE("Estado: ",O1262,", ",J1262),
IF(L1262=Meses!$A$3,"Por revisar",
IF(H1262="","Sin registro","En programación Frcst."))),"En programación")))),
"Error")</f>
        <v>Por revisar</v>
      </c>
      <c r="Q1262" s="9" t="str">
        <f t="shared" si="57"/>
        <v>programación de act. NO, estado: Facturando, Comercializador: QI ENERGY, Etapa: Instalado y Activado</v>
      </c>
      <c r="R1262" s="25" t="str">
        <f>IF(P1262="En programación Frcst.",VLOOKUP(L1262,Meses!$A$1:$H$14,3+HLOOKUP(Cronograma!J1262,Meses!$D$1:$G$2,2,FALSE),FALSE),
IF(P1262="En programación",M1262,""))</f>
        <v/>
      </c>
      <c r="S1262" s="25" t="str">
        <f t="shared" si="59"/>
        <v/>
      </c>
      <c r="T1262" s="21" t="str">
        <f>IFERROR(
(VLOOKUP(MONTH(R1262),Meses!$B$3:$C$14,2,FALSE)-DAY(R1262))/VLOOKUP(MONTH(R1262),Meses!$B$3:$C$14,2,FALSE)*U1262,
"")</f>
        <v/>
      </c>
      <c r="U1262" s="22">
        <f t="shared" si="58"/>
        <v>14617</v>
      </c>
    </row>
    <row r="1263" spans="1:21" ht="78.599999999999994" hidden="1" thickBot="1" x14ac:dyDescent="0.6">
      <c r="A1263" s="10" t="s">
        <v>1543</v>
      </c>
      <c r="B1263" s="10" t="s">
        <v>1565</v>
      </c>
      <c r="C1263" s="12">
        <v>45225</v>
      </c>
      <c r="D1263" s="10" t="s">
        <v>654</v>
      </c>
      <c r="E1263" s="10" t="s">
        <v>14</v>
      </c>
      <c r="F1263" s="10">
        <v>3919</v>
      </c>
      <c r="G1263" s="10" t="s">
        <v>15</v>
      </c>
      <c r="H1263" s="10" t="s">
        <v>17</v>
      </c>
      <c r="I1263" s="10" t="s">
        <v>66</v>
      </c>
      <c r="J1263" s="10" t="s">
        <v>19</v>
      </c>
      <c r="K1263" s="10" t="s">
        <v>19</v>
      </c>
      <c r="L1263" s="10" t="s">
        <v>19</v>
      </c>
      <c r="M1263" s="12"/>
      <c r="N1263" s="10" t="s">
        <v>20</v>
      </c>
      <c r="O1263" s="10" t="s">
        <v>2054</v>
      </c>
      <c r="P1263" s="25" t="str">
        <f>IFERROR(
IF(OR(O1263="anulado",O1263="stand by"),CONCATENATE(O1263,": ",H1263),
IF(OR(YEAR(M1263)=2022,YEAR(M1263)=2023),CONCATENATE("Se activó en ",YEAR(M1263)),
IF(AND(OR(O1263="En proceso",O1263="facturando"),AND(J1263="-",M1263="")),"Por revisar",
IF(M1263="",IF(J1263="NUEVAS",CONCATENATE("Estado: ",O1263,", ",J1263),
IF(L1263=Meses!$A$3,"Por revisar",
IF(H1263="","Sin registro","En programación Frcst."))),"En programación")))),
"Error")</f>
        <v>Por revisar</v>
      </c>
      <c r="Q1263" s="9" t="str">
        <f t="shared" si="57"/>
        <v>programación de act. NO, estado: Facturando, Comercializador: QI ENERGY, Etapa: Instalado y Activado</v>
      </c>
      <c r="R1263" s="25" t="str">
        <f>IF(P1263="En programación Frcst.",VLOOKUP(L1263,Meses!$A$1:$H$14,3+HLOOKUP(Cronograma!J1263,Meses!$D$1:$G$2,2,FALSE),FALSE),
IF(P1263="En programación",M1263,""))</f>
        <v/>
      </c>
      <c r="S1263" s="25" t="str">
        <f t="shared" si="59"/>
        <v/>
      </c>
      <c r="T1263" s="21" t="str">
        <f>IFERROR(
(VLOOKUP(MONTH(R1263),Meses!$B$3:$C$14,2,FALSE)-DAY(R1263))/VLOOKUP(MONTH(R1263),Meses!$B$3:$C$14,2,FALSE)*U1263,
"")</f>
        <v/>
      </c>
      <c r="U1263" s="22">
        <f t="shared" si="58"/>
        <v>3919</v>
      </c>
    </row>
    <row r="1264" spans="1:21" ht="78.599999999999994" hidden="1" thickBot="1" x14ac:dyDescent="0.6">
      <c r="A1264" s="10" t="s">
        <v>1543</v>
      </c>
      <c r="B1264" s="10" t="s">
        <v>1566</v>
      </c>
      <c r="C1264" s="12">
        <v>45225</v>
      </c>
      <c r="D1264" s="10" t="s">
        <v>654</v>
      </c>
      <c r="E1264" s="10" t="s">
        <v>14</v>
      </c>
      <c r="F1264" s="10">
        <v>5419</v>
      </c>
      <c r="G1264" s="10" t="s">
        <v>15</v>
      </c>
      <c r="H1264" s="10" t="s">
        <v>17</v>
      </c>
      <c r="I1264" s="10" t="s">
        <v>66</v>
      </c>
      <c r="J1264" s="10" t="s">
        <v>19</v>
      </c>
      <c r="K1264" s="10" t="s">
        <v>19</v>
      </c>
      <c r="L1264" s="10" t="s">
        <v>19</v>
      </c>
      <c r="M1264" s="12"/>
      <c r="N1264" s="10" t="s">
        <v>20</v>
      </c>
      <c r="O1264" s="10" t="s">
        <v>2054</v>
      </c>
      <c r="P1264" s="25" t="str">
        <f>IFERROR(
IF(OR(O1264="anulado",O1264="stand by"),CONCATENATE(O1264,": ",H1264),
IF(OR(YEAR(M1264)=2022,YEAR(M1264)=2023),CONCATENATE("Se activó en ",YEAR(M1264)),
IF(AND(OR(O1264="En proceso",O1264="facturando"),AND(J1264="-",M1264="")),"Por revisar",
IF(M1264="",IF(J1264="NUEVAS",CONCATENATE("Estado: ",O1264,", ",J1264),
IF(L1264=Meses!$A$3,"Por revisar",
IF(H1264="","Sin registro","En programación Frcst."))),"En programación")))),
"Error")</f>
        <v>Por revisar</v>
      </c>
      <c r="Q1264" s="9" t="str">
        <f t="shared" si="57"/>
        <v>programación de act. NO, estado: Facturando, Comercializador: QI ENERGY, Etapa: Instalado y Activado</v>
      </c>
      <c r="R1264" s="25" t="str">
        <f>IF(P1264="En programación Frcst.",VLOOKUP(L1264,Meses!$A$1:$H$14,3+HLOOKUP(Cronograma!J1264,Meses!$D$1:$G$2,2,FALSE),FALSE),
IF(P1264="En programación",M1264,""))</f>
        <v/>
      </c>
      <c r="S1264" s="25" t="str">
        <f t="shared" si="59"/>
        <v/>
      </c>
      <c r="T1264" s="21" t="str">
        <f>IFERROR(
(VLOOKUP(MONTH(R1264),Meses!$B$3:$C$14,2,FALSE)-DAY(R1264))/VLOOKUP(MONTH(R1264),Meses!$B$3:$C$14,2,FALSE)*U1264,
"")</f>
        <v/>
      </c>
      <c r="U1264" s="22">
        <f t="shared" si="58"/>
        <v>5419</v>
      </c>
    </row>
    <row r="1265" spans="1:21" ht="31.8" hidden="1" thickBot="1" x14ac:dyDescent="0.6">
      <c r="A1265" s="10" t="s">
        <v>1567</v>
      </c>
      <c r="B1265" s="10" t="s">
        <v>1568</v>
      </c>
      <c r="C1265" s="12"/>
      <c r="D1265" s="10" t="s">
        <v>289</v>
      </c>
      <c r="E1265" s="10" t="s">
        <v>289</v>
      </c>
      <c r="F1265" s="10">
        <v>41360</v>
      </c>
      <c r="G1265" s="10" t="s">
        <v>15</v>
      </c>
      <c r="H1265" s="10" t="s">
        <v>140</v>
      </c>
      <c r="I1265" s="10" t="s">
        <v>18</v>
      </c>
      <c r="J1265" s="10" t="s">
        <v>19</v>
      </c>
      <c r="K1265" s="10" t="s">
        <v>19</v>
      </c>
      <c r="L1265" s="10" t="s">
        <v>19</v>
      </c>
      <c r="M1265" s="12"/>
      <c r="N1265" s="10" t="s">
        <v>15</v>
      </c>
      <c r="O1265" s="10" t="s">
        <v>2056</v>
      </c>
      <c r="P1265" s="25" t="str">
        <f>IFERROR(
IF(OR(O1265="anulado",O1265="stand by"),CONCATENATE(O1265,": ",H1265),
IF(OR(YEAR(M1265)=2022,YEAR(M1265)=2023),CONCATENATE("Se activó en ",YEAR(M1265)),
IF(AND(OR(O1265="En proceso",O1265="facturando"),AND(J1265="-",M1265="")),"Por revisar",
IF(M1265="",IF(J1265="NUEVAS",CONCATENATE("Estado: ",O1265,", ",J1265),
IF(L1265=Meses!$A$3,"Por revisar",
IF(H1265="","Sin registro","En programación Frcst."))),"En programación")))),
"Error")</f>
        <v>anulado: Desistido</v>
      </c>
      <c r="Q1265" s="9" t="str">
        <f t="shared" si="57"/>
        <v/>
      </c>
      <c r="R1265" s="25" t="str">
        <f>IF(P1265="En programación Frcst.",VLOOKUP(L1265,Meses!$A$1:$H$14,3+HLOOKUP(Cronograma!J1265,Meses!$D$1:$G$2,2,FALSE),FALSE),
IF(P1265="En programación",M1265,""))</f>
        <v/>
      </c>
      <c r="S1265" s="25" t="str">
        <f t="shared" si="59"/>
        <v/>
      </c>
      <c r="T1265" s="21" t="str">
        <f>IFERROR(
(VLOOKUP(MONTH(R1265),Meses!$B$3:$C$14,2,FALSE)-DAY(R1265))/VLOOKUP(MONTH(R1265),Meses!$B$3:$C$14,2,FALSE)*U1265,
"")</f>
        <v/>
      </c>
      <c r="U1265" s="22">
        <f t="shared" si="58"/>
        <v>41360</v>
      </c>
    </row>
    <row r="1266" spans="1:21" ht="63" hidden="1" thickBot="1" x14ac:dyDescent="0.6">
      <c r="A1266" s="10" t="s">
        <v>1569</v>
      </c>
      <c r="B1266" s="10" t="s">
        <v>1570</v>
      </c>
      <c r="C1266" s="12"/>
      <c r="D1266" s="10" t="s">
        <v>74</v>
      </c>
      <c r="E1266" s="10" t="s">
        <v>74</v>
      </c>
      <c r="F1266" s="10">
        <v>27590</v>
      </c>
      <c r="G1266" s="10" t="s">
        <v>15</v>
      </c>
      <c r="H1266" s="10" t="s">
        <v>2921</v>
      </c>
      <c r="I1266" s="10" t="s">
        <v>43</v>
      </c>
      <c r="J1266" s="10" t="s">
        <v>143</v>
      </c>
      <c r="K1266" s="10" t="s">
        <v>1697</v>
      </c>
      <c r="L1266" s="10" t="s">
        <v>1120</v>
      </c>
      <c r="M1266" s="12">
        <v>45365</v>
      </c>
      <c r="N1266" s="10" t="s">
        <v>15</v>
      </c>
      <c r="O1266" s="10" t="s">
        <v>2057</v>
      </c>
      <c r="P1266" s="25" t="str">
        <f>IFERROR(
IF(OR(O1266="anulado",O1266="stand by"),CONCATENATE(O1266,": ",H1266),
IF(OR(YEAR(M1266)=2022,YEAR(M1266)=2023),CONCATENATE("Se activó en ",YEAR(M1266)),
IF(AND(OR(O1266="En proceso",O1266="facturando"),AND(J1266="-",M1266="")),"Por revisar",
IF(M1266="",IF(J1266="NUEVAS",CONCATENATE("Estado: ",O1266,", ",J1266),
IF(L1266=Meses!$A$3,"Por revisar",
IF(H1266="","Sin registro","En programación Frcst."))),"En programación")))),
"Error")</f>
        <v>En programación</v>
      </c>
      <c r="Q1266" s="9" t="str">
        <f t="shared" si="57"/>
        <v/>
      </c>
      <c r="R1266" s="25">
        <f>IF(P1266="En programación Frcst.",VLOOKUP(L1266,Meses!$A$1:$H$14,3+HLOOKUP(Cronograma!J1266,Meses!$D$1:$G$2,2,FALSE),FALSE),
IF(P1266="En programación",M1266,""))</f>
        <v>45365</v>
      </c>
      <c r="S1266" s="25" t="str">
        <f t="shared" si="59"/>
        <v>2024/3</v>
      </c>
      <c r="T1266" s="21">
        <f>IFERROR(
(VLOOKUP(MONTH(R1266),Meses!$B$3:$C$14,2,FALSE)-DAY(R1266))/VLOOKUP(MONTH(R1266),Meses!$B$3:$C$14,2,FALSE)*U1266,
"")</f>
        <v>15129.999999999998</v>
      </c>
      <c r="U1266" s="22">
        <f t="shared" si="58"/>
        <v>27590</v>
      </c>
    </row>
    <row r="1267" spans="1:21" ht="32.4" hidden="1" thickBot="1" x14ac:dyDescent="0.6">
      <c r="A1267" s="10" t="s">
        <v>760</v>
      </c>
      <c r="B1267" s="10" t="s">
        <v>1571</v>
      </c>
      <c r="C1267" s="12">
        <v>45225</v>
      </c>
      <c r="D1267" s="10" t="s">
        <v>862</v>
      </c>
      <c r="E1267" s="10" t="s">
        <v>14</v>
      </c>
      <c r="F1267" s="10">
        <v>13068</v>
      </c>
      <c r="G1267" s="10" t="s">
        <v>15</v>
      </c>
      <c r="H1267" s="10" t="s">
        <v>17</v>
      </c>
      <c r="I1267" s="10" t="s">
        <v>66</v>
      </c>
      <c r="J1267" s="10" t="s">
        <v>19</v>
      </c>
      <c r="K1267" s="10" t="s">
        <v>19</v>
      </c>
      <c r="L1267" s="10" t="s">
        <v>19</v>
      </c>
      <c r="M1267" s="12"/>
      <c r="N1267" s="10" t="s">
        <v>20</v>
      </c>
      <c r="O1267" s="10" t="s">
        <v>2054</v>
      </c>
      <c r="P1267" s="25" t="str">
        <f>IFERROR(
IF(OR(O1267="anulado",O1267="stand by"),CONCATENATE(O1267,": ",H1267),
IF(OR(YEAR(M1267)=2022,YEAR(M1267)=2023),CONCATENATE("Se activó en ",YEAR(M1267)),
IF(AND(OR(O1267="En proceso",O1267="facturando"),AND(J1267="-",M1267="")),"Por revisar",
IF(M1267="",IF(J1267="NUEVAS",CONCATENATE("Estado: ",O1267,", ",J1267),
IF(L1267=Meses!$A$3,"Por revisar",
IF(H1267="","Sin registro","En programación Frcst."))),"En programación")))),
"Error")</f>
        <v>Por revisar</v>
      </c>
      <c r="Q1267" s="9" t="str">
        <f t="shared" si="57"/>
        <v>programación de act. NO, estado: Facturando, Comercializador: DICELER, Etapa: Instalado y Activado</v>
      </c>
      <c r="R1267" s="25" t="str">
        <f>IF(P1267="En programación Frcst.",VLOOKUP(L1267,Meses!$A$1:$H$14,3+HLOOKUP(Cronograma!J1267,Meses!$D$1:$G$2,2,FALSE),FALSE),
IF(P1267="En programación",M1267,""))</f>
        <v/>
      </c>
      <c r="S1267" s="25" t="str">
        <f t="shared" si="59"/>
        <v/>
      </c>
      <c r="T1267" s="21" t="str">
        <f>IFERROR(
(VLOOKUP(MONTH(R1267),Meses!$B$3:$C$14,2,FALSE)-DAY(R1267))/VLOOKUP(MONTH(R1267),Meses!$B$3:$C$14,2,FALSE)*U1267,
"")</f>
        <v/>
      </c>
      <c r="U1267" s="22">
        <f t="shared" si="58"/>
        <v>13068</v>
      </c>
    </row>
    <row r="1268" spans="1:21" ht="32.4" hidden="1" thickBot="1" x14ac:dyDescent="0.6">
      <c r="A1268" s="10" t="s">
        <v>760</v>
      </c>
      <c r="B1268" s="10" t="s">
        <v>1572</v>
      </c>
      <c r="C1268" s="12">
        <v>45225</v>
      </c>
      <c r="D1268" s="10" t="s">
        <v>862</v>
      </c>
      <c r="E1268" s="10" t="s">
        <v>14</v>
      </c>
      <c r="F1268" s="10">
        <v>15296</v>
      </c>
      <c r="G1268" s="10" t="s">
        <v>15</v>
      </c>
      <c r="H1268" s="10" t="s">
        <v>17</v>
      </c>
      <c r="I1268" s="10" t="s">
        <v>66</v>
      </c>
      <c r="J1268" s="10" t="s">
        <v>19</v>
      </c>
      <c r="K1268" s="10" t="s">
        <v>19</v>
      </c>
      <c r="L1268" s="10" t="s">
        <v>19</v>
      </c>
      <c r="M1268" s="12"/>
      <c r="N1268" s="10" t="s">
        <v>20</v>
      </c>
      <c r="O1268" s="10" t="s">
        <v>2054</v>
      </c>
      <c r="P1268" s="25" t="str">
        <f>IFERROR(
IF(OR(O1268="anulado",O1268="stand by"),CONCATENATE(O1268,": ",H1268),
IF(OR(YEAR(M1268)=2022,YEAR(M1268)=2023),CONCATENATE("Se activó en ",YEAR(M1268)),
IF(AND(OR(O1268="En proceso",O1268="facturando"),AND(J1268="-",M1268="")),"Por revisar",
IF(M1268="",IF(J1268="NUEVAS",CONCATENATE("Estado: ",O1268,", ",J1268),
IF(L1268=Meses!$A$3,"Por revisar",
IF(H1268="","Sin registro","En programación Frcst."))),"En programación")))),
"Error")</f>
        <v>Por revisar</v>
      </c>
      <c r="Q1268" s="9" t="str">
        <f t="shared" si="57"/>
        <v>programación de act. NO, estado: Facturando, Comercializador: DICELER, Etapa: Instalado y Activado</v>
      </c>
      <c r="R1268" s="25" t="str">
        <f>IF(P1268="En programación Frcst.",VLOOKUP(L1268,Meses!$A$1:$H$14,3+HLOOKUP(Cronograma!J1268,Meses!$D$1:$G$2,2,FALSE),FALSE),
IF(P1268="En programación",M1268,""))</f>
        <v/>
      </c>
      <c r="S1268" s="25" t="str">
        <f t="shared" si="59"/>
        <v/>
      </c>
      <c r="T1268" s="21" t="str">
        <f>IFERROR(
(VLOOKUP(MONTH(R1268),Meses!$B$3:$C$14,2,FALSE)-DAY(R1268))/VLOOKUP(MONTH(R1268),Meses!$B$3:$C$14,2,FALSE)*U1268,
"")</f>
        <v/>
      </c>
      <c r="U1268" s="22">
        <f t="shared" si="58"/>
        <v>15296</v>
      </c>
    </row>
    <row r="1269" spans="1:21" ht="32.4" hidden="1" thickBot="1" x14ac:dyDescent="0.6">
      <c r="A1269" s="10" t="s">
        <v>760</v>
      </c>
      <c r="B1269" s="10" t="s">
        <v>1573</v>
      </c>
      <c r="C1269" s="12">
        <v>45225</v>
      </c>
      <c r="D1269" s="10" t="s">
        <v>862</v>
      </c>
      <c r="E1269" s="10" t="s">
        <v>14</v>
      </c>
      <c r="F1269" s="10">
        <v>10582</v>
      </c>
      <c r="G1269" s="10" t="s">
        <v>15</v>
      </c>
      <c r="H1269" s="10" t="s">
        <v>17</v>
      </c>
      <c r="I1269" s="10" t="s">
        <v>66</v>
      </c>
      <c r="J1269" s="10" t="s">
        <v>19</v>
      </c>
      <c r="K1269" s="10" t="s">
        <v>19</v>
      </c>
      <c r="L1269" s="10" t="s">
        <v>19</v>
      </c>
      <c r="M1269" s="12"/>
      <c r="N1269" s="10" t="s">
        <v>20</v>
      </c>
      <c r="O1269" s="10" t="s">
        <v>2054</v>
      </c>
      <c r="P1269" s="25" t="str">
        <f>IFERROR(
IF(OR(O1269="anulado",O1269="stand by"),CONCATENATE(O1269,": ",H1269),
IF(OR(YEAR(M1269)=2022,YEAR(M1269)=2023),CONCATENATE("Se activó en ",YEAR(M1269)),
IF(AND(OR(O1269="En proceso",O1269="facturando"),AND(J1269="-",M1269="")),"Por revisar",
IF(M1269="",IF(J1269="NUEVAS",CONCATENATE("Estado: ",O1269,", ",J1269),
IF(L1269=Meses!$A$3,"Por revisar",
IF(H1269="","Sin registro","En programación Frcst."))),"En programación")))),
"Error")</f>
        <v>Por revisar</v>
      </c>
      <c r="Q1269" s="9" t="str">
        <f t="shared" si="57"/>
        <v>programación de act. NO, estado: Facturando, Comercializador: DICELER, Etapa: Instalado y Activado</v>
      </c>
      <c r="R1269" s="25" t="str">
        <f>IF(P1269="En programación Frcst.",VLOOKUP(L1269,Meses!$A$1:$H$14,3+HLOOKUP(Cronograma!J1269,Meses!$D$1:$G$2,2,FALSE),FALSE),
IF(P1269="En programación",M1269,""))</f>
        <v/>
      </c>
      <c r="S1269" s="25" t="str">
        <f t="shared" si="59"/>
        <v/>
      </c>
      <c r="T1269" s="21" t="str">
        <f>IFERROR(
(VLOOKUP(MONTH(R1269),Meses!$B$3:$C$14,2,FALSE)-DAY(R1269))/VLOOKUP(MONTH(R1269),Meses!$B$3:$C$14,2,FALSE)*U1269,
"")</f>
        <v/>
      </c>
      <c r="U1269" s="22">
        <f t="shared" si="58"/>
        <v>10582</v>
      </c>
    </row>
    <row r="1270" spans="1:21" ht="32.4" hidden="1" thickBot="1" x14ac:dyDescent="0.6">
      <c r="A1270" s="10" t="s">
        <v>760</v>
      </c>
      <c r="B1270" s="10" t="s">
        <v>1574</v>
      </c>
      <c r="C1270" s="12">
        <v>45225</v>
      </c>
      <c r="D1270" s="10" t="s">
        <v>862</v>
      </c>
      <c r="E1270" s="10" t="s">
        <v>14</v>
      </c>
      <c r="F1270" s="10">
        <v>15978</v>
      </c>
      <c r="G1270" s="10" t="s">
        <v>15</v>
      </c>
      <c r="H1270" s="10" t="s">
        <v>17</v>
      </c>
      <c r="I1270" s="10" t="s">
        <v>66</v>
      </c>
      <c r="J1270" s="10" t="s">
        <v>19</v>
      </c>
      <c r="K1270" s="10" t="s">
        <v>19</v>
      </c>
      <c r="L1270" s="10" t="s">
        <v>19</v>
      </c>
      <c r="M1270" s="12"/>
      <c r="N1270" s="10" t="s">
        <v>20</v>
      </c>
      <c r="O1270" s="10" t="s">
        <v>2054</v>
      </c>
      <c r="P1270" s="25" t="str">
        <f>IFERROR(
IF(OR(O1270="anulado",O1270="stand by"),CONCATENATE(O1270,": ",H1270),
IF(OR(YEAR(M1270)=2022,YEAR(M1270)=2023),CONCATENATE("Se activó en ",YEAR(M1270)),
IF(AND(OR(O1270="En proceso",O1270="facturando"),AND(J1270="-",M1270="")),"Por revisar",
IF(M1270="",IF(J1270="NUEVAS",CONCATENATE("Estado: ",O1270,", ",J1270),
IF(L1270=Meses!$A$3,"Por revisar",
IF(H1270="","Sin registro","En programación Frcst."))),"En programación")))),
"Error")</f>
        <v>Por revisar</v>
      </c>
      <c r="Q1270" s="9" t="str">
        <f t="shared" si="57"/>
        <v>programación de act. NO, estado: Facturando, Comercializador: DICELER, Etapa: Instalado y Activado</v>
      </c>
      <c r="R1270" s="25" t="str">
        <f>IF(P1270="En programación Frcst.",VLOOKUP(L1270,Meses!$A$1:$H$14,3+HLOOKUP(Cronograma!J1270,Meses!$D$1:$G$2,2,FALSE),FALSE),
IF(P1270="En programación",M1270,""))</f>
        <v/>
      </c>
      <c r="S1270" s="25" t="str">
        <f t="shared" si="59"/>
        <v/>
      </c>
      <c r="T1270" s="21" t="str">
        <f>IFERROR(
(VLOOKUP(MONTH(R1270),Meses!$B$3:$C$14,2,FALSE)-DAY(R1270))/VLOOKUP(MONTH(R1270),Meses!$B$3:$C$14,2,FALSE)*U1270,
"")</f>
        <v/>
      </c>
      <c r="U1270" s="22">
        <f t="shared" si="58"/>
        <v>15978</v>
      </c>
    </row>
    <row r="1271" spans="1:21" ht="32.4" hidden="1" thickBot="1" x14ac:dyDescent="0.6">
      <c r="A1271" s="10" t="s">
        <v>760</v>
      </c>
      <c r="B1271" s="10" t="s">
        <v>1575</v>
      </c>
      <c r="C1271" s="12">
        <v>45225</v>
      </c>
      <c r="D1271" s="10" t="s">
        <v>862</v>
      </c>
      <c r="E1271" s="10" t="s">
        <v>14</v>
      </c>
      <c r="F1271" s="10">
        <v>11219</v>
      </c>
      <c r="G1271" s="10" t="s">
        <v>15</v>
      </c>
      <c r="H1271" s="10" t="s">
        <v>17</v>
      </c>
      <c r="I1271" s="10" t="s">
        <v>66</v>
      </c>
      <c r="J1271" s="10" t="s">
        <v>19</v>
      </c>
      <c r="K1271" s="10" t="s">
        <v>19</v>
      </c>
      <c r="L1271" s="10" t="s">
        <v>19</v>
      </c>
      <c r="M1271" s="12"/>
      <c r="N1271" s="10" t="s">
        <v>20</v>
      </c>
      <c r="O1271" s="10" t="s">
        <v>2054</v>
      </c>
      <c r="P1271" s="25" t="str">
        <f>IFERROR(
IF(OR(O1271="anulado",O1271="stand by"),CONCATENATE(O1271,": ",H1271),
IF(OR(YEAR(M1271)=2022,YEAR(M1271)=2023),CONCATENATE("Se activó en ",YEAR(M1271)),
IF(AND(OR(O1271="En proceso",O1271="facturando"),AND(J1271="-",M1271="")),"Por revisar",
IF(M1271="",IF(J1271="NUEVAS",CONCATENATE("Estado: ",O1271,", ",J1271),
IF(L1271=Meses!$A$3,"Por revisar",
IF(H1271="","Sin registro","En programación Frcst."))),"En programación")))),
"Error")</f>
        <v>Por revisar</v>
      </c>
      <c r="Q1271" s="9" t="str">
        <f t="shared" si="57"/>
        <v>programación de act. NO, estado: Facturando, Comercializador: DICELER, Etapa: Instalado y Activado</v>
      </c>
      <c r="R1271" s="25" t="str">
        <f>IF(P1271="En programación Frcst.",VLOOKUP(L1271,Meses!$A$1:$H$14,3+HLOOKUP(Cronograma!J1271,Meses!$D$1:$G$2,2,FALSE),FALSE),
IF(P1271="En programación",M1271,""))</f>
        <v/>
      </c>
      <c r="S1271" s="25" t="str">
        <f t="shared" si="59"/>
        <v/>
      </c>
      <c r="T1271" s="21" t="str">
        <f>IFERROR(
(VLOOKUP(MONTH(R1271),Meses!$B$3:$C$14,2,FALSE)-DAY(R1271))/VLOOKUP(MONTH(R1271),Meses!$B$3:$C$14,2,FALSE)*U1271,
"")</f>
        <v/>
      </c>
      <c r="U1271" s="22">
        <f t="shared" si="58"/>
        <v>11219</v>
      </c>
    </row>
    <row r="1272" spans="1:21" ht="31.8" hidden="1" thickBot="1" x14ac:dyDescent="0.6">
      <c r="A1272" s="10" t="s">
        <v>1576</v>
      </c>
      <c r="B1272" s="10" t="s">
        <v>1577</v>
      </c>
      <c r="C1272" s="12"/>
      <c r="D1272" s="10" t="s">
        <v>74</v>
      </c>
      <c r="E1272" s="10" t="s">
        <v>74</v>
      </c>
      <c r="F1272" s="10">
        <v>850</v>
      </c>
      <c r="G1272" s="10" t="s">
        <v>15</v>
      </c>
      <c r="H1272" s="10" t="s">
        <v>2917</v>
      </c>
      <c r="I1272" s="10" t="s">
        <v>43</v>
      </c>
      <c r="J1272" s="10" t="s">
        <v>143</v>
      </c>
      <c r="K1272" s="10" t="s">
        <v>2895</v>
      </c>
      <c r="L1272" s="10" t="s">
        <v>2292</v>
      </c>
      <c r="M1272" s="12">
        <v>45400</v>
      </c>
      <c r="N1272" s="10" t="s">
        <v>15</v>
      </c>
      <c r="O1272" s="10" t="s">
        <v>2057</v>
      </c>
      <c r="P1272" s="25" t="str">
        <f>IFERROR(
IF(OR(O1272="anulado",O1272="stand by"),CONCATENATE(O1272,": ",H1272),
IF(OR(YEAR(M1272)=2022,YEAR(M1272)=2023),CONCATENATE("Se activó en ",YEAR(M1272)),
IF(AND(OR(O1272="En proceso",O1272="facturando"),AND(J1272="-",M1272="")),"Por revisar",
IF(M1272="",IF(J1272="NUEVAS",CONCATENATE("Estado: ",O1272,", ",J1272),
IF(L1272=Meses!$A$3,"Por revisar",
IF(H1272="","Sin registro","En programación Frcst."))),"En programación")))),
"Error")</f>
        <v>En programación</v>
      </c>
      <c r="Q1272" s="9" t="str">
        <f t="shared" si="57"/>
        <v/>
      </c>
      <c r="R1272" s="25">
        <f>IF(P1272="En programación Frcst.",VLOOKUP(L1272,Meses!$A$1:$H$14,3+HLOOKUP(Cronograma!J1272,Meses!$D$1:$G$2,2,FALSE),FALSE),
IF(P1272="En programación",M1272,""))</f>
        <v>45400</v>
      </c>
      <c r="S1272" s="25" t="str">
        <f t="shared" si="59"/>
        <v>2024/4</v>
      </c>
      <c r="T1272" s="21">
        <f>IFERROR(
(VLOOKUP(MONTH(R1272),Meses!$B$3:$C$14,2,FALSE)-DAY(R1272))/VLOOKUP(MONTH(R1272),Meses!$B$3:$C$14,2,FALSE)*U1272,
"")</f>
        <v>340</v>
      </c>
      <c r="U1272" s="22">
        <f t="shared" si="58"/>
        <v>850</v>
      </c>
    </row>
    <row r="1273" spans="1:21" ht="31.8" hidden="1" thickBot="1" x14ac:dyDescent="0.6">
      <c r="A1273" s="10" t="s">
        <v>1576</v>
      </c>
      <c r="B1273" s="10" t="s">
        <v>1578</v>
      </c>
      <c r="C1273" s="12"/>
      <c r="D1273" s="10" t="s">
        <v>74</v>
      </c>
      <c r="E1273" s="10" t="s">
        <v>74</v>
      </c>
      <c r="F1273" s="10">
        <v>5120</v>
      </c>
      <c r="G1273" s="10" t="s">
        <v>15</v>
      </c>
      <c r="H1273" s="10" t="s">
        <v>2916</v>
      </c>
      <c r="I1273" s="10" t="s">
        <v>43</v>
      </c>
      <c r="J1273" s="10" t="s">
        <v>143</v>
      </c>
      <c r="K1273" s="10" t="s">
        <v>2895</v>
      </c>
      <c r="L1273" s="10" t="s">
        <v>2292</v>
      </c>
      <c r="M1273" s="12">
        <v>45400</v>
      </c>
      <c r="N1273" s="10" t="s">
        <v>15</v>
      </c>
      <c r="O1273" s="10" t="s">
        <v>2057</v>
      </c>
      <c r="P1273" s="25" t="str">
        <f>IFERROR(
IF(OR(O1273="anulado",O1273="stand by"),CONCATENATE(O1273,": ",H1273),
IF(OR(YEAR(M1273)=2022,YEAR(M1273)=2023),CONCATENATE("Se activó en ",YEAR(M1273)),
IF(AND(OR(O1273="En proceso",O1273="facturando"),AND(J1273="-",M1273="")),"Por revisar",
IF(M1273="",IF(J1273="NUEVAS",CONCATENATE("Estado: ",O1273,", ",J1273),
IF(L1273=Meses!$A$3,"Por revisar",
IF(H1273="","Sin registro","En programación Frcst."))),"En programación")))),
"Error")</f>
        <v>En programación</v>
      </c>
      <c r="Q1273" s="9" t="str">
        <f t="shared" si="57"/>
        <v/>
      </c>
      <c r="R1273" s="25">
        <f>IF(P1273="En programación Frcst.",VLOOKUP(L1273,Meses!$A$1:$H$14,3+HLOOKUP(Cronograma!J1273,Meses!$D$1:$G$2,2,FALSE),FALSE),
IF(P1273="En programación",M1273,""))</f>
        <v>45400</v>
      </c>
      <c r="S1273" s="25" t="str">
        <f t="shared" si="59"/>
        <v>2024/4</v>
      </c>
      <c r="T1273" s="21">
        <f>IFERROR(
(VLOOKUP(MONTH(R1273),Meses!$B$3:$C$14,2,FALSE)-DAY(R1273))/VLOOKUP(MONTH(R1273),Meses!$B$3:$C$14,2,FALSE)*U1273,
"")</f>
        <v>2048</v>
      </c>
      <c r="U1273" s="22">
        <f t="shared" si="58"/>
        <v>5120</v>
      </c>
    </row>
    <row r="1274" spans="1:21" ht="47.4" hidden="1" thickBot="1" x14ac:dyDescent="0.6">
      <c r="A1274" s="10" t="s">
        <v>1579</v>
      </c>
      <c r="B1274" s="10" t="s">
        <v>1580</v>
      </c>
      <c r="C1274" s="12">
        <v>45309</v>
      </c>
      <c r="D1274" s="10" t="s">
        <v>14</v>
      </c>
      <c r="E1274" s="10" t="s">
        <v>14</v>
      </c>
      <c r="F1274" s="10">
        <v>2675</v>
      </c>
      <c r="G1274" s="10" t="s">
        <v>15</v>
      </c>
      <c r="H1274" s="10" t="s">
        <v>17</v>
      </c>
      <c r="I1274" s="10" t="s">
        <v>18</v>
      </c>
      <c r="J1274" s="10" t="s">
        <v>282</v>
      </c>
      <c r="K1274" s="10" t="s">
        <v>283</v>
      </c>
      <c r="L1274" s="10" t="s">
        <v>279</v>
      </c>
      <c r="M1274" s="12"/>
      <c r="N1274" s="10" t="s">
        <v>15</v>
      </c>
      <c r="O1274" s="10" t="s">
        <v>2054</v>
      </c>
      <c r="P1274" s="25" t="str">
        <f>IFERROR(
IF(OR(O1274="anulado",O1274="stand by"),CONCATENATE(O1274,": ",H1274),
IF(OR(YEAR(M1274)=2022,YEAR(M1274)=2023),CONCATENATE("Se activó en ",YEAR(M1274)),
IF(AND(OR(O1274="En proceso",O1274="facturando"),AND(J1274="-",M1274="")),"Por revisar",
IF(M1274="",IF(J1274="NUEVAS",CONCATENATE("Estado: ",O1274,", ",J1274),
IF(L1274=Meses!$A$3,"Por revisar",
IF(H1274="","Sin registro","En programación Frcst."))),"En programación")))),
"Error")</f>
        <v>En programación Frcst.</v>
      </c>
      <c r="Q1274" s="9" t="str">
        <f t="shared" si="57"/>
        <v/>
      </c>
      <c r="R1274" s="25">
        <f>IF(P1274="En programación Frcst.",VLOOKUP(L1274,Meses!$A$1:$H$14,3+HLOOKUP(Cronograma!J1274,Meses!$D$1:$G$2,2,FALSE),FALSE),
IF(P1274="En programación",M1274,""))</f>
        <v>45295</v>
      </c>
      <c r="S1274" s="25" t="str">
        <f t="shared" si="59"/>
        <v>2024/1</v>
      </c>
      <c r="T1274" s="21">
        <f>IFERROR(
(VLOOKUP(MONTH(R1274),Meses!$B$3:$C$14,2,FALSE)-DAY(R1274))/VLOOKUP(MONTH(R1274),Meses!$B$3:$C$14,2,FALSE)*U1274,
"")</f>
        <v>2329.8387096774195</v>
      </c>
      <c r="U1274" s="22">
        <f t="shared" si="58"/>
        <v>2675</v>
      </c>
    </row>
    <row r="1275" spans="1:21" ht="47.4" hidden="1" thickBot="1" x14ac:dyDescent="0.6">
      <c r="A1275" s="10" t="s">
        <v>1579</v>
      </c>
      <c r="B1275" s="10" t="s">
        <v>1581</v>
      </c>
      <c r="C1275" s="12">
        <v>45302</v>
      </c>
      <c r="D1275" s="10" t="s">
        <v>14</v>
      </c>
      <c r="E1275" s="10" t="s">
        <v>14</v>
      </c>
      <c r="F1275" s="10">
        <v>1516</v>
      </c>
      <c r="G1275" s="10" t="s">
        <v>15</v>
      </c>
      <c r="H1275" s="10" t="s">
        <v>17</v>
      </c>
      <c r="I1275" s="10" t="s">
        <v>18</v>
      </c>
      <c r="J1275" s="10" t="s">
        <v>282</v>
      </c>
      <c r="K1275" s="10" t="s">
        <v>283</v>
      </c>
      <c r="L1275" s="10" t="s">
        <v>279</v>
      </c>
      <c r="M1275" s="12"/>
      <c r="N1275" s="10" t="s">
        <v>15</v>
      </c>
      <c r="O1275" s="10" t="s">
        <v>2054</v>
      </c>
      <c r="P1275" s="25" t="str">
        <f>IFERROR(
IF(OR(O1275="anulado",O1275="stand by"),CONCATENATE(O1275,": ",H1275),
IF(OR(YEAR(M1275)=2022,YEAR(M1275)=2023),CONCATENATE("Se activó en ",YEAR(M1275)),
IF(AND(OR(O1275="En proceso",O1275="facturando"),AND(J1275="-",M1275="")),"Por revisar",
IF(M1275="",IF(J1275="NUEVAS",CONCATENATE("Estado: ",O1275,", ",J1275),
IF(L1275=Meses!$A$3,"Por revisar",
IF(H1275="","Sin registro","En programación Frcst."))),"En programación")))),
"Error")</f>
        <v>En programación Frcst.</v>
      </c>
      <c r="Q1275" s="9" t="str">
        <f t="shared" si="57"/>
        <v/>
      </c>
      <c r="R1275" s="25">
        <f>IF(P1275="En programación Frcst.",VLOOKUP(L1275,Meses!$A$1:$H$14,3+HLOOKUP(Cronograma!J1275,Meses!$D$1:$G$2,2,FALSE),FALSE),
IF(P1275="En programación",M1275,""))</f>
        <v>45295</v>
      </c>
      <c r="S1275" s="25" t="str">
        <f t="shared" si="59"/>
        <v>2024/1</v>
      </c>
      <c r="T1275" s="21">
        <f>IFERROR(
(VLOOKUP(MONTH(R1275),Meses!$B$3:$C$14,2,FALSE)-DAY(R1275))/VLOOKUP(MONTH(R1275),Meses!$B$3:$C$14,2,FALSE)*U1275,
"")</f>
        <v>1320.3870967741937</v>
      </c>
      <c r="U1275" s="22">
        <f t="shared" si="58"/>
        <v>1516</v>
      </c>
    </row>
    <row r="1276" spans="1:21" ht="47.4" hidden="1" thickBot="1" x14ac:dyDescent="0.6">
      <c r="A1276" s="10" t="s">
        <v>1579</v>
      </c>
      <c r="B1276" s="10" t="s">
        <v>1582</v>
      </c>
      <c r="C1276" s="12">
        <v>45302</v>
      </c>
      <c r="D1276" s="10" t="s">
        <v>14</v>
      </c>
      <c r="E1276" s="10" t="s">
        <v>14</v>
      </c>
      <c r="F1276" s="10">
        <v>4609</v>
      </c>
      <c r="G1276" s="10" t="s">
        <v>15</v>
      </c>
      <c r="H1276" s="10" t="s">
        <v>17</v>
      </c>
      <c r="I1276" s="10" t="s">
        <v>18</v>
      </c>
      <c r="J1276" s="10" t="s">
        <v>282</v>
      </c>
      <c r="K1276" s="10" t="s">
        <v>283</v>
      </c>
      <c r="L1276" s="10" t="s">
        <v>279</v>
      </c>
      <c r="M1276" s="12"/>
      <c r="N1276" s="10" t="s">
        <v>15</v>
      </c>
      <c r="O1276" s="10" t="s">
        <v>2054</v>
      </c>
      <c r="P1276" s="25" t="str">
        <f>IFERROR(
IF(OR(O1276="anulado",O1276="stand by"),CONCATENATE(O1276,": ",H1276),
IF(OR(YEAR(M1276)=2022,YEAR(M1276)=2023),CONCATENATE("Se activó en ",YEAR(M1276)),
IF(AND(OR(O1276="En proceso",O1276="facturando"),AND(J1276="-",M1276="")),"Por revisar",
IF(M1276="",IF(J1276="NUEVAS",CONCATENATE("Estado: ",O1276,", ",J1276),
IF(L1276=Meses!$A$3,"Por revisar",
IF(H1276="","Sin registro","En programación Frcst."))),"En programación")))),
"Error")</f>
        <v>En programación Frcst.</v>
      </c>
      <c r="Q1276" s="9" t="str">
        <f t="shared" si="57"/>
        <v/>
      </c>
      <c r="R1276" s="25">
        <f>IF(P1276="En programación Frcst.",VLOOKUP(L1276,Meses!$A$1:$H$14,3+HLOOKUP(Cronograma!J1276,Meses!$D$1:$G$2,2,FALSE),FALSE),
IF(P1276="En programación",M1276,""))</f>
        <v>45295</v>
      </c>
      <c r="S1276" s="25" t="str">
        <f t="shared" si="59"/>
        <v>2024/1</v>
      </c>
      <c r="T1276" s="21">
        <f>IFERROR(
(VLOOKUP(MONTH(R1276),Meses!$B$3:$C$14,2,FALSE)-DAY(R1276))/VLOOKUP(MONTH(R1276),Meses!$B$3:$C$14,2,FALSE)*U1276,
"")</f>
        <v>4014.2903225806454</v>
      </c>
      <c r="U1276" s="22">
        <f t="shared" si="58"/>
        <v>4609</v>
      </c>
    </row>
    <row r="1277" spans="1:21" ht="47.4" hidden="1" thickBot="1" x14ac:dyDescent="0.6">
      <c r="A1277" s="10" t="s">
        <v>1579</v>
      </c>
      <c r="B1277" s="10" t="s">
        <v>1583</v>
      </c>
      <c r="C1277" s="12">
        <v>45302</v>
      </c>
      <c r="D1277" s="10" t="s">
        <v>14</v>
      </c>
      <c r="E1277" s="10" t="s">
        <v>14</v>
      </c>
      <c r="F1277" s="10">
        <v>1075</v>
      </c>
      <c r="G1277" s="10" t="s">
        <v>15</v>
      </c>
      <c r="H1277" s="10" t="s">
        <v>17</v>
      </c>
      <c r="I1277" s="10" t="s">
        <v>18</v>
      </c>
      <c r="J1277" s="10" t="s">
        <v>282</v>
      </c>
      <c r="K1277" s="10" t="s">
        <v>283</v>
      </c>
      <c r="L1277" s="10" t="s">
        <v>279</v>
      </c>
      <c r="M1277" s="12"/>
      <c r="N1277" s="10" t="s">
        <v>15</v>
      </c>
      <c r="O1277" s="10" t="s">
        <v>2054</v>
      </c>
      <c r="P1277" s="25" t="str">
        <f>IFERROR(
IF(OR(O1277="anulado",O1277="stand by"),CONCATENATE(O1277,": ",H1277),
IF(OR(YEAR(M1277)=2022,YEAR(M1277)=2023),CONCATENATE("Se activó en ",YEAR(M1277)),
IF(AND(OR(O1277="En proceso",O1277="facturando"),AND(J1277="-",M1277="")),"Por revisar",
IF(M1277="",IF(J1277="NUEVAS",CONCATENATE("Estado: ",O1277,", ",J1277),
IF(L1277=Meses!$A$3,"Por revisar",
IF(H1277="","Sin registro","En programación Frcst."))),"En programación")))),
"Error")</f>
        <v>En programación Frcst.</v>
      </c>
      <c r="Q1277" s="9" t="str">
        <f t="shared" si="57"/>
        <v/>
      </c>
      <c r="R1277" s="25">
        <f>IF(P1277="En programación Frcst.",VLOOKUP(L1277,Meses!$A$1:$H$14,3+HLOOKUP(Cronograma!J1277,Meses!$D$1:$G$2,2,FALSE),FALSE),
IF(P1277="En programación",M1277,""))</f>
        <v>45295</v>
      </c>
      <c r="S1277" s="25" t="str">
        <f t="shared" si="59"/>
        <v>2024/1</v>
      </c>
      <c r="T1277" s="21">
        <f>IFERROR(
(VLOOKUP(MONTH(R1277),Meses!$B$3:$C$14,2,FALSE)-DAY(R1277))/VLOOKUP(MONTH(R1277),Meses!$B$3:$C$14,2,FALSE)*U1277,
"")</f>
        <v>936.29032258064512</v>
      </c>
      <c r="U1277" s="22">
        <f t="shared" si="58"/>
        <v>1075</v>
      </c>
    </row>
    <row r="1278" spans="1:21" ht="47.4" hidden="1" thickBot="1" x14ac:dyDescent="0.6">
      <c r="A1278" s="10" t="s">
        <v>1579</v>
      </c>
      <c r="B1278" s="10" t="s">
        <v>1584</v>
      </c>
      <c r="C1278" s="12">
        <v>45302</v>
      </c>
      <c r="D1278" s="10" t="s">
        <v>14</v>
      </c>
      <c r="E1278" s="10" t="s">
        <v>14</v>
      </c>
      <c r="F1278" s="10">
        <v>721</v>
      </c>
      <c r="G1278" s="10" t="s">
        <v>15</v>
      </c>
      <c r="H1278" s="10" t="s">
        <v>17</v>
      </c>
      <c r="I1278" s="10" t="s">
        <v>18</v>
      </c>
      <c r="J1278" s="10" t="s">
        <v>282</v>
      </c>
      <c r="K1278" s="10" t="s">
        <v>283</v>
      </c>
      <c r="L1278" s="10" t="s">
        <v>279</v>
      </c>
      <c r="M1278" s="12"/>
      <c r="N1278" s="10" t="s">
        <v>15</v>
      </c>
      <c r="O1278" s="10" t="s">
        <v>2054</v>
      </c>
      <c r="P1278" s="25" t="str">
        <f>IFERROR(
IF(OR(O1278="anulado",O1278="stand by"),CONCATENATE(O1278,": ",H1278),
IF(OR(YEAR(M1278)=2022,YEAR(M1278)=2023),CONCATENATE("Se activó en ",YEAR(M1278)),
IF(AND(OR(O1278="En proceso",O1278="facturando"),AND(J1278="-",M1278="")),"Por revisar",
IF(M1278="",IF(J1278="NUEVAS",CONCATENATE("Estado: ",O1278,", ",J1278),
IF(L1278=Meses!$A$3,"Por revisar",
IF(H1278="","Sin registro","En programación Frcst."))),"En programación")))),
"Error")</f>
        <v>En programación Frcst.</v>
      </c>
      <c r="Q1278" s="9" t="str">
        <f t="shared" si="57"/>
        <v/>
      </c>
      <c r="R1278" s="25">
        <f>IF(P1278="En programación Frcst.",VLOOKUP(L1278,Meses!$A$1:$H$14,3+HLOOKUP(Cronograma!J1278,Meses!$D$1:$G$2,2,FALSE),FALSE),
IF(P1278="En programación",M1278,""))</f>
        <v>45295</v>
      </c>
      <c r="S1278" s="25" t="str">
        <f t="shared" si="59"/>
        <v>2024/1</v>
      </c>
      <c r="T1278" s="21">
        <f>IFERROR(
(VLOOKUP(MONTH(R1278),Meses!$B$3:$C$14,2,FALSE)-DAY(R1278))/VLOOKUP(MONTH(R1278),Meses!$B$3:$C$14,2,FALSE)*U1278,
"")</f>
        <v>627.9677419354839</v>
      </c>
      <c r="U1278" s="22">
        <f t="shared" si="58"/>
        <v>721</v>
      </c>
    </row>
    <row r="1279" spans="1:21" ht="47.4" hidden="1" thickBot="1" x14ac:dyDescent="0.6">
      <c r="A1279" s="10" t="s">
        <v>1579</v>
      </c>
      <c r="B1279" s="10" t="s">
        <v>1585</v>
      </c>
      <c r="C1279" s="12">
        <v>45302</v>
      </c>
      <c r="D1279" s="10" t="s">
        <v>14</v>
      </c>
      <c r="E1279" s="10" t="s">
        <v>14</v>
      </c>
      <c r="F1279" s="10">
        <v>1770</v>
      </c>
      <c r="G1279" s="10" t="s">
        <v>15</v>
      </c>
      <c r="H1279" s="10" t="s">
        <v>17</v>
      </c>
      <c r="I1279" s="10" t="s">
        <v>18</v>
      </c>
      <c r="J1279" s="10" t="s">
        <v>282</v>
      </c>
      <c r="K1279" s="10" t="s">
        <v>283</v>
      </c>
      <c r="L1279" s="10" t="s">
        <v>279</v>
      </c>
      <c r="M1279" s="12"/>
      <c r="N1279" s="10" t="s">
        <v>15</v>
      </c>
      <c r="O1279" s="10" t="s">
        <v>2054</v>
      </c>
      <c r="P1279" s="25" t="str">
        <f>IFERROR(
IF(OR(O1279="anulado",O1279="stand by"),CONCATENATE(O1279,": ",H1279),
IF(OR(YEAR(M1279)=2022,YEAR(M1279)=2023),CONCATENATE("Se activó en ",YEAR(M1279)),
IF(AND(OR(O1279="En proceso",O1279="facturando"),AND(J1279="-",M1279="")),"Por revisar",
IF(M1279="",IF(J1279="NUEVAS",CONCATENATE("Estado: ",O1279,", ",J1279),
IF(L1279=Meses!$A$3,"Por revisar",
IF(H1279="","Sin registro","En programación Frcst."))),"En programación")))),
"Error")</f>
        <v>En programación Frcst.</v>
      </c>
      <c r="Q1279" s="9" t="str">
        <f t="shared" si="57"/>
        <v/>
      </c>
      <c r="R1279" s="25">
        <f>IF(P1279="En programación Frcst.",VLOOKUP(L1279,Meses!$A$1:$H$14,3+HLOOKUP(Cronograma!J1279,Meses!$D$1:$G$2,2,FALSE),FALSE),
IF(P1279="En programación",M1279,""))</f>
        <v>45295</v>
      </c>
      <c r="S1279" s="25" t="str">
        <f t="shared" si="59"/>
        <v>2024/1</v>
      </c>
      <c r="T1279" s="21">
        <f>IFERROR(
(VLOOKUP(MONTH(R1279),Meses!$B$3:$C$14,2,FALSE)-DAY(R1279))/VLOOKUP(MONTH(R1279),Meses!$B$3:$C$14,2,FALSE)*U1279,
"")</f>
        <v>1541.6129032258063</v>
      </c>
      <c r="U1279" s="22">
        <f t="shared" si="58"/>
        <v>1770</v>
      </c>
    </row>
    <row r="1280" spans="1:21" ht="47.4" hidden="1" thickBot="1" x14ac:dyDescent="0.6">
      <c r="A1280" s="10" t="s">
        <v>1579</v>
      </c>
      <c r="B1280" s="10" t="s">
        <v>1586</v>
      </c>
      <c r="C1280" s="12">
        <v>45302</v>
      </c>
      <c r="D1280" s="10" t="s">
        <v>14</v>
      </c>
      <c r="E1280" s="10" t="s">
        <v>14</v>
      </c>
      <c r="F1280" s="10">
        <v>1877</v>
      </c>
      <c r="G1280" s="10" t="s">
        <v>15</v>
      </c>
      <c r="H1280" s="10" t="s">
        <v>17</v>
      </c>
      <c r="I1280" s="10" t="s">
        <v>18</v>
      </c>
      <c r="J1280" s="10" t="s">
        <v>282</v>
      </c>
      <c r="K1280" s="10" t="s">
        <v>283</v>
      </c>
      <c r="L1280" s="10" t="s">
        <v>279</v>
      </c>
      <c r="M1280" s="12"/>
      <c r="N1280" s="10" t="s">
        <v>15</v>
      </c>
      <c r="O1280" s="10" t="s">
        <v>2054</v>
      </c>
      <c r="P1280" s="25" t="str">
        <f>IFERROR(
IF(OR(O1280="anulado",O1280="stand by"),CONCATENATE(O1280,": ",H1280),
IF(OR(YEAR(M1280)=2022,YEAR(M1280)=2023),CONCATENATE("Se activó en ",YEAR(M1280)),
IF(AND(OR(O1280="En proceso",O1280="facturando"),AND(J1280="-",M1280="")),"Por revisar",
IF(M1280="",IF(J1280="NUEVAS",CONCATENATE("Estado: ",O1280,", ",J1280),
IF(L1280=Meses!$A$3,"Por revisar",
IF(H1280="","Sin registro","En programación Frcst."))),"En programación")))),
"Error")</f>
        <v>En programación Frcst.</v>
      </c>
      <c r="Q1280" s="9" t="str">
        <f t="shared" si="57"/>
        <v/>
      </c>
      <c r="R1280" s="25">
        <f>IF(P1280="En programación Frcst.",VLOOKUP(L1280,Meses!$A$1:$H$14,3+HLOOKUP(Cronograma!J1280,Meses!$D$1:$G$2,2,FALSE),FALSE),
IF(P1280="En programación",M1280,""))</f>
        <v>45295</v>
      </c>
      <c r="S1280" s="25" t="str">
        <f t="shared" si="59"/>
        <v>2024/1</v>
      </c>
      <c r="T1280" s="21">
        <f>IFERROR(
(VLOOKUP(MONTH(R1280),Meses!$B$3:$C$14,2,FALSE)-DAY(R1280))/VLOOKUP(MONTH(R1280),Meses!$B$3:$C$14,2,FALSE)*U1280,
"")</f>
        <v>1634.8064516129032</v>
      </c>
      <c r="U1280" s="22">
        <f t="shared" si="58"/>
        <v>1877</v>
      </c>
    </row>
    <row r="1281" spans="1:21" ht="47.4" hidden="1" thickBot="1" x14ac:dyDescent="0.6">
      <c r="A1281" s="10" t="s">
        <v>1579</v>
      </c>
      <c r="B1281" s="10" t="s">
        <v>1587</v>
      </c>
      <c r="C1281" s="12">
        <v>45309</v>
      </c>
      <c r="D1281" s="10" t="s">
        <v>14</v>
      </c>
      <c r="E1281" s="10" t="s">
        <v>14</v>
      </c>
      <c r="F1281" s="10">
        <v>664</v>
      </c>
      <c r="G1281" s="10" t="s">
        <v>15</v>
      </c>
      <c r="H1281" s="10" t="s">
        <v>17</v>
      </c>
      <c r="I1281" s="10" t="s">
        <v>18</v>
      </c>
      <c r="J1281" s="10" t="s">
        <v>282</v>
      </c>
      <c r="K1281" s="10" t="s">
        <v>283</v>
      </c>
      <c r="L1281" s="10" t="s">
        <v>279</v>
      </c>
      <c r="M1281" s="12"/>
      <c r="N1281" s="10" t="s">
        <v>15</v>
      </c>
      <c r="O1281" s="10" t="s">
        <v>2054</v>
      </c>
      <c r="P1281" s="25" t="str">
        <f>IFERROR(
IF(OR(O1281="anulado",O1281="stand by"),CONCATENATE(O1281,": ",H1281),
IF(OR(YEAR(M1281)=2022,YEAR(M1281)=2023),CONCATENATE("Se activó en ",YEAR(M1281)),
IF(AND(OR(O1281="En proceso",O1281="facturando"),AND(J1281="-",M1281="")),"Por revisar",
IF(M1281="",IF(J1281="NUEVAS",CONCATENATE("Estado: ",O1281,", ",J1281),
IF(L1281=Meses!$A$3,"Por revisar",
IF(H1281="","Sin registro","En programación Frcst."))),"En programación")))),
"Error")</f>
        <v>En programación Frcst.</v>
      </c>
      <c r="Q1281" s="9" t="str">
        <f t="shared" si="57"/>
        <v/>
      </c>
      <c r="R1281" s="25">
        <f>IF(P1281="En programación Frcst.",VLOOKUP(L1281,Meses!$A$1:$H$14,3+HLOOKUP(Cronograma!J1281,Meses!$D$1:$G$2,2,FALSE),FALSE),
IF(P1281="En programación",M1281,""))</f>
        <v>45295</v>
      </c>
      <c r="S1281" s="25" t="str">
        <f t="shared" si="59"/>
        <v>2024/1</v>
      </c>
      <c r="T1281" s="21">
        <f>IFERROR(
(VLOOKUP(MONTH(R1281),Meses!$B$3:$C$14,2,FALSE)-DAY(R1281))/VLOOKUP(MONTH(R1281),Meses!$B$3:$C$14,2,FALSE)*U1281,
"")</f>
        <v>578.32258064516134</v>
      </c>
      <c r="U1281" s="22">
        <f t="shared" si="58"/>
        <v>664</v>
      </c>
    </row>
    <row r="1282" spans="1:21" ht="47.4" hidden="1" thickBot="1" x14ac:dyDescent="0.6">
      <c r="A1282" s="10" t="s">
        <v>1579</v>
      </c>
      <c r="B1282" s="10" t="s">
        <v>1588</v>
      </c>
      <c r="C1282" s="12">
        <v>45309</v>
      </c>
      <c r="D1282" s="10" t="s">
        <v>14</v>
      </c>
      <c r="E1282" s="10" t="s">
        <v>14</v>
      </c>
      <c r="F1282" s="10">
        <v>5837</v>
      </c>
      <c r="G1282" s="10" t="s">
        <v>15</v>
      </c>
      <c r="H1282" s="10" t="s">
        <v>17</v>
      </c>
      <c r="I1282" s="10" t="s">
        <v>18</v>
      </c>
      <c r="J1282" s="10" t="s">
        <v>282</v>
      </c>
      <c r="K1282" s="10" t="s">
        <v>283</v>
      </c>
      <c r="L1282" s="10" t="s">
        <v>279</v>
      </c>
      <c r="M1282" s="12"/>
      <c r="N1282" s="10" t="s">
        <v>15</v>
      </c>
      <c r="O1282" s="10" t="s">
        <v>2054</v>
      </c>
      <c r="P1282" s="25" t="str">
        <f>IFERROR(
IF(OR(O1282="anulado",O1282="stand by"),CONCATENATE(O1282,": ",H1282),
IF(OR(YEAR(M1282)=2022,YEAR(M1282)=2023),CONCATENATE("Se activó en ",YEAR(M1282)),
IF(AND(OR(O1282="En proceso",O1282="facturando"),AND(J1282="-",M1282="")),"Por revisar",
IF(M1282="",IF(J1282="NUEVAS",CONCATENATE("Estado: ",O1282,", ",J1282),
IF(L1282=Meses!$A$3,"Por revisar",
IF(H1282="","Sin registro","En programación Frcst."))),"En programación")))),
"Error")</f>
        <v>En programación Frcst.</v>
      </c>
      <c r="Q1282" s="9" t="str">
        <f t="shared" ref="Q1282:Q1345" si="60">IF(P1282="Por revisar",CONCATENATE("programación de act. ",N1282,", estado: ",O1282,", Comercializador: ",D1282,", Etapa: ",H1282),"")</f>
        <v/>
      </c>
      <c r="R1282" s="25">
        <f>IF(P1282="En programación Frcst.",VLOOKUP(L1282,Meses!$A$1:$H$14,3+HLOOKUP(Cronograma!J1282,Meses!$D$1:$G$2,2,FALSE),FALSE),
IF(P1282="En programación",M1282,""))</f>
        <v>45295</v>
      </c>
      <c r="S1282" s="25" t="str">
        <f t="shared" si="59"/>
        <v>2024/1</v>
      </c>
      <c r="T1282" s="21">
        <f>IFERROR(
(VLOOKUP(MONTH(R1282),Meses!$B$3:$C$14,2,FALSE)-DAY(R1282))/VLOOKUP(MONTH(R1282),Meses!$B$3:$C$14,2,FALSE)*U1282,
"")</f>
        <v>5083.8387096774195</v>
      </c>
      <c r="U1282" s="22">
        <f t="shared" ref="U1282:U1345" si="61">F1282</f>
        <v>5837</v>
      </c>
    </row>
    <row r="1283" spans="1:21" ht="47.4" hidden="1" thickBot="1" x14ac:dyDescent="0.6">
      <c r="A1283" s="10" t="s">
        <v>1579</v>
      </c>
      <c r="B1283" s="10" t="s">
        <v>1589</v>
      </c>
      <c r="C1283" s="12">
        <v>45302</v>
      </c>
      <c r="D1283" s="10" t="s">
        <v>14</v>
      </c>
      <c r="E1283" s="10" t="s">
        <v>14</v>
      </c>
      <c r="F1283" s="10">
        <v>16244</v>
      </c>
      <c r="G1283" s="10" t="s">
        <v>15</v>
      </c>
      <c r="H1283" s="10" t="s">
        <v>17</v>
      </c>
      <c r="I1283" s="10" t="s">
        <v>18</v>
      </c>
      <c r="J1283" s="10" t="s">
        <v>282</v>
      </c>
      <c r="K1283" s="10" t="s">
        <v>283</v>
      </c>
      <c r="L1283" s="10" t="s">
        <v>279</v>
      </c>
      <c r="M1283" s="12"/>
      <c r="N1283" s="10" t="s">
        <v>15</v>
      </c>
      <c r="O1283" s="10" t="s">
        <v>2054</v>
      </c>
      <c r="P1283" s="25" t="str">
        <f>IFERROR(
IF(OR(O1283="anulado",O1283="stand by"),CONCATENATE(O1283,": ",H1283),
IF(OR(YEAR(M1283)=2022,YEAR(M1283)=2023),CONCATENATE("Se activó en ",YEAR(M1283)),
IF(AND(OR(O1283="En proceso",O1283="facturando"),AND(J1283="-",M1283="")),"Por revisar",
IF(M1283="",IF(J1283="NUEVAS",CONCATENATE("Estado: ",O1283,", ",J1283),
IF(L1283=Meses!$A$3,"Por revisar",
IF(H1283="","Sin registro","En programación Frcst."))),"En programación")))),
"Error")</f>
        <v>En programación Frcst.</v>
      </c>
      <c r="Q1283" s="9" t="str">
        <f t="shared" si="60"/>
        <v/>
      </c>
      <c r="R1283" s="25">
        <f>IF(P1283="En programación Frcst.",VLOOKUP(L1283,Meses!$A$1:$H$14,3+HLOOKUP(Cronograma!J1283,Meses!$D$1:$G$2,2,FALSE),FALSE),
IF(P1283="En programación",M1283,""))</f>
        <v>45295</v>
      </c>
      <c r="S1283" s="25" t="str">
        <f t="shared" ref="S1283:S1346" si="62">IFERROR(CONCATENATE(YEAR(R1283),"/",MONTH(R1283)),"")</f>
        <v>2024/1</v>
      </c>
      <c r="T1283" s="21">
        <f>IFERROR(
(VLOOKUP(MONTH(R1283),Meses!$B$3:$C$14,2,FALSE)-DAY(R1283))/VLOOKUP(MONTH(R1283),Meses!$B$3:$C$14,2,FALSE)*U1283,
"")</f>
        <v>14148</v>
      </c>
      <c r="U1283" s="22">
        <f t="shared" si="61"/>
        <v>16244</v>
      </c>
    </row>
    <row r="1284" spans="1:21" ht="47.4" hidden="1" thickBot="1" x14ac:dyDescent="0.6">
      <c r="A1284" s="10" t="s">
        <v>1579</v>
      </c>
      <c r="B1284" s="10" t="s">
        <v>1590</v>
      </c>
      <c r="C1284" s="12">
        <v>45302</v>
      </c>
      <c r="D1284" s="10" t="s">
        <v>14</v>
      </c>
      <c r="E1284" s="10" t="s">
        <v>14</v>
      </c>
      <c r="F1284" s="10">
        <v>210</v>
      </c>
      <c r="G1284" s="10" t="s">
        <v>15</v>
      </c>
      <c r="H1284" s="10" t="s">
        <v>17</v>
      </c>
      <c r="I1284" s="10" t="s">
        <v>18</v>
      </c>
      <c r="J1284" s="10" t="s">
        <v>282</v>
      </c>
      <c r="K1284" s="10" t="s">
        <v>283</v>
      </c>
      <c r="L1284" s="10" t="s">
        <v>279</v>
      </c>
      <c r="M1284" s="12"/>
      <c r="N1284" s="10" t="s">
        <v>15</v>
      </c>
      <c r="O1284" s="10" t="s">
        <v>2054</v>
      </c>
      <c r="P1284" s="25" t="str">
        <f>IFERROR(
IF(OR(O1284="anulado",O1284="stand by"),CONCATENATE(O1284,": ",H1284),
IF(OR(YEAR(M1284)=2022,YEAR(M1284)=2023),CONCATENATE("Se activó en ",YEAR(M1284)),
IF(AND(OR(O1284="En proceso",O1284="facturando"),AND(J1284="-",M1284="")),"Por revisar",
IF(M1284="",IF(J1284="NUEVAS",CONCATENATE("Estado: ",O1284,", ",J1284),
IF(L1284=Meses!$A$3,"Por revisar",
IF(H1284="","Sin registro","En programación Frcst."))),"En programación")))),
"Error")</f>
        <v>En programación Frcst.</v>
      </c>
      <c r="Q1284" s="9" t="str">
        <f t="shared" si="60"/>
        <v/>
      </c>
      <c r="R1284" s="25">
        <f>IF(P1284="En programación Frcst.",VLOOKUP(L1284,Meses!$A$1:$H$14,3+HLOOKUP(Cronograma!J1284,Meses!$D$1:$G$2,2,FALSE),FALSE),
IF(P1284="En programación",M1284,""))</f>
        <v>45295</v>
      </c>
      <c r="S1284" s="25" t="str">
        <f t="shared" si="62"/>
        <v>2024/1</v>
      </c>
      <c r="T1284" s="21">
        <f>IFERROR(
(VLOOKUP(MONTH(R1284),Meses!$B$3:$C$14,2,FALSE)-DAY(R1284))/VLOOKUP(MONTH(R1284),Meses!$B$3:$C$14,2,FALSE)*U1284,
"")</f>
        <v>182.90322580645162</v>
      </c>
      <c r="U1284" s="22">
        <f t="shared" si="61"/>
        <v>210</v>
      </c>
    </row>
    <row r="1285" spans="1:21" ht="31.8" hidden="1" thickBot="1" x14ac:dyDescent="0.6">
      <c r="A1285" s="10" t="s">
        <v>1591</v>
      </c>
      <c r="B1285" s="10" t="s">
        <v>1592</v>
      </c>
      <c r="C1285" s="12"/>
      <c r="D1285" s="10" t="s">
        <v>74</v>
      </c>
      <c r="E1285" s="10" t="s">
        <v>74</v>
      </c>
      <c r="F1285" s="10">
        <v>5332</v>
      </c>
      <c r="G1285" s="10" t="s">
        <v>15</v>
      </c>
      <c r="H1285" s="10" t="s">
        <v>2917</v>
      </c>
      <c r="I1285" s="10" t="s">
        <v>43</v>
      </c>
      <c r="J1285" s="10" t="s">
        <v>143</v>
      </c>
      <c r="K1285" s="10" t="s">
        <v>2895</v>
      </c>
      <c r="L1285" s="10" t="s">
        <v>2292</v>
      </c>
      <c r="M1285" s="12">
        <v>45400</v>
      </c>
      <c r="N1285" s="10" t="s">
        <v>15</v>
      </c>
      <c r="O1285" s="10" t="s">
        <v>2057</v>
      </c>
      <c r="P1285" s="25" t="str">
        <f>IFERROR(
IF(OR(O1285="anulado",O1285="stand by"),CONCATENATE(O1285,": ",H1285),
IF(OR(YEAR(M1285)=2022,YEAR(M1285)=2023),CONCATENATE("Se activó en ",YEAR(M1285)),
IF(AND(OR(O1285="En proceso",O1285="facturando"),AND(J1285="-",M1285="")),"Por revisar",
IF(M1285="",IF(J1285="NUEVAS",CONCATENATE("Estado: ",O1285,", ",J1285),
IF(L1285=Meses!$A$3,"Por revisar",
IF(H1285="","Sin registro","En programación Frcst."))),"En programación")))),
"Error")</f>
        <v>En programación</v>
      </c>
      <c r="Q1285" s="9" t="str">
        <f t="shared" si="60"/>
        <v/>
      </c>
      <c r="R1285" s="25">
        <f>IF(P1285="En programación Frcst.",VLOOKUP(L1285,Meses!$A$1:$H$14,3+HLOOKUP(Cronograma!J1285,Meses!$D$1:$G$2,2,FALSE),FALSE),
IF(P1285="En programación",M1285,""))</f>
        <v>45400</v>
      </c>
      <c r="S1285" s="25" t="str">
        <f t="shared" si="62"/>
        <v>2024/4</v>
      </c>
      <c r="T1285" s="21">
        <f>IFERROR(
(VLOOKUP(MONTH(R1285),Meses!$B$3:$C$14,2,FALSE)-DAY(R1285))/VLOOKUP(MONTH(R1285),Meses!$B$3:$C$14,2,FALSE)*U1285,
"")</f>
        <v>2132.8000000000002</v>
      </c>
      <c r="U1285" s="22">
        <f t="shared" si="61"/>
        <v>5332</v>
      </c>
    </row>
    <row r="1286" spans="1:21" ht="47.4" hidden="1" thickBot="1" x14ac:dyDescent="0.6">
      <c r="A1286" s="10" t="s">
        <v>1593</v>
      </c>
      <c r="B1286" s="10" t="s">
        <v>1594</v>
      </c>
      <c r="C1286" s="12">
        <v>45225</v>
      </c>
      <c r="D1286" s="10" t="s">
        <v>862</v>
      </c>
      <c r="E1286" s="10" t="s">
        <v>41</v>
      </c>
      <c r="F1286" s="10">
        <v>45613</v>
      </c>
      <c r="G1286" s="10" t="s">
        <v>15</v>
      </c>
      <c r="H1286" s="10" t="s">
        <v>17</v>
      </c>
      <c r="I1286" s="10" t="s">
        <v>66</v>
      </c>
      <c r="J1286" s="10" t="s">
        <v>19</v>
      </c>
      <c r="K1286" s="10" t="s">
        <v>19</v>
      </c>
      <c r="L1286" s="10" t="s">
        <v>19</v>
      </c>
      <c r="M1286" s="12"/>
      <c r="N1286" s="10" t="s">
        <v>20</v>
      </c>
      <c r="O1286" s="10" t="s">
        <v>2054</v>
      </c>
      <c r="P1286" s="25" t="str">
        <f>IFERROR(
IF(OR(O1286="anulado",O1286="stand by"),CONCATENATE(O1286,": ",H1286),
IF(OR(YEAR(M1286)=2022,YEAR(M1286)=2023),CONCATENATE("Se activó en ",YEAR(M1286)),
IF(AND(OR(O1286="En proceso",O1286="facturando"),AND(J1286="-",M1286="")),"Por revisar",
IF(M1286="",IF(J1286="NUEVAS",CONCATENATE("Estado: ",O1286,", ",J1286),
IF(L1286=Meses!$A$3,"Por revisar",
IF(H1286="","Sin registro","En programación Frcst."))),"En programación")))),
"Error")</f>
        <v>Por revisar</v>
      </c>
      <c r="Q1286" s="9" t="str">
        <f t="shared" si="60"/>
        <v>programación de act. NO, estado: Facturando, Comercializador: DICELER, Etapa: Instalado y Activado</v>
      </c>
      <c r="R1286" s="25" t="str">
        <f>IF(P1286="En programación Frcst.",VLOOKUP(L1286,Meses!$A$1:$H$14,3+HLOOKUP(Cronograma!J1286,Meses!$D$1:$G$2,2,FALSE),FALSE),
IF(P1286="En programación",M1286,""))</f>
        <v/>
      </c>
      <c r="S1286" s="25" t="str">
        <f t="shared" si="62"/>
        <v/>
      </c>
      <c r="T1286" s="21" t="str">
        <f>IFERROR(
(VLOOKUP(MONTH(R1286),Meses!$B$3:$C$14,2,FALSE)-DAY(R1286))/VLOOKUP(MONTH(R1286),Meses!$B$3:$C$14,2,FALSE)*U1286,
"")</f>
        <v/>
      </c>
      <c r="U1286" s="22">
        <f t="shared" si="61"/>
        <v>45613</v>
      </c>
    </row>
    <row r="1287" spans="1:21" ht="31.8" hidden="1" thickBot="1" x14ac:dyDescent="0.6">
      <c r="A1287" s="10" t="s">
        <v>1231</v>
      </c>
      <c r="B1287" s="10" t="s">
        <v>1595</v>
      </c>
      <c r="C1287" s="12"/>
      <c r="D1287" s="10" t="s">
        <v>14</v>
      </c>
      <c r="E1287" s="10" t="s">
        <v>14</v>
      </c>
      <c r="F1287" s="10">
        <v>1</v>
      </c>
      <c r="G1287" s="10" t="s">
        <v>15</v>
      </c>
      <c r="H1287" s="10" t="s">
        <v>2917</v>
      </c>
      <c r="I1287" s="10" t="s">
        <v>18</v>
      </c>
      <c r="J1287" s="10" t="s">
        <v>277</v>
      </c>
      <c r="K1287" s="10" t="s">
        <v>3310</v>
      </c>
      <c r="L1287" s="10" t="s">
        <v>1120</v>
      </c>
      <c r="M1287" s="12">
        <v>45372</v>
      </c>
      <c r="N1287" s="10" t="s">
        <v>15</v>
      </c>
      <c r="O1287" s="10" t="s">
        <v>2057</v>
      </c>
      <c r="P1287" s="25" t="str">
        <f>IFERROR(
IF(OR(O1287="anulado",O1287="stand by"),CONCATENATE(O1287,": ",H1287),
IF(OR(YEAR(M1287)=2022,YEAR(M1287)=2023),CONCATENATE("Se activó en ",YEAR(M1287)),
IF(AND(OR(O1287="En proceso",O1287="facturando"),AND(J1287="-",M1287="")),"Por revisar",
IF(M1287="",IF(J1287="NUEVAS",CONCATENATE("Estado: ",O1287,", ",J1287),
IF(L1287=Meses!$A$3,"Por revisar",
IF(H1287="","Sin registro","En programación Frcst."))),"En programación")))),
"Error")</f>
        <v>En programación</v>
      </c>
      <c r="Q1287" s="9" t="str">
        <f t="shared" si="60"/>
        <v/>
      </c>
      <c r="R1287" s="25">
        <f>IF(P1287="En programación Frcst.",VLOOKUP(L1287,Meses!$A$1:$H$14,3+HLOOKUP(Cronograma!J1287,Meses!$D$1:$G$2,2,FALSE),FALSE),
IF(P1287="En programación",M1287,""))</f>
        <v>45372</v>
      </c>
      <c r="S1287" s="25" t="str">
        <f t="shared" si="62"/>
        <v>2024/3</v>
      </c>
      <c r="T1287" s="21">
        <f>IFERROR(
(VLOOKUP(MONTH(R1287),Meses!$B$3:$C$14,2,FALSE)-DAY(R1287))/VLOOKUP(MONTH(R1287),Meses!$B$3:$C$14,2,FALSE)*U1287,
"")</f>
        <v>0.32258064516129031</v>
      </c>
      <c r="U1287" s="22">
        <f t="shared" si="61"/>
        <v>1</v>
      </c>
    </row>
    <row r="1288" spans="1:21" ht="32.4" hidden="1" thickBot="1" x14ac:dyDescent="0.6">
      <c r="A1288" s="10" t="s">
        <v>1231</v>
      </c>
      <c r="B1288" s="10" t="s">
        <v>1596</v>
      </c>
      <c r="C1288" s="12">
        <v>45267</v>
      </c>
      <c r="D1288" s="10" t="s">
        <v>1249</v>
      </c>
      <c r="E1288" s="10" t="s">
        <v>14</v>
      </c>
      <c r="F1288" s="10">
        <v>21722</v>
      </c>
      <c r="G1288" s="10" t="s">
        <v>15</v>
      </c>
      <c r="H1288" s="10" t="s">
        <v>17</v>
      </c>
      <c r="I1288" s="10" t="s">
        <v>66</v>
      </c>
      <c r="J1288" s="10" t="s">
        <v>143</v>
      </c>
      <c r="K1288" s="10" t="s">
        <v>144</v>
      </c>
      <c r="L1288" s="10" t="s">
        <v>145</v>
      </c>
      <c r="M1288" s="12"/>
      <c r="N1288" s="10" t="s">
        <v>15</v>
      </c>
      <c r="O1288" s="10" t="s">
        <v>2054</v>
      </c>
      <c r="P1288" s="25" t="str">
        <f>IFERROR(
IF(OR(O1288="anulado",O1288="stand by"),CONCATENATE(O1288,": ",H1288),
IF(OR(YEAR(M1288)=2022,YEAR(M1288)=2023),CONCATENATE("Se activó en ",YEAR(M1288)),
IF(AND(OR(O1288="En proceso",O1288="facturando"),AND(J1288="-",M1288="")),"Por revisar",
IF(M1288="",IF(J1288="NUEVAS",CONCATENATE("Estado: ",O1288,", ",J1288),
IF(L1288=Meses!$A$3,"Por revisar",
IF(H1288="","Sin registro","En programación Frcst."))),"En programación")))),
"Error")</f>
        <v>Por revisar</v>
      </c>
      <c r="Q1288" s="9" t="str">
        <f t="shared" si="60"/>
        <v>programación de act. SI, estado: Facturando, Comercializador: PEESA, Etapa: Instalado y Activado</v>
      </c>
      <c r="R1288" s="25" t="str">
        <f>IF(P1288="En programación Frcst.",VLOOKUP(L1288,Meses!$A$1:$H$14,3+HLOOKUP(Cronograma!J1288,Meses!$D$1:$G$2,2,FALSE),FALSE),
IF(P1288="En programación",M1288,""))</f>
        <v/>
      </c>
      <c r="S1288" s="25" t="str">
        <f t="shared" si="62"/>
        <v/>
      </c>
      <c r="T1288" s="21" t="str">
        <f>IFERROR(
(VLOOKUP(MONTH(R1288),Meses!$B$3:$C$14,2,FALSE)-DAY(R1288))/VLOOKUP(MONTH(R1288),Meses!$B$3:$C$14,2,FALSE)*U1288,
"")</f>
        <v/>
      </c>
      <c r="U1288" s="22">
        <f t="shared" si="61"/>
        <v>21722</v>
      </c>
    </row>
    <row r="1289" spans="1:21" ht="31.8" hidden="1" thickBot="1" x14ac:dyDescent="0.6">
      <c r="A1289" s="10" t="s">
        <v>1231</v>
      </c>
      <c r="B1289" s="10" t="s">
        <v>1597</v>
      </c>
      <c r="C1289" s="12">
        <v>45302</v>
      </c>
      <c r="D1289" s="10" t="s">
        <v>14</v>
      </c>
      <c r="E1289" s="10" t="s">
        <v>14</v>
      </c>
      <c r="F1289" s="10">
        <v>9875</v>
      </c>
      <c r="G1289" s="10" t="s">
        <v>15</v>
      </c>
      <c r="H1289" s="10" t="s">
        <v>17</v>
      </c>
      <c r="I1289" s="10" t="s">
        <v>18</v>
      </c>
      <c r="J1289" s="10" t="s">
        <v>277</v>
      </c>
      <c r="K1289" s="10" t="s">
        <v>278</v>
      </c>
      <c r="L1289" s="10" t="s">
        <v>279</v>
      </c>
      <c r="M1289" s="12"/>
      <c r="N1289" s="10" t="s">
        <v>15</v>
      </c>
      <c r="O1289" s="10" t="s">
        <v>2054</v>
      </c>
      <c r="P1289" s="25" t="str">
        <f>IFERROR(
IF(OR(O1289="anulado",O1289="stand by"),CONCATENATE(O1289,": ",H1289),
IF(OR(YEAR(M1289)=2022,YEAR(M1289)=2023),CONCATENATE("Se activó en ",YEAR(M1289)),
IF(AND(OR(O1289="En proceso",O1289="facturando"),AND(J1289="-",M1289="")),"Por revisar",
IF(M1289="",IF(J1289="NUEVAS",CONCATENATE("Estado: ",O1289,", ",J1289),
IF(L1289=Meses!$A$3,"Por revisar",
IF(H1289="","Sin registro","En programación Frcst."))),"En programación")))),
"Error")</f>
        <v>En programación Frcst.</v>
      </c>
      <c r="Q1289" s="9" t="str">
        <f t="shared" si="60"/>
        <v/>
      </c>
      <c r="R1289" s="25">
        <f>IF(P1289="En programación Frcst.",VLOOKUP(L1289,Meses!$A$1:$H$14,3+HLOOKUP(Cronograma!J1289,Meses!$D$1:$G$2,2,FALSE),FALSE),
IF(P1289="En programación",M1289,""))</f>
        <v>45309</v>
      </c>
      <c r="S1289" s="25" t="str">
        <f t="shared" si="62"/>
        <v>2024/1</v>
      </c>
      <c r="T1289" s="21">
        <f>IFERROR(
(VLOOKUP(MONTH(R1289),Meses!$B$3:$C$14,2,FALSE)-DAY(R1289))/VLOOKUP(MONTH(R1289),Meses!$B$3:$C$14,2,FALSE)*U1289,
"")</f>
        <v>4141.1290322580644</v>
      </c>
      <c r="U1289" s="22">
        <f t="shared" si="61"/>
        <v>9875</v>
      </c>
    </row>
    <row r="1290" spans="1:21" ht="31.8" hidden="1" thickBot="1" x14ac:dyDescent="0.6">
      <c r="A1290" s="10" t="s">
        <v>1231</v>
      </c>
      <c r="B1290" s="10" t="s">
        <v>1598</v>
      </c>
      <c r="C1290" s="12">
        <v>45302</v>
      </c>
      <c r="D1290" s="10" t="s">
        <v>14</v>
      </c>
      <c r="E1290" s="10" t="s">
        <v>14</v>
      </c>
      <c r="F1290" s="10">
        <v>9216</v>
      </c>
      <c r="G1290" s="10" t="s">
        <v>15</v>
      </c>
      <c r="H1290" s="10" t="s">
        <v>17</v>
      </c>
      <c r="I1290" s="10" t="s">
        <v>18</v>
      </c>
      <c r="J1290" s="10" t="s">
        <v>277</v>
      </c>
      <c r="K1290" s="10" t="s">
        <v>278</v>
      </c>
      <c r="L1290" s="10" t="s">
        <v>279</v>
      </c>
      <c r="M1290" s="12"/>
      <c r="N1290" s="10" t="s">
        <v>15</v>
      </c>
      <c r="O1290" s="10" t="s">
        <v>2054</v>
      </c>
      <c r="P1290" s="25" t="str">
        <f>IFERROR(
IF(OR(O1290="anulado",O1290="stand by"),CONCATENATE(O1290,": ",H1290),
IF(OR(YEAR(M1290)=2022,YEAR(M1290)=2023),CONCATENATE("Se activó en ",YEAR(M1290)),
IF(AND(OR(O1290="En proceso",O1290="facturando"),AND(J1290="-",M1290="")),"Por revisar",
IF(M1290="",IF(J1290="NUEVAS",CONCATENATE("Estado: ",O1290,", ",J1290),
IF(L1290=Meses!$A$3,"Por revisar",
IF(H1290="","Sin registro","En programación Frcst."))),"En programación")))),
"Error")</f>
        <v>En programación Frcst.</v>
      </c>
      <c r="Q1290" s="9" t="str">
        <f t="shared" si="60"/>
        <v/>
      </c>
      <c r="R1290" s="25">
        <f>IF(P1290="En programación Frcst.",VLOOKUP(L1290,Meses!$A$1:$H$14,3+HLOOKUP(Cronograma!J1290,Meses!$D$1:$G$2,2,FALSE),FALSE),
IF(P1290="En programación",M1290,""))</f>
        <v>45309</v>
      </c>
      <c r="S1290" s="25" t="str">
        <f t="shared" si="62"/>
        <v>2024/1</v>
      </c>
      <c r="T1290" s="21">
        <f>IFERROR(
(VLOOKUP(MONTH(R1290),Meses!$B$3:$C$14,2,FALSE)-DAY(R1290))/VLOOKUP(MONTH(R1290),Meses!$B$3:$C$14,2,FALSE)*U1290,
"")</f>
        <v>3864.7741935483873</v>
      </c>
      <c r="U1290" s="22">
        <f t="shared" si="61"/>
        <v>9216</v>
      </c>
    </row>
    <row r="1291" spans="1:21" ht="32.4" hidden="1" thickBot="1" x14ac:dyDescent="0.6">
      <c r="A1291" s="10" t="s">
        <v>1231</v>
      </c>
      <c r="B1291" s="10" t="s">
        <v>1599</v>
      </c>
      <c r="C1291" s="12">
        <v>45274</v>
      </c>
      <c r="D1291" s="10" t="s">
        <v>1249</v>
      </c>
      <c r="E1291" s="10" t="s">
        <v>14</v>
      </c>
      <c r="F1291" s="10">
        <v>124149</v>
      </c>
      <c r="G1291" s="10" t="s">
        <v>15</v>
      </c>
      <c r="H1291" s="10" t="s">
        <v>17</v>
      </c>
      <c r="I1291" s="10" t="s">
        <v>66</v>
      </c>
      <c r="J1291" s="10" t="s">
        <v>143</v>
      </c>
      <c r="K1291" s="10" t="s">
        <v>144</v>
      </c>
      <c r="L1291" s="10" t="s">
        <v>145</v>
      </c>
      <c r="M1291" s="12"/>
      <c r="N1291" s="10" t="s">
        <v>15</v>
      </c>
      <c r="O1291" s="10" t="s">
        <v>2054</v>
      </c>
      <c r="P1291" s="25" t="str">
        <f>IFERROR(
IF(OR(O1291="anulado",O1291="stand by"),CONCATENATE(O1291,": ",H1291),
IF(OR(YEAR(M1291)=2022,YEAR(M1291)=2023),CONCATENATE("Se activó en ",YEAR(M1291)),
IF(AND(OR(O1291="En proceso",O1291="facturando"),AND(J1291="-",M1291="")),"Por revisar",
IF(M1291="",IF(J1291="NUEVAS",CONCATENATE("Estado: ",O1291,", ",J1291),
IF(L1291=Meses!$A$3,"Por revisar",
IF(H1291="","Sin registro","En programación Frcst."))),"En programación")))),
"Error")</f>
        <v>Por revisar</v>
      </c>
      <c r="Q1291" s="9" t="str">
        <f t="shared" si="60"/>
        <v>programación de act. SI, estado: Facturando, Comercializador: PEESA, Etapa: Instalado y Activado</v>
      </c>
      <c r="R1291" s="25" t="str">
        <f>IF(P1291="En programación Frcst.",VLOOKUP(L1291,Meses!$A$1:$H$14,3+HLOOKUP(Cronograma!J1291,Meses!$D$1:$G$2,2,FALSE),FALSE),
IF(P1291="En programación",M1291,""))</f>
        <v/>
      </c>
      <c r="S1291" s="25" t="str">
        <f t="shared" si="62"/>
        <v/>
      </c>
      <c r="T1291" s="21" t="str">
        <f>IFERROR(
(VLOOKUP(MONTH(R1291),Meses!$B$3:$C$14,2,FALSE)-DAY(R1291))/VLOOKUP(MONTH(R1291),Meses!$B$3:$C$14,2,FALSE)*U1291,
"")</f>
        <v/>
      </c>
      <c r="U1291" s="22">
        <f t="shared" si="61"/>
        <v>124149</v>
      </c>
    </row>
    <row r="1292" spans="1:21" ht="32.4" hidden="1" thickBot="1" x14ac:dyDescent="0.6">
      <c r="A1292" s="10" t="s">
        <v>1231</v>
      </c>
      <c r="B1292" s="10" t="s">
        <v>1600</v>
      </c>
      <c r="C1292" s="12">
        <v>45267</v>
      </c>
      <c r="D1292" s="10" t="s">
        <v>1249</v>
      </c>
      <c r="E1292" s="10" t="s">
        <v>14</v>
      </c>
      <c r="F1292" s="10">
        <v>24450</v>
      </c>
      <c r="G1292" s="10" t="s">
        <v>15</v>
      </c>
      <c r="H1292" s="10" t="s">
        <v>17</v>
      </c>
      <c r="I1292" s="10" t="s">
        <v>66</v>
      </c>
      <c r="J1292" s="10" t="s">
        <v>143</v>
      </c>
      <c r="K1292" s="10" t="s">
        <v>144</v>
      </c>
      <c r="L1292" s="10" t="s">
        <v>145</v>
      </c>
      <c r="M1292" s="12"/>
      <c r="N1292" s="10" t="s">
        <v>15</v>
      </c>
      <c r="O1292" s="10" t="s">
        <v>2054</v>
      </c>
      <c r="P1292" s="25" t="str">
        <f>IFERROR(
IF(OR(O1292="anulado",O1292="stand by"),CONCATENATE(O1292,": ",H1292),
IF(OR(YEAR(M1292)=2022,YEAR(M1292)=2023),CONCATENATE("Se activó en ",YEAR(M1292)),
IF(AND(OR(O1292="En proceso",O1292="facturando"),AND(J1292="-",M1292="")),"Por revisar",
IF(M1292="",IF(J1292="NUEVAS",CONCATENATE("Estado: ",O1292,", ",J1292),
IF(L1292=Meses!$A$3,"Por revisar",
IF(H1292="","Sin registro","En programación Frcst."))),"En programación")))),
"Error")</f>
        <v>Por revisar</v>
      </c>
      <c r="Q1292" s="9" t="str">
        <f t="shared" si="60"/>
        <v>programación de act. SI, estado: Facturando, Comercializador: PEESA, Etapa: Instalado y Activado</v>
      </c>
      <c r="R1292" s="25" t="str">
        <f>IF(P1292="En programación Frcst.",VLOOKUP(L1292,Meses!$A$1:$H$14,3+HLOOKUP(Cronograma!J1292,Meses!$D$1:$G$2,2,FALSE),FALSE),
IF(P1292="En programación",M1292,""))</f>
        <v/>
      </c>
      <c r="S1292" s="25" t="str">
        <f t="shared" si="62"/>
        <v/>
      </c>
      <c r="T1292" s="21" t="str">
        <f>IFERROR(
(VLOOKUP(MONTH(R1292),Meses!$B$3:$C$14,2,FALSE)-DAY(R1292))/VLOOKUP(MONTH(R1292),Meses!$B$3:$C$14,2,FALSE)*U1292,
"")</f>
        <v/>
      </c>
      <c r="U1292" s="22">
        <f t="shared" si="61"/>
        <v>24450</v>
      </c>
    </row>
    <row r="1293" spans="1:21" ht="31.8" hidden="1" thickBot="1" x14ac:dyDescent="0.6">
      <c r="A1293" s="10" t="s">
        <v>1231</v>
      </c>
      <c r="B1293" s="10" t="s">
        <v>1601</v>
      </c>
      <c r="C1293" s="12"/>
      <c r="D1293" s="10" t="s">
        <v>14</v>
      </c>
      <c r="E1293" s="10" t="s">
        <v>14</v>
      </c>
      <c r="F1293" s="10">
        <v>8480</v>
      </c>
      <c r="G1293" s="10" t="s">
        <v>15</v>
      </c>
      <c r="H1293" s="10" t="s">
        <v>2917</v>
      </c>
      <c r="I1293" s="10" t="s">
        <v>18</v>
      </c>
      <c r="J1293" s="10" t="s">
        <v>277</v>
      </c>
      <c r="K1293" s="10" t="s">
        <v>3310</v>
      </c>
      <c r="L1293" s="10" t="s">
        <v>1120</v>
      </c>
      <c r="M1293" s="12">
        <v>45372</v>
      </c>
      <c r="N1293" s="10" t="s">
        <v>15</v>
      </c>
      <c r="O1293" s="10" t="s">
        <v>2057</v>
      </c>
      <c r="P1293" s="25" t="str">
        <f>IFERROR(
IF(OR(O1293="anulado",O1293="stand by"),CONCATENATE(O1293,": ",H1293),
IF(OR(YEAR(M1293)=2022,YEAR(M1293)=2023),CONCATENATE("Se activó en ",YEAR(M1293)),
IF(AND(OR(O1293="En proceso",O1293="facturando"),AND(J1293="-",M1293="")),"Por revisar",
IF(M1293="",IF(J1293="NUEVAS",CONCATENATE("Estado: ",O1293,", ",J1293),
IF(L1293=Meses!$A$3,"Por revisar",
IF(H1293="","Sin registro","En programación Frcst."))),"En programación")))),
"Error")</f>
        <v>En programación</v>
      </c>
      <c r="Q1293" s="9" t="str">
        <f t="shared" si="60"/>
        <v/>
      </c>
      <c r="R1293" s="25">
        <f>IF(P1293="En programación Frcst.",VLOOKUP(L1293,Meses!$A$1:$H$14,3+HLOOKUP(Cronograma!J1293,Meses!$D$1:$G$2,2,FALSE),FALSE),
IF(P1293="En programación",M1293,""))</f>
        <v>45372</v>
      </c>
      <c r="S1293" s="25" t="str">
        <f t="shared" si="62"/>
        <v>2024/3</v>
      </c>
      <c r="T1293" s="21">
        <f>IFERROR(
(VLOOKUP(MONTH(R1293),Meses!$B$3:$C$14,2,FALSE)-DAY(R1293))/VLOOKUP(MONTH(R1293),Meses!$B$3:$C$14,2,FALSE)*U1293,
"")</f>
        <v>2735.483870967742</v>
      </c>
      <c r="U1293" s="22">
        <f t="shared" si="61"/>
        <v>8480</v>
      </c>
    </row>
    <row r="1294" spans="1:21" ht="32.4" hidden="1" thickBot="1" x14ac:dyDescent="0.6">
      <c r="A1294" s="10" t="s">
        <v>1231</v>
      </c>
      <c r="B1294" s="10" t="s">
        <v>1602</v>
      </c>
      <c r="C1294" s="12">
        <v>45267</v>
      </c>
      <c r="D1294" s="10" t="s">
        <v>1249</v>
      </c>
      <c r="E1294" s="10" t="s">
        <v>14</v>
      </c>
      <c r="F1294" s="10">
        <v>21407</v>
      </c>
      <c r="G1294" s="10" t="s">
        <v>15</v>
      </c>
      <c r="H1294" s="10" t="s">
        <v>17</v>
      </c>
      <c r="I1294" s="10" t="s">
        <v>66</v>
      </c>
      <c r="J1294" s="10" t="s">
        <v>143</v>
      </c>
      <c r="K1294" s="10" t="s">
        <v>144</v>
      </c>
      <c r="L1294" s="10" t="s">
        <v>145</v>
      </c>
      <c r="M1294" s="12"/>
      <c r="N1294" s="10" t="s">
        <v>15</v>
      </c>
      <c r="O1294" s="10" t="s">
        <v>2054</v>
      </c>
      <c r="P1294" s="25" t="str">
        <f>IFERROR(
IF(OR(O1294="anulado",O1294="stand by"),CONCATENATE(O1294,": ",H1294),
IF(OR(YEAR(M1294)=2022,YEAR(M1294)=2023),CONCATENATE("Se activó en ",YEAR(M1294)),
IF(AND(OR(O1294="En proceso",O1294="facturando"),AND(J1294="-",M1294="")),"Por revisar",
IF(M1294="",IF(J1294="NUEVAS",CONCATENATE("Estado: ",O1294,", ",J1294),
IF(L1294=Meses!$A$3,"Por revisar",
IF(H1294="","Sin registro","En programación Frcst."))),"En programación")))),
"Error")</f>
        <v>Por revisar</v>
      </c>
      <c r="Q1294" s="9" t="str">
        <f t="shared" si="60"/>
        <v>programación de act. SI, estado: Facturando, Comercializador: PEESA, Etapa: Instalado y Activado</v>
      </c>
      <c r="R1294" s="25" t="str">
        <f>IF(P1294="En programación Frcst.",VLOOKUP(L1294,Meses!$A$1:$H$14,3+HLOOKUP(Cronograma!J1294,Meses!$D$1:$G$2,2,FALSE),FALSE),
IF(P1294="En programación",M1294,""))</f>
        <v/>
      </c>
      <c r="S1294" s="25" t="str">
        <f t="shared" si="62"/>
        <v/>
      </c>
      <c r="T1294" s="21" t="str">
        <f>IFERROR(
(VLOOKUP(MONTH(R1294),Meses!$B$3:$C$14,2,FALSE)-DAY(R1294))/VLOOKUP(MONTH(R1294),Meses!$B$3:$C$14,2,FALSE)*U1294,
"")</f>
        <v/>
      </c>
      <c r="U1294" s="22">
        <f t="shared" si="61"/>
        <v>21407</v>
      </c>
    </row>
    <row r="1295" spans="1:21" ht="32.4" hidden="1" thickBot="1" x14ac:dyDescent="0.6">
      <c r="A1295" s="10" t="s">
        <v>1231</v>
      </c>
      <c r="B1295" s="10" t="s">
        <v>1603</v>
      </c>
      <c r="C1295" s="12">
        <v>45260</v>
      </c>
      <c r="D1295" s="10" t="s">
        <v>1249</v>
      </c>
      <c r="E1295" s="10" t="s">
        <v>14</v>
      </c>
      <c r="F1295" s="10">
        <v>15013</v>
      </c>
      <c r="G1295" s="10" t="s">
        <v>15</v>
      </c>
      <c r="H1295" s="10" t="s">
        <v>17</v>
      </c>
      <c r="I1295" s="10" t="s">
        <v>66</v>
      </c>
      <c r="J1295" s="10" t="s">
        <v>143</v>
      </c>
      <c r="K1295" s="10" t="s">
        <v>144</v>
      </c>
      <c r="L1295" s="10" t="s">
        <v>145</v>
      </c>
      <c r="M1295" s="12"/>
      <c r="N1295" s="10" t="s">
        <v>15</v>
      </c>
      <c r="O1295" s="10" t="s">
        <v>2054</v>
      </c>
      <c r="P1295" s="25" t="str">
        <f>IFERROR(
IF(OR(O1295="anulado",O1295="stand by"),CONCATENATE(O1295,": ",H1295),
IF(OR(YEAR(M1295)=2022,YEAR(M1295)=2023),CONCATENATE("Se activó en ",YEAR(M1295)),
IF(AND(OR(O1295="En proceso",O1295="facturando"),AND(J1295="-",M1295="")),"Por revisar",
IF(M1295="",IF(J1295="NUEVAS",CONCATENATE("Estado: ",O1295,", ",J1295),
IF(L1295=Meses!$A$3,"Por revisar",
IF(H1295="","Sin registro","En programación Frcst."))),"En programación")))),
"Error")</f>
        <v>Por revisar</v>
      </c>
      <c r="Q1295" s="9" t="str">
        <f t="shared" si="60"/>
        <v>programación de act. SI, estado: Facturando, Comercializador: PEESA, Etapa: Instalado y Activado</v>
      </c>
      <c r="R1295" s="25" t="str">
        <f>IF(P1295="En programación Frcst.",VLOOKUP(L1295,Meses!$A$1:$H$14,3+HLOOKUP(Cronograma!J1295,Meses!$D$1:$G$2,2,FALSE),FALSE),
IF(P1295="En programación",M1295,""))</f>
        <v/>
      </c>
      <c r="S1295" s="25" t="str">
        <f t="shared" si="62"/>
        <v/>
      </c>
      <c r="T1295" s="21" t="str">
        <f>IFERROR(
(VLOOKUP(MONTH(R1295),Meses!$B$3:$C$14,2,FALSE)-DAY(R1295))/VLOOKUP(MONTH(R1295),Meses!$B$3:$C$14,2,FALSE)*U1295,
"")</f>
        <v/>
      </c>
      <c r="U1295" s="22">
        <f t="shared" si="61"/>
        <v>15013</v>
      </c>
    </row>
    <row r="1296" spans="1:21" ht="32.4" hidden="1" thickBot="1" x14ac:dyDescent="0.6">
      <c r="A1296" s="10" t="s">
        <v>1231</v>
      </c>
      <c r="B1296" s="10" t="s">
        <v>1604</v>
      </c>
      <c r="C1296" s="12">
        <v>45260</v>
      </c>
      <c r="D1296" s="10" t="s">
        <v>1249</v>
      </c>
      <c r="E1296" s="10" t="s">
        <v>14</v>
      </c>
      <c r="F1296" s="10">
        <v>6245</v>
      </c>
      <c r="G1296" s="10" t="s">
        <v>15</v>
      </c>
      <c r="H1296" s="10" t="s">
        <v>17</v>
      </c>
      <c r="I1296" s="10" t="s">
        <v>66</v>
      </c>
      <c r="J1296" s="10" t="s">
        <v>143</v>
      </c>
      <c r="K1296" s="10" t="s">
        <v>144</v>
      </c>
      <c r="L1296" s="10" t="s">
        <v>145</v>
      </c>
      <c r="M1296" s="12"/>
      <c r="N1296" s="10" t="s">
        <v>15</v>
      </c>
      <c r="O1296" s="10" t="s">
        <v>2054</v>
      </c>
      <c r="P1296" s="25" t="str">
        <f>IFERROR(
IF(OR(O1296="anulado",O1296="stand by"),CONCATENATE(O1296,": ",H1296),
IF(OR(YEAR(M1296)=2022,YEAR(M1296)=2023),CONCATENATE("Se activó en ",YEAR(M1296)),
IF(AND(OR(O1296="En proceso",O1296="facturando"),AND(J1296="-",M1296="")),"Por revisar",
IF(M1296="",IF(J1296="NUEVAS",CONCATENATE("Estado: ",O1296,", ",J1296),
IF(L1296=Meses!$A$3,"Por revisar",
IF(H1296="","Sin registro","En programación Frcst."))),"En programación")))),
"Error")</f>
        <v>Por revisar</v>
      </c>
      <c r="Q1296" s="9" t="str">
        <f t="shared" si="60"/>
        <v>programación de act. SI, estado: Facturando, Comercializador: PEESA, Etapa: Instalado y Activado</v>
      </c>
      <c r="R1296" s="25" t="str">
        <f>IF(P1296="En programación Frcst.",VLOOKUP(L1296,Meses!$A$1:$H$14,3+HLOOKUP(Cronograma!J1296,Meses!$D$1:$G$2,2,FALSE),FALSE),
IF(P1296="En programación",M1296,""))</f>
        <v/>
      </c>
      <c r="S1296" s="25" t="str">
        <f t="shared" si="62"/>
        <v/>
      </c>
      <c r="T1296" s="21" t="str">
        <f>IFERROR(
(VLOOKUP(MONTH(R1296),Meses!$B$3:$C$14,2,FALSE)-DAY(R1296))/VLOOKUP(MONTH(R1296),Meses!$B$3:$C$14,2,FALSE)*U1296,
"")</f>
        <v/>
      </c>
      <c r="U1296" s="22">
        <f t="shared" si="61"/>
        <v>6245</v>
      </c>
    </row>
    <row r="1297" spans="1:21" ht="32.4" hidden="1" thickBot="1" x14ac:dyDescent="0.6">
      <c r="A1297" s="10" t="s">
        <v>1231</v>
      </c>
      <c r="B1297" s="10" t="s">
        <v>1605</v>
      </c>
      <c r="C1297" s="12">
        <v>45260</v>
      </c>
      <c r="D1297" s="10" t="s">
        <v>1249</v>
      </c>
      <c r="E1297" s="10" t="s">
        <v>14</v>
      </c>
      <c r="F1297" s="10">
        <v>7823</v>
      </c>
      <c r="G1297" s="10" t="s">
        <v>15</v>
      </c>
      <c r="H1297" s="10" t="s">
        <v>17</v>
      </c>
      <c r="I1297" s="10" t="s">
        <v>66</v>
      </c>
      <c r="J1297" s="10" t="s">
        <v>143</v>
      </c>
      <c r="K1297" s="10" t="s">
        <v>144</v>
      </c>
      <c r="L1297" s="10" t="s">
        <v>145</v>
      </c>
      <c r="M1297" s="12"/>
      <c r="N1297" s="10" t="s">
        <v>15</v>
      </c>
      <c r="O1297" s="10" t="s">
        <v>2054</v>
      </c>
      <c r="P1297" s="25" t="str">
        <f>IFERROR(
IF(OR(O1297="anulado",O1297="stand by"),CONCATENATE(O1297,": ",H1297),
IF(OR(YEAR(M1297)=2022,YEAR(M1297)=2023),CONCATENATE("Se activó en ",YEAR(M1297)),
IF(AND(OR(O1297="En proceso",O1297="facturando"),AND(J1297="-",M1297="")),"Por revisar",
IF(M1297="",IF(J1297="NUEVAS",CONCATENATE("Estado: ",O1297,", ",J1297),
IF(L1297=Meses!$A$3,"Por revisar",
IF(H1297="","Sin registro","En programación Frcst."))),"En programación")))),
"Error")</f>
        <v>Por revisar</v>
      </c>
      <c r="Q1297" s="9" t="str">
        <f t="shared" si="60"/>
        <v>programación de act. SI, estado: Facturando, Comercializador: PEESA, Etapa: Instalado y Activado</v>
      </c>
      <c r="R1297" s="25" t="str">
        <f>IF(P1297="En programación Frcst.",VLOOKUP(L1297,Meses!$A$1:$H$14,3+HLOOKUP(Cronograma!J1297,Meses!$D$1:$G$2,2,FALSE),FALSE),
IF(P1297="En programación",M1297,""))</f>
        <v/>
      </c>
      <c r="S1297" s="25" t="str">
        <f t="shared" si="62"/>
        <v/>
      </c>
      <c r="T1297" s="21" t="str">
        <f>IFERROR(
(VLOOKUP(MONTH(R1297),Meses!$B$3:$C$14,2,FALSE)-DAY(R1297))/VLOOKUP(MONTH(R1297),Meses!$B$3:$C$14,2,FALSE)*U1297,
"")</f>
        <v/>
      </c>
      <c r="U1297" s="22">
        <f t="shared" si="61"/>
        <v>7823</v>
      </c>
    </row>
    <row r="1298" spans="1:21" ht="32.4" hidden="1" thickBot="1" x14ac:dyDescent="0.6">
      <c r="A1298" s="10" t="s">
        <v>1231</v>
      </c>
      <c r="B1298" s="10" t="s">
        <v>1606</v>
      </c>
      <c r="C1298" s="12">
        <v>45260</v>
      </c>
      <c r="D1298" s="10" t="s">
        <v>1249</v>
      </c>
      <c r="E1298" s="10" t="s">
        <v>14</v>
      </c>
      <c r="F1298" s="10">
        <v>2244</v>
      </c>
      <c r="G1298" s="10" t="s">
        <v>15</v>
      </c>
      <c r="H1298" s="10" t="s">
        <v>17</v>
      </c>
      <c r="I1298" s="10" t="s">
        <v>66</v>
      </c>
      <c r="J1298" s="10" t="s">
        <v>143</v>
      </c>
      <c r="K1298" s="10" t="s">
        <v>144</v>
      </c>
      <c r="L1298" s="10" t="s">
        <v>145</v>
      </c>
      <c r="M1298" s="12"/>
      <c r="N1298" s="10" t="s">
        <v>15</v>
      </c>
      <c r="O1298" s="10" t="s">
        <v>2054</v>
      </c>
      <c r="P1298" s="25" t="str">
        <f>IFERROR(
IF(OR(O1298="anulado",O1298="stand by"),CONCATENATE(O1298,": ",H1298),
IF(OR(YEAR(M1298)=2022,YEAR(M1298)=2023),CONCATENATE("Se activó en ",YEAR(M1298)),
IF(AND(OR(O1298="En proceso",O1298="facturando"),AND(J1298="-",M1298="")),"Por revisar",
IF(M1298="",IF(J1298="NUEVAS",CONCATENATE("Estado: ",O1298,", ",J1298),
IF(L1298=Meses!$A$3,"Por revisar",
IF(H1298="","Sin registro","En programación Frcst."))),"En programación")))),
"Error")</f>
        <v>Por revisar</v>
      </c>
      <c r="Q1298" s="9" t="str">
        <f t="shared" si="60"/>
        <v>programación de act. SI, estado: Facturando, Comercializador: PEESA, Etapa: Instalado y Activado</v>
      </c>
      <c r="R1298" s="25" t="str">
        <f>IF(P1298="En programación Frcst.",VLOOKUP(L1298,Meses!$A$1:$H$14,3+HLOOKUP(Cronograma!J1298,Meses!$D$1:$G$2,2,FALSE),FALSE),
IF(P1298="En programación",M1298,""))</f>
        <v/>
      </c>
      <c r="S1298" s="25" t="str">
        <f t="shared" si="62"/>
        <v/>
      </c>
      <c r="T1298" s="21" t="str">
        <f>IFERROR(
(VLOOKUP(MONTH(R1298),Meses!$B$3:$C$14,2,FALSE)-DAY(R1298))/VLOOKUP(MONTH(R1298),Meses!$B$3:$C$14,2,FALSE)*U1298,
"")</f>
        <v/>
      </c>
      <c r="U1298" s="22">
        <f t="shared" si="61"/>
        <v>2244</v>
      </c>
    </row>
    <row r="1299" spans="1:21" ht="32.4" hidden="1" thickBot="1" x14ac:dyDescent="0.6">
      <c r="A1299" s="10" t="s">
        <v>1231</v>
      </c>
      <c r="B1299" s="10" t="s">
        <v>1607</v>
      </c>
      <c r="C1299" s="12">
        <v>45267</v>
      </c>
      <c r="D1299" s="10" t="s">
        <v>1249</v>
      </c>
      <c r="E1299" s="10" t="s">
        <v>14</v>
      </c>
      <c r="F1299" s="10">
        <v>19031</v>
      </c>
      <c r="G1299" s="10" t="s">
        <v>15</v>
      </c>
      <c r="H1299" s="10" t="s">
        <v>17</v>
      </c>
      <c r="I1299" s="10" t="s">
        <v>66</v>
      </c>
      <c r="J1299" s="10" t="s">
        <v>143</v>
      </c>
      <c r="K1299" s="10" t="s">
        <v>144</v>
      </c>
      <c r="L1299" s="10" t="s">
        <v>145</v>
      </c>
      <c r="M1299" s="12"/>
      <c r="N1299" s="10" t="s">
        <v>15</v>
      </c>
      <c r="O1299" s="10" t="s">
        <v>2054</v>
      </c>
      <c r="P1299" s="25" t="str">
        <f>IFERROR(
IF(OR(O1299="anulado",O1299="stand by"),CONCATENATE(O1299,": ",H1299),
IF(OR(YEAR(M1299)=2022,YEAR(M1299)=2023),CONCATENATE("Se activó en ",YEAR(M1299)),
IF(AND(OR(O1299="En proceso",O1299="facturando"),AND(J1299="-",M1299="")),"Por revisar",
IF(M1299="",IF(J1299="NUEVAS",CONCATENATE("Estado: ",O1299,", ",J1299),
IF(L1299=Meses!$A$3,"Por revisar",
IF(H1299="","Sin registro","En programación Frcst."))),"En programación")))),
"Error")</f>
        <v>Por revisar</v>
      </c>
      <c r="Q1299" s="9" t="str">
        <f t="shared" si="60"/>
        <v>programación de act. SI, estado: Facturando, Comercializador: PEESA, Etapa: Instalado y Activado</v>
      </c>
      <c r="R1299" s="25" t="str">
        <f>IF(P1299="En programación Frcst.",VLOOKUP(L1299,Meses!$A$1:$H$14,3+HLOOKUP(Cronograma!J1299,Meses!$D$1:$G$2,2,FALSE),FALSE),
IF(P1299="En programación",M1299,""))</f>
        <v/>
      </c>
      <c r="S1299" s="25" t="str">
        <f t="shared" si="62"/>
        <v/>
      </c>
      <c r="T1299" s="21" t="str">
        <f>IFERROR(
(VLOOKUP(MONTH(R1299),Meses!$B$3:$C$14,2,FALSE)-DAY(R1299))/VLOOKUP(MONTH(R1299),Meses!$B$3:$C$14,2,FALSE)*U1299,
"")</f>
        <v/>
      </c>
      <c r="U1299" s="22">
        <f t="shared" si="61"/>
        <v>19031</v>
      </c>
    </row>
    <row r="1300" spans="1:21" ht="32.4" hidden="1" thickBot="1" x14ac:dyDescent="0.6">
      <c r="A1300" s="10" t="s">
        <v>1231</v>
      </c>
      <c r="B1300" s="10" t="s">
        <v>1608</v>
      </c>
      <c r="C1300" s="12">
        <v>45274</v>
      </c>
      <c r="D1300" s="10" t="s">
        <v>1249</v>
      </c>
      <c r="E1300" s="10" t="s">
        <v>14</v>
      </c>
      <c r="F1300" s="10">
        <v>154546</v>
      </c>
      <c r="G1300" s="10" t="s">
        <v>15</v>
      </c>
      <c r="H1300" s="10" t="s">
        <v>17</v>
      </c>
      <c r="I1300" s="10" t="s">
        <v>66</v>
      </c>
      <c r="J1300" s="10" t="s">
        <v>143</v>
      </c>
      <c r="K1300" s="10" t="s">
        <v>144</v>
      </c>
      <c r="L1300" s="10" t="s">
        <v>145</v>
      </c>
      <c r="M1300" s="12"/>
      <c r="N1300" s="10" t="s">
        <v>15</v>
      </c>
      <c r="O1300" s="10" t="s">
        <v>2054</v>
      </c>
      <c r="P1300" s="25" t="str">
        <f>IFERROR(
IF(OR(O1300="anulado",O1300="stand by"),CONCATENATE(O1300,": ",H1300),
IF(OR(YEAR(M1300)=2022,YEAR(M1300)=2023),CONCATENATE("Se activó en ",YEAR(M1300)),
IF(AND(OR(O1300="En proceso",O1300="facturando"),AND(J1300="-",M1300="")),"Por revisar",
IF(M1300="",IF(J1300="NUEVAS",CONCATENATE("Estado: ",O1300,", ",J1300),
IF(L1300=Meses!$A$3,"Por revisar",
IF(H1300="","Sin registro","En programación Frcst."))),"En programación")))),
"Error")</f>
        <v>Por revisar</v>
      </c>
      <c r="Q1300" s="9" t="str">
        <f t="shared" si="60"/>
        <v>programación de act. SI, estado: Facturando, Comercializador: PEESA, Etapa: Instalado y Activado</v>
      </c>
      <c r="R1300" s="25" t="str">
        <f>IF(P1300="En programación Frcst.",VLOOKUP(L1300,Meses!$A$1:$H$14,3+HLOOKUP(Cronograma!J1300,Meses!$D$1:$G$2,2,FALSE),FALSE),
IF(P1300="En programación",M1300,""))</f>
        <v/>
      </c>
      <c r="S1300" s="25" t="str">
        <f t="shared" si="62"/>
        <v/>
      </c>
      <c r="T1300" s="21" t="str">
        <f>IFERROR(
(VLOOKUP(MONTH(R1300),Meses!$B$3:$C$14,2,FALSE)-DAY(R1300))/VLOOKUP(MONTH(R1300),Meses!$B$3:$C$14,2,FALSE)*U1300,
"")</f>
        <v/>
      </c>
      <c r="U1300" s="22">
        <f t="shared" si="61"/>
        <v>154546</v>
      </c>
    </row>
    <row r="1301" spans="1:21" ht="31.8" hidden="1" thickBot="1" x14ac:dyDescent="0.6">
      <c r="A1301" s="10" t="s">
        <v>1231</v>
      </c>
      <c r="B1301" s="10" t="s">
        <v>1609</v>
      </c>
      <c r="C1301" s="12"/>
      <c r="D1301" s="10" t="s">
        <v>14</v>
      </c>
      <c r="E1301" s="10" t="s">
        <v>14</v>
      </c>
      <c r="F1301" s="10">
        <v>31048</v>
      </c>
      <c r="G1301" s="10" t="s">
        <v>15</v>
      </c>
      <c r="H1301" s="10" t="s">
        <v>140</v>
      </c>
      <c r="I1301" s="10" t="s">
        <v>18</v>
      </c>
      <c r="J1301" s="10" t="s">
        <v>19</v>
      </c>
      <c r="K1301" s="10" t="s">
        <v>19</v>
      </c>
      <c r="L1301" s="10" t="s">
        <v>19</v>
      </c>
      <c r="M1301" s="12"/>
      <c r="N1301" s="10" t="s">
        <v>20</v>
      </c>
      <c r="O1301" s="10" t="s">
        <v>2056</v>
      </c>
      <c r="P1301" s="25" t="str">
        <f>IFERROR(
IF(OR(O1301="anulado",O1301="stand by"),CONCATENATE(O1301,": ",H1301),
IF(OR(YEAR(M1301)=2022,YEAR(M1301)=2023),CONCATENATE("Se activó en ",YEAR(M1301)),
IF(AND(OR(O1301="En proceso",O1301="facturando"),AND(J1301="-",M1301="")),"Por revisar",
IF(M1301="",IF(J1301="NUEVAS",CONCATENATE("Estado: ",O1301,", ",J1301),
IF(L1301=Meses!$A$3,"Por revisar",
IF(H1301="","Sin registro","En programación Frcst."))),"En programación")))),
"Error")</f>
        <v>anulado: Desistido</v>
      </c>
      <c r="Q1301" s="9" t="str">
        <f t="shared" si="60"/>
        <v/>
      </c>
      <c r="R1301" s="25" t="str">
        <f>IF(P1301="En programación Frcst.",VLOOKUP(L1301,Meses!$A$1:$H$14,3+HLOOKUP(Cronograma!J1301,Meses!$D$1:$G$2,2,FALSE),FALSE),
IF(P1301="En programación",M1301,""))</f>
        <v/>
      </c>
      <c r="S1301" s="25" t="str">
        <f t="shared" si="62"/>
        <v/>
      </c>
      <c r="T1301" s="21" t="str">
        <f>IFERROR(
(VLOOKUP(MONTH(R1301),Meses!$B$3:$C$14,2,FALSE)-DAY(R1301))/VLOOKUP(MONTH(R1301),Meses!$B$3:$C$14,2,FALSE)*U1301,
"")</f>
        <v/>
      </c>
      <c r="U1301" s="22">
        <f t="shared" si="61"/>
        <v>31048</v>
      </c>
    </row>
    <row r="1302" spans="1:21" ht="31.8" hidden="1" thickBot="1" x14ac:dyDescent="0.6">
      <c r="A1302" s="10" t="s">
        <v>1231</v>
      </c>
      <c r="B1302" s="10" t="s">
        <v>1610</v>
      </c>
      <c r="C1302" s="12"/>
      <c r="D1302" s="10" t="s">
        <v>14</v>
      </c>
      <c r="E1302" s="10" t="s">
        <v>14</v>
      </c>
      <c r="F1302" s="10">
        <v>48</v>
      </c>
      <c r="G1302" s="10" t="s">
        <v>15</v>
      </c>
      <c r="H1302" s="10" t="s">
        <v>2917</v>
      </c>
      <c r="I1302" s="10" t="s">
        <v>18</v>
      </c>
      <c r="J1302" s="10" t="s">
        <v>277</v>
      </c>
      <c r="K1302" s="10" t="s">
        <v>3310</v>
      </c>
      <c r="L1302" s="10" t="s">
        <v>1120</v>
      </c>
      <c r="M1302" s="12">
        <v>45372</v>
      </c>
      <c r="N1302" s="10" t="s">
        <v>15</v>
      </c>
      <c r="O1302" s="10" t="s">
        <v>2057</v>
      </c>
      <c r="P1302" s="25" t="str">
        <f>IFERROR(
IF(OR(O1302="anulado",O1302="stand by"),CONCATENATE(O1302,": ",H1302),
IF(OR(YEAR(M1302)=2022,YEAR(M1302)=2023),CONCATENATE("Se activó en ",YEAR(M1302)),
IF(AND(OR(O1302="En proceso",O1302="facturando"),AND(J1302="-",M1302="")),"Por revisar",
IF(M1302="",IF(J1302="NUEVAS",CONCATENATE("Estado: ",O1302,", ",J1302),
IF(L1302=Meses!$A$3,"Por revisar",
IF(H1302="","Sin registro","En programación Frcst."))),"En programación")))),
"Error")</f>
        <v>En programación</v>
      </c>
      <c r="Q1302" s="9" t="str">
        <f t="shared" si="60"/>
        <v/>
      </c>
      <c r="R1302" s="25">
        <f>IF(P1302="En programación Frcst.",VLOOKUP(L1302,Meses!$A$1:$H$14,3+HLOOKUP(Cronograma!J1302,Meses!$D$1:$G$2,2,FALSE),FALSE),
IF(P1302="En programación",M1302,""))</f>
        <v>45372</v>
      </c>
      <c r="S1302" s="25" t="str">
        <f t="shared" si="62"/>
        <v>2024/3</v>
      </c>
      <c r="T1302" s="21">
        <f>IFERROR(
(VLOOKUP(MONTH(R1302),Meses!$B$3:$C$14,2,FALSE)-DAY(R1302))/VLOOKUP(MONTH(R1302),Meses!$B$3:$C$14,2,FALSE)*U1302,
"")</f>
        <v>15.483870967741936</v>
      </c>
      <c r="U1302" s="22">
        <f t="shared" si="61"/>
        <v>48</v>
      </c>
    </row>
    <row r="1303" spans="1:21" ht="31.8" hidden="1" thickBot="1" x14ac:dyDescent="0.6">
      <c r="A1303" s="10" t="s">
        <v>1231</v>
      </c>
      <c r="B1303" s="10" t="s">
        <v>1611</v>
      </c>
      <c r="C1303" s="12"/>
      <c r="D1303" s="10" t="s">
        <v>14</v>
      </c>
      <c r="E1303" s="10" t="s">
        <v>14</v>
      </c>
      <c r="F1303" s="10">
        <v>15720</v>
      </c>
      <c r="G1303" s="10" t="s">
        <v>15</v>
      </c>
      <c r="H1303" s="10" t="s">
        <v>2917</v>
      </c>
      <c r="I1303" s="10" t="s">
        <v>18</v>
      </c>
      <c r="J1303" s="10" t="s">
        <v>277</v>
      </c>
      <c r="K1303" s="10" t="s">
        <v>3310</v>
      </c>
      <c r="L1303" s="10" t="s">
        <v>1120</v>
      </c>
      <c r="M1303" s="12">
        <v>45372</v>
      </c>
      <c r="N1303" s="10" t="s">
        <v>15</v>
      </c>
      <c r="O1303" s="10" t="s">
        <v>2057</v>
      </c>
      <c r="P1303" s="25" t="str">
        <f>IFERROR(
IF(OR(O1303="anulado",O1303="stand by"),CONCATENATE(O1303,": ",H1303),
IF(OR(YEAR(M1303)=2022,YEAR(M1303)=2023),CONCATENATE("Se activó en ",YEAR(M1303)),
IF(AND(OR(O1303="En proceso",O1303="facturando"),AND(J1303="-",M1303="")),"Por revisar",
IF(M1303="",IF(J1303="NUEVAS",CONCATENATE("Estado: ",O1303,", ",J1303),
IF(L1303=Meses!$A$3,"Por revisar",
IF(H1303="","Sin registro","En programación Frcst."))),"En programación")))),
"Error")</f>
        <v>En programación</v>
      </c>
      <c r="Q1303" s="9" t="str">
        <f t="shared" si="60"/>
        <v/>
      </c>
      <c r="R1303" s="25">
        <f>IF(P1303="En programación Frcst.",VLOOKUP(L1303,Meses!$A$1:$H$14,3+HLOOKUP(Cronograma!J1303,Meses!$D$1:$G$2,2,FALSE),FALSE),
IF(P1303="En programación",M1303,""))</f>
        <v>45372</v>
      </c>
      <c r="S1303" s="25" t="str">
        <f t="shared" si="62"/>
        <v>2024/3</v>
      </c>
      <c r="T1303" s="21">
        <f>IFERROR(
(VLOOKUP(MONTH(R1303),Meses!$B$3:$C$14,2,FALSE)-DAY(R1303))/VLOOKUP(MONTH(R1303),Meses!$B$3:$C$14,2,FALSE)*U1303,
"")</f>
        <v>5070.9677419354839</v>
      </c>
      <c r="U1303" s="22">
        <f t="shared" si="61"/>
        <v>15720</v>
      </c>
    </row>
    <row r="1304" spans="1:21" ht="32.4" hidden="1" thickBot="1" x14ac:dyDescent="0.6">
      <c r="A1304" s="10" t="s">
        <v>1231</v>
      </c>
      <c r="B1304" s="10" t="s">
        <v>1612</v>
      </c>
      <c r="C1304" s="12">
        <v>45274</v>
      </c>
      <c r="D1304" s="10" t="s">
        <v>1249</v>
      </c>
      <c r="E1304" s="10" t="s">
        <v>14</v>
      </c>
      <c r="F1304" s="10">
        <v>164170</v>
      </c>
      <c r="G1304" s="10" t="s">
        <v>15</v>
      </c>
      <c r="H1304" s="10" t="s">
        <v>17</v>
      </c>
      <c r="I1304" s="10" t="s">
        <v>66</v>
      </c>
      <c r="J1304" s="10" t="s">
        <v>143</v>
      </c>
      <c r="K1304" s="10" t="s">
        <v>144</v>
      </c>
      <c r="L1304" s="10" t="s">
        <v>145</v>
      </c>
      <c r="M1304" s="12"/>
      <c r="N1304" s="10" t="s">
        <v>15</v>
      </c>
      <c r="O1304" s="10" t="s">
        <v>2054</v>
      </c>
      <c r="P1304" s="25" t="str">
        <f>IFERROR(
IF(OR(O1304="anulado",O1304="stand by"),CONCATENATE(O1304,": ",H1304),
IF(OR(YEAR(M1304)=2022,YEAR(M1304)=2023),CONCATENATE("Se activó en ",YEAR(M1304)),
IF(AND(OR(O1304="En proceso",O1304="facturando"),AND(J1304="-",M1304="")),"Por revisar",
IF(M1304="",IF(J1304="NUEVAS",CONCATENATE("Estado: ",O1304,", ",J1304),
IF(L1304=Meses!$A$3,"Por revisar",
IF(H1304="","Sin registro","En programación Frcst."))),"En programación")))),
"Error")</f>
        <v>Por revisar</v>
      </c>
      <c r="Q1304" s="9" t="str">
        <f t="shared" si="60"/>
        <v>programación de act. SI, estado: Facturando, Comercializador: PEESA, Etapa: Instalado y Activado</v>
      </c>
      <c r="R1304" s="25" t="str">
        <f>IF(P1304="En programación Frcst.",VLOOKUP(L1304,Meses!$A$1:$H$14,3+HLOOKUP(Cronograma!J1304,Meses!$D$1:$G$2,2,FALSE),FALSE),
IF(P1304="En programación",M1304,""))</f>
        <v/>
      </c>
      <c r="S1304" s="25" t="str">
        <f t="shared" si="62"/>
        <v/>
      </c>
      <c r="T1304" s="21" t="str">
        <f>IFERROR(
(VLOOKUP(MONTH(R1304),Meses!$B$3:$C$14,2,FALSE)-DAY(R1304))/VLOOKUP(MONTH(R1304),Meses!$B$3:$C$14,2,FALSE)*U1304,
"")</f>
        <v/>
      </c>
      <c r="U1304" s="22">
        <f t="shared" si="61"/>
        <v>164170</v>
      </c>
    </row>
    <row r="1305" spans="1:21" ht="32.4" hidden="1" thickBot="1" x14ac:dyDescent="0.6">
      <c r="A1305" s="10" t="s">
        <v>1231</v>
      </c>
      <c r="B1305" s="10" t="s">
        <v>1613</v>
      </c>
      <c r="C1305" s="12">
        <v>45260</v>
      </c>
      <c r="D1305" s="10" t="s">
        <v>1249</v>
      </c>
      <c r="E1305" s="10" t="s">
        <v>14</v>
      </c>
      <c r="F1305" s="10">
        <v>8884</v>
      </c>
      <c r="G1305" s="10" t="s">
        <v>15</v>
      </c>
      <c r="H1305" s="10" t="s">
        <v>17</v>
      </c>
      <c r="I1305" s="10" t="s">
        <v>66</v>
      </c>
      <c r="J1305" s="10" t="s">
        <v>143</v>
      </c>
      <c r="K1305" s="10" t="s">
        <v>144</v>
      </c>
      <c r="L1305" s="10" t="s">
        <v>145</v>
      </c>
      <c r="M1305" s="12"/>
      <c r="N1305" s="10" t="s">
        <v>15</v>
      </c>
      <c r="O1305" s="10" t="s">
        <v>2054</v>
      </c>
      <c r="P1305" s="25" t="str">
        <f>IFERROR(
IF(OR(O1305="anulado",O1305="stand by"),CONCATENATE(O1305,": ",H1305),
IF(OR(YEAR(M1305)=2022,YEAR(M1305)=2023),CONCATENATE("Se activó en ",YEAR(M1305)),
IF(AND(OR(O1305="En proceso",O1305="facturando"),AND(J1305="-",M1305="")),"Por revisar",
IF(M1305="",IF(J1305="NUEVAS",CONCATENATE("Estado: ",O1305,", ",J1305),
IF(L1305=Meses!$A$3,"Por revisar",
IF(H1305="","Sin registro","En programación Frcst."))),"En programación")))),
"Error")</f>
        <v>Por revisar</v>
      </c>
      <c r="Q1305" s="9" t="str">
        <f t="shared" si="60"/>
        <v>programación de act. SI, estado: Facturando, Comercializador: PEESA, Etapa: Instalado y Activado</v>
      </c>
      <c r="R1305" s="25" t="str">
        <f>IF(P1305="En programación Frcst.",VLOOKUP(L1305,Meses!$A$1:$H$14,3+HLOOKUP(Cronograma!J1305,Meses!$D$1:$G$2,2,FALSE),FALSE),
IF(P1305="En programación",M1305,""))</f>
        <v/>
      </c>
      <c r="S1305" s="25" t="str">
        <f t="shared" si="62"/>
        <v/>
      </c>
      <c r="T1305" s="21" t="str">
        <f>IFERROR(
(VLOOKUP(MONTH(R1305),Meses!$B$3:$C$14,2,FALSE)-DAY(R1305))/VLOOKUP(MONTH(R1305),Meses!$B$3:$C$14,2,FALSE)*U1305,
"")</f>
        <v/>
      </c>
      <c r="U1305" s="22">
        <f t="shared" si="61"/>
        <v>8884</v>
      </c>
    </row>
    <row r="1306" spans="1:21" ht="78.599999999999994" hidden="1" thickBot="1" x14ac:dyDescent="0.6">
      <c r="A1306" s="10" t="s">
        <v>1614</v>
      </c>
      <c r="B1306" s="10" t="s">
        <v>1615</v>
      </c>
      <c r="C1306" s="12"/>
      <c r="D1306" s="10" t="s">
        <v>74</v>
      </c>
      <c r="E1306" s="10" t="s">
        <v>74</v>
      </c>
      <c r="F1306" s="10">
        <v>3749</v>
      </c>
      <c r="G1306" s="10" t="s">
        <v>15</v>
      </c>
      <c r="H1306" s="10" t="s">
        <v>2917</v>
      </c>
      <c r="I1306" s="10" t="s">
        <v>43</v>
      </c>
      <c r="J1306" s="10" t="s">
        <v>143</v>
      </c>
      <c r="K1306" s="10" t="s">
        <v>2895</v>
      </c>
      <c r="L1306" s="10" t="s">
        <v>2292</v>
      </c>
      <c r="M1306" s="12">
        <v>45400</v>
      </c>
      <c r="N1306" s="10" t="s">
        <v>15</v>
      </c>
      <c r="O1306" s="10" t="s">
        <v>2057</v>
      </c>
      <c r="P1306" s="25" t="str">
        <f>IFERROR(
IF(OR(O1306="anulado",O1306="stand by"),CONCATENATE(O1306,": ",H1306),
IF(OR(YEAR(M1306)=2022,YEAR(M1306)=2023),CONCATENATE("Se activó en ",YEAR(M1306)),
IF(AND(OR(O1306="En proceso",O1306="facturando"),AND(J1306="-",M1306="")),"Por revisar",
IF(M1306="",IF(J1306="NUEVAS",CONCATENATE("Estado: ",O1306,", ",J1306),
IF(L1306=Meses!$A$3,"Por revisar",
IF(H1306="","Sin registro","En programación Frcst."))),"En programación")))),
"Error")</f>
        <v>En programación</v>
      </c>
      <c r="Q1306" s="9" t="str">
        <f t="shared" si="60"/>
        <v/>
      </c>
      <c r="R1306" s="25">
        <f>IF(P1306="En programación Frcst.",VLOOKUP(L1306,Meses!$A$1:$H$14,3+HLOOKUP(Cronograma!J1306,Meses!$D$1:$G$2,2,FALSE),FALSE),
IF(P1306="En programación",M1306,""))</f>
        <v>45400</v>
      </c>
      <c r="S1306" s="25" t="str">
        <f t="shared" si="62"/>
        <v>2024/4</v>
      </c>
      <c r="T1306" s="21">
        <f>IFERROR(
(VLOOKUP(MONTH(R1306),Meses!$B$3:$C$14,2,FALSE)-DAY(R1306))/VLOOKUP(MONTH(R1306),Meses!$B$3:$C$14,2,FALSE)*U1306,
"")</f>
        <v>1499.6000000000001</v>
      </c>
      <c r="U1306" s="22">
        <f t="shared" si="61"/>
        <v>3749</v>
      </c>
    </row>
    <row r="1307" spans="1:21" ht="78.599999999999994" hidden="1" thickBot="1" x14ac:dyDescent="0.6">
      <c r="A1307" s="10" t="s">
        <v>1614</v>
      </c>
      <c r="B1307" s="10" t="s">
        <v>1616</v>
      </c>
      <c r="C1307" s="12"/>
      <c r="D1307" s="10" t="s">
        <v>74</v>
      </c>
      <c r="E1307" s="10" t="s">
        <v>74</v>
      </c>
      <c r="F1307" s="10">
        <v>31200</v>
      </c>
      <c r="G1307" s="10" t="s">
        <v>15</v>
      </c>
      <c r="H1307" s="10" t="s">
        <v>140</v>
      </c>
      <c r="I1307" s="10" t="s">
        <v>43</v>
      </c>
      <c r="J1307" s="10" t="s">
        <v>19</v>
      </c>
      <c r="K1307" s="10" t="s">
        <v>19</v>
      </c>
      <c r="L1307" s="10" t="s">
        <v>19</v>
      </c>
      <c r="M1307" s="12"/>
      <c r="N1307" s="10" t="s">
        <v>20</v>
      </c>
      <c r="O1307" s="10" t="s">
        <v>2056</v>
      </c>
      <c r="P1307" s="25" t="str">
        <f>IFERROR(
IF(OR(O1307="anulado",O1307="stand by"),CONCATENATE(O1307,": ",H1307),
IF(OR(YEAR(M1307)=2022,YEAR(M1307)=2023),CONCATENATE("Se activó en ",YEAR(M1307)),
IF(AND(OR(O1307="En proceso",O1307="facturando"),AND(J1307="-",M1307="")),"Por revisar",
IF(M1307="",IF(J1307="NUEVAS",CONCATENATE("Estado: ",O1307,", ",J1307),
IF(L1307=Meses!$A$3,"Por revisar",
IF(H1307="","Sin registro","En programación Frcst."))),"En programación")))),
"Error")</f>
        <v>anulado: Desistido</v>
      </c>
      <c r="Q1307" s="9" t="str">
        <f t="shared" si="60"/>
        <v/>
      </c>
      <c r="R1307" s="25" t="str">
        <f>IF(P1307="En programación Frcst.",VLOOKUP(L1307,Meses!$A$1:$H$14,3+HLOOKUP(Cronograma!J1307,Meses!$D$1:$G$2,2,FALSE),FALSE),
IF(P1307="En programación",M1307,""))</f>
        <v/>
      </c>
      <c r="S1307" s="25" t="str">
        <f t="shared" si="62"/>
        <v/>
      </c>
      <c r="T1307" s="21" t="str">
        <f>IFERROR(
(VLOOKUP(MONTH(R1307),Meses!$B$3:$C$14,2,FALSE)-DAY(R1307))/VLOOKUP(MONTH(R1307),Meses!$B$3:$C$14,2,FALSE)*U1307,
"")</f>
        <v/>
      </c>
      <c r="U1307" s="22">
        <f t="shared" si="61"/>
        <v>31200</v>
      </c>
    </row>
    <row r="1308" spans="1:21" ht="78.599999999999994" hidden="1" thickBot="1" x14ac:dyDescent="0.6">
      <c r="A1308" s="10" t="s">
        <v>1614</v>
      </c>
      <c r="B1308" s="10" t="s">
        <v>1617</v>
      </c>
      <c r="C1308" s="12"/>
      <c r="D1308" s="10" t="s">
        <v>74</v>
      </c>
      <c r="E1308" s="10" t="s">
        <v>74</v>
      </c>
      <c r="F1308" s="10">
        <v>9183</v>
      </c>
      <c r="G1308" s="10" t="s">
        <v>15</v>
      </c>
      <c r="H1308" s="10" t="s">
        <v>2917</v>
      </c>
      <c r="I1308" s="10" t="s">
        <v>43</v>
      </c>
      <c r="J1308" s="10" t="s">
        <v>143</v>
      </c>
      <c r="K1308" s="10" t="s">
        <v>2895</v>
      </c>
      <c r="L1308" s="10" t="s">
        <v>2292</v>
      </c>
      <c r="M1308" s="12">
        <v>45400</v>
      </c>
      <c r="N1308" s="10" t="s">
        <v>15</v>
      </c>
      <c r="O1308" s="10" t="s">
        <v>2057</v>
      </c>
      <c r="P1308" s="25" t="str">
        <f>IFERROR(
IF(OR(O1308="anulado",O1308="stand by"),CONCATENATE(O1308,": ",H1308),
IF(OR(YEAR(M1308)=2022,YEAR(M1308)=2023),CONCATENATE("Se activó en ",YEAR(M1308)),
IF(AND(OR(O1308="En proceso",O1308="facturando"),AND(J1308="-",M1308="")),"Por revisar",
IF(M1308="",IF(J1308="NUEVAS",CONCATENATE("Estado: ",O1308,", ",J1308),
IF(L1308=Meses!$A$3,"Por revisar",
IF(H1308="","Sin registro","En programación Frcst."))),"En programación")))),
"Error")</f>
        <v>En programación</v>
      </c>
      <c r="Q1308" s="9" t="str">
        <f t="shared" si="60"/>
        <v/>
      </c>
      <c r="R1308" s="25">
        <f>IF(P1308="En programación Frcst.",VLOOKUP(L1308,Meses!$A$1:$H$14,3+HLOOKUP(Cronograma!J1308,Meses!$D$1:$G$2,2,FALSE),FALSE),
IF(P1308="En programación",M1308,""))</f>
        <v>45400</v>
      </c>
      <c r="S1308" s="25" t="str">
        <f t="shared" si="62"/>
        <v>2024/4</v>
      </c>
      <c r="T1308" s="21">
        <f>IFERROR(
(VLOOKUP(MONTH(R1308),Meses!$B$3:$C$14,2,FALSE)-DAY(R1308))/VLOOKUP(MONTH(R1308),Meses!$B$3:$C$14,2,FALSE)*U1308,
"")</f>
        <v>3673.2000000000003</v>
      </c>
      <c r="U1308" s="22">
        <f t="shared" si="61"/>
        <v>9183</v>
      </c>
    </row>
    <row r="1309" spans="1:21" ht="31.8" hidden="1" thickBot="1" x14ac:dyDescent="0.6">
      <c r="A1309" s="10" t="s">
        <v>1618</v>
      </c>
      <c r="B1309" s="10" t="s">
        <v>1619</v>
      </c>
      <c r="C1309" s="12">
        <v>45309</v>
      </c>
      <c r="D1309" s="10" t="s">
        <v>14</v>
      </c>
      <c r="E1309" s="10" t="s">
        <v>14</v>
      </c>
      <c r="F1309" s="10">
        <v>6345</v>
      </c>
      <c r="G1309" s="10" t="s">
        <v>15</v>
      </c>
      <c r="H1309" s="10" t="s">
        <v>17</v>
      </c>
      <c r="I1309" s="10" t="s">
        <v>18</v>
      </c>
      <c r="J1309" s="10" t="s">
        <v>143</v>
      </c>
      <c r="K1309" s="10" t="s">
        <v>538</v>
      </c>
      <c r="L1309" s="10" t="s">
        <v>279</v>
      </c>
      <c r="M1309" s="12"/>
      <c r="N1309" s="10" t="s">
        <v>15</v>
      </c>
      <c r="O1309" s="10" t="s">
        <v>2054</v>
      </c>
      <c r="P1309" s="25" t="str">
        <f>IFERROR(
IF(OR(O1309="anulado",O1309="stand by"),CONCATENATE(O1309,": ",H1309),
IF(OR(YEAR(M1309)=2022,YEAR(M1309)=2023),CONCATENATE("Se activó en ",YEAR(M1309)),
IF(AND(OR(O1309="En proceso",O1309="facturando"),AND(J1309="-",M1309="")),"Por revisar",
IF(M1309="",IF(J1309="NUEVAS",CONCATENATE("Estado: ",O1309,", ",J1309),
IF(L1309=Meses!$A$3,"Por revisar",
IF(H1309="","Sin registro","En programación Frcst."))),"En programación")))),
"Error")</f>
        <v>En programación Frcst.</v>
      </c>
      <c r="Q1309" s="9" t="str">
        <f t="shared" si="60"/>
        <v/>
      </c>
      <c r="R1309" s="25">
        <f>IF(P1309="En programación Frcst.",VLOOKUP(L1309,Meses!$A$1:$H$14,3+HLOOKUP(Cronograma!J1309,Meses!$D$1:$G$2,2,FALSE),FALSE),
IF(P1309="En programación",M1309,""))</f>
        <v>45302</v>
      </c>
      <c r="S1309" s="25" t="str">
        <f t="shared" si="62"/>
        <v>2024/1</v>
      </c>
      <c r="T1309" s="21">
        <f>IFERROR(
(VLOOKUP(MONTH(R1309),Meses!$B$3:$C$14,2,FALSE)-DAY(R1309))/VLOOKUP(MONTH(R1309),Meses!$B$3:$C$14,2,FALSE)*U1309,
"")</f>
        <v>4093.5483870967741</v>
      </c>
      <c r="U1309" s="22">
        <f t="shared" si="61"/>
        <v>6345</v>
      </c>
    </row>
    <row r="1310" spans="1:21" ht="31.8" hidden="1" thickBot="1" x14ac:dyDescent="0.6">
      <c r="A1310" s="10" t="s">
        <v>1618</v>
      </c>
      <c r="B1310" s="10" t="s">
        <v>1620</v>
      </c>
      <c r="C1310" s="12">
        <v>45309</v>
      </c>
      <c r="D1310" s="10" t="s">
        <v>14</v>
      </c>
      <c r="E1310" s="10" t="s">
        <v>14</v>
      </c>
      <c r="F1310" s="10">
        <v>3110</v>
      </c>
      <c r="G1310" s="10" t="s">
        <v>15</v>
      </c>
      <c r="H1310" s="10" t="s">
        <v>17</v>
      </c>
      <c r="I1310" s="10" t="s">
        <v>18</v>
      </c>
      <c r="J1310" s="10" t="s">
        <v>143</v>
      </c>
      <c r="K1310" s="10" t="s">
        <v>538</v>
      </c>
      <c r="L1310" s="10" t="s">
        <v>279</v>
      </c>
      <c r="M1310" s="12"/>
      <c r="N1310" s="10" t="s">
        <v>15</v>
      </c>
      <c r="O1310" s="10" t="s">
        <v>2054</v>
      </c>
      <c r="P1310" s="25" t="str">
        <f>IFERROR(
IF(OR(O1310="anulado",O1310="stand by"),CONCATENATE(O1310,": ",H1310),
IF(OR(YEAR(M1310)=2022,YEAR(M1310)=2023),CONCATENATE("Se activó en ",YEAR(M1310)),
IF(AND(OR(O1310="En proceso",O1310="facturando"),AND(J1310="-",M1310="")),"Por revisar",
IF(M1310="",IF(J1310="NUEVAS",CONCATENATE("Estado: ",O1310,", ",J1310),
IF(L1310=Meses!$A$3,"Por revisar",
IF(H1310="","Sin registro","En programación Frcst."))),"En programación")))),
"Error")</f>
        <v>En programación Frcst.</v>
      </c>
      <c r="Q1310" s="9" t="str">
        <f t="shared" si="60"/>
        <v/>
      </c>
      <c r="R1310" s="25">
        <f>IF(P1310="En programación Frcst.",VLOOKUP(L1310,Meses!$A$1:$H$14,3+HLOOKUP(Cronograma!J1310,Meses!$D$1:$G$2,2,FALSE),FALSE),
IF(P1310="En programación",M1310,""))</f>
        <v>45302</v>
      </c>
      <c r="S1310" s="25" t="str">
        <f t="shared" si="62"/>
        <v>2024/1</v>
      </c>
      <c r="T1310" s="21">
        <f>IFERROR(
(VLOOKUP(MONTH(R1310),Meses!$B$3:$C$14,2,FALSE)-DAY(R1310))/VLOOKUP(MONTH(R1310),Meses!$B$3:$C$14,2,FALSE)*U1310,
"")</f>
        <v>2006.4516129032259</v>
      </c>
      <c r="U1310" s="22">
        <f t="shared" si="61"/>
        <v>3110</v>
      </c>
    </row>
    <row r="1311" spans="1:21" ht="63" hidden="1" thickBot="1" x14ac:dyDescent="0.6">
      <c r="A1311" s="10" t="s">
        <v>1272</v>
      </c>
      <c r="B1311" s="10" t="s">
        <v>1621</v>
      </c>
      <c r="C1311" s="12">
        <v>45295</v>
      </c>
      <c r="D1311" s="10" t="s">
        <v>171</v>
      </c>
      <c r="E1311" s="10" t="s">
        <v>291</v>
      </c>
      <c r="F1311" s="10">
        <v>5000</v>
      </c>
      <c r="G1311" s="10" t="s">
        <v>15</v>
      </c>
      <c r="H1311" s="10" t="s">
        <v>17</v>
      </c>
      <c r="I1311" s="10" t="s">
        <v>66</v>
      </c>
      <c r="J1311" s="10" t="s">
        <v>292</v>
      </c>
      <c r="K1311" s="10" t="s">
        <v>945</v>
      </c>
      <c r="L1311" s="10" t="s">
        <v>145</v>
      </c>
      <c r="M1311" s="12"/>
      <c r="N1311" s="10" t="s">
        <v>15</v>
      </c>
      <c r="O1311" s="10" t="s">
        <v>2054</v>
      </c>
      <c r="P1311" s="25" t="str">
        <f>IFERROR(
IF(OR(O1311="anulado",O1311="stand by"),CONCATENATE(O1311,": ",H1311),
IF(OR(YEAR(M1311)=2022,YEAR(M1311)=2023),CONCATENATE("Se activó en ",YEAR(M1311)),
IF(AND(OR(O1311="En proceso",O1311="facturando"),AND(J1311="-",M1311="")),"Por revisar",
IF(M1311="",IF(J1311="NUEVAS",CONCATENATE("Estado: ",O1311,", ",J1311),
IF(L1311=Meses!$A$3,"Por revisar",
IF(H1311="","Sin registro","En programación Frcst."))),"En programación")))),
"Error")</f>
        <v>Por revisar</v>
      </c>
      <c r="Q1311" s="9" t="str">
        <f t="shared" si="60"/>
        <v>programación de act. SI, estado: Facturando, Comercializador: VATIA, Etapa: Instalado y Activado</v>
      </c>
      <c r="R1311" s="25" t="str">
        <f>IF(P1311="En programación Frcst.",VLOOKUP(L1311,Meses!$A$1:$H$14,3+HLOOKUP(Cronograma!J1311,Meses!$D$1:$G$2,2,FALSE),FALSE),
IF(P1311="En programación",M1311,""))</f>
        <v/>
      </c>
      <c r="S1311" s="25" t="str">
        <f t="shared" si="62"/>
        <v/>
      </c>
      <c r="T1311" s="21" t="str">
        <f>IFERROR(
(VLOOKUP(MONTH(R1311),Meses!$B$3:$C$14,2,FALSE)-DAY(R1311))/VLOOKUP(MONTH(R1311),Meses!$B$3:$C$14,2,FALSE)*U1311,
"")</f>
        <v/>
      </c>
      <c r="U1311" s="22">
        <f t="shared" si="61"/>
        <v>5000</v>
      </c>
    </row>
    <row r="1312" spans="1:21" ht="31.8" hidden="1" thickBot="1" x14ac:dyDescent="0.6">
      <c r="A1312" s="10" t="s">
        <v>1622</v>
      </c>
      <c r="B1312" s="10" t="s">
        <v>1623</v>
      </c>
      <c r="C1312" s="12"/>
      <c r="D1312" s="10" t="s">
        <v>14</v>
      </c>
      <c r="E1312" s="10" t="s">
        <v>14</v>
      </c>
      <c r="F1312" s="10">
        <v>50000</v>
      </c>
      <c r="G1312" s="10" t="s">
        <v>15</v>
      </c>
      <c r="H1312" s="10" t="s">
        <v>2918</v>
      </c>
      <c r="I1312" s="10" t="s">
        <v>18</v>
      </c>
      <c r="J1312" s="10" t="s">
        <v>277</v>
      </c>
      <c r="K1312" s="10" t="s">
        <v>3327</v>
      </c>
      <c r="L1312" s="10" t="s">
        <v>2292</v>
      </c>
      <c r="M1312" s="12">
        <v>45400</v>
      </c>
      <c r="N1312" s="10" t="s">
        <v>15</v>
      </c>
      <c r="O1312" s="10" t="s">
        <v>2057</v>
      </c>
      <c r="P1312" s="25" t="str">
        <f>IFERROR(
IF(OR(O1312="anulado",O1312="stand by"),CONCATENATE(O1312,": ",H1312),
IF(OR(YEAR(M1312)=2022,YEAR(M1312)=2023),CONCATENATE("Se activó en ",YEAR(M1312)),
IF(AND(OR(O1312="En proceso",O1312="facturando"),AND(J1312="-",M1312="")),"Por revisar",
IF(M1312="",IF(J1312="NUEVAS",CONCATENATE("Estado: ",O1312,", ",J1312),
IF(L1312=Meses!$A$3,"Por revisar",
IF(H1312="","Sin registro","En programación Frcst."))),"En programación")))),
"Error")</f>
        <v>En programación</v>
      </c>
      <c r="Q1312" s="9" t="str">
        <f t="shared" si="60"/>
        <v/>
      </c>
      <c r="R1312" s="25">
        <f>IF(P1312="En programación Frcst.",VLOOKUP(L1312,Meses!$A$1:$H$14,3+HLOOKUP(Cronograma!J1312,Meses!$D$1:$G$2,2,FALSE),FALSE),
IF(P1312="En programación",M1312,""))</f>
        <v>45400</v>
      </c>
      <c r="S1312" s="25" t="str">
        <f t="shared" si="62"/>
        <v>2024/4</v>
      </c>
      <c r="T1312" s="21">
        <f>IFERROR(
(VLOOKUP(MONTH(R1312),Meses!$B$3:$C$14,2,FALSE)-DAY(R1312))/VLOOKUP(MONTH(R1312),Meses!$B$3:$C$14,2,FALSE)*U1312,
"")</f>
        <v>20000</v>
      </c>
      <c r="U1312" s="22">
        <f t="shared" si="61"/>
        <v>50000</v>
      </c>
    </row>
    <row r="1313" spans="1:21" ht="31.8" hidden="1" thickBot="1" x14ac:dyDescent="0.6">
      <c r="A1313" s="10" t="s">
        <v>1622</v>
      </c>
      <c r="B1313" s="10" t="s">
        <v>1624</v>
      </c>
      <c r="C1313" s="12"/>
      <c r="D1313" s="10" t="s">
        <v>14</v>
      </c>
      <c r="E1313" s="10" t="s">
        <v>14</v>
      </c>
      <c r="F1313" s="10">
        <v>3000</v>
      </c>
      <c r="G1313" s="10" t="s">
        <v>15</v>
      </c>
      <c r="H1313" s="10" t="s">
        <v>2918</v>
      </c>
      <c r="I1313" s="10" t="s">
        <v>18</v>
      </c>
      <c r="J1313" s="10" t="s">
        <v>277</v>
      </c>
      <c r="K1313" s="10" t="s">
        <v>3327</v>
      </c>
      <c r="L1313" s="10" t="s">
        <v>2292</v>
      </c>
      <c r="M1313" s="12">
        <v>45400</v>
      </c>
      <c r="N1313" s="10" t="s">
        <v>15</v>
      </c>
      <c r="O1313" s="10" t="s">
        <v>2057</v>
      </c>
      <c r="P1313" s="25" t="str">
        <f>IFERROR(
IF(OR(O1313="anulado",O1313="stand by"),CONCATENATE(O1313,": ",H1313),
IF(OR(YEAR(M1313)=2022,YEAR(M1313)=2023),CONCATENATE("Se activó en ",YEAR(M1313)),
IF(AND(OR(O1313="En proceso",O1313="facturando"),AND(J1313="-",M1313="")),"Por revisar",
IF(M1313="",IF(J1313="NUEVAS",CONCATENATE("Estado: ",O1313,", ",J1313),
IF(L1313=Meses!$A$3,"Por revisar",
IF(H1313="","Sin registro","En programación Frcst."))),"En programación")))),
"Error")</f>
        <v>En programación</v>
      </c>
      <c r="Q1313" s="9" t="str">
        <f t="shared" si="60"/>
        <v/>
      </c>
      <c r="R1313" s="25">
        <f>IF(P1313="En programación Frcst.",VLOOKUP(L1313,Meses!$A$1:$H$14,3+HLOOKUP(Cronograma!J1313,Meses!$D$1:$G$2,2,FALSE),FALSE),
IF(P1313="En programación",M1313,""))</f>
        <v>45400</v>
      </c>
      <c r="S1313" s="25" t="str">
        <f t="shared" si="62"/>
        <v>2024/4</v>
      </c>
      <c r="T1313" s="21">
        <f>IFERROR(
(VLOOKUP(MONTH(R1313),Meses!$B$3:$C$14,2,FALSE)-DAY(R1313))/VLOOKUP(MONTH(R1313),Meses!$B$3:$C$14,2,FALSE)*U1313,
"")</f>
        <v>1200</v>
      </c>
      <c r="U1313" s="22">
        <f t="shared" si="61"/>
        <v>3000</v>
      </c>
    </row>
    <row r="1314" spans="1:21" ht="47.4" hidden="1" thickBot="1" x14ac:dyDescent="0.6">
      <c r="A1314" s="10" t="s">
        <v>1625</v>
      </c>
      <c r="B1314" s="10" t="s">
        <v>1626</v>
      </c>
      <c r="C1314" s="12"/>
      <c r="D1314" s="10" t="s">
        <v>74</v>
      </c>
      <c r="E1314" s="10" t="s">
        <v>74</v>
      </c>
      <c r="F1314" s="10">
        <v>3312</v>
      </c>
      <c r="G1314" s="10" t="s">
        <v>15</v>
      </c>
      <c r="H1314" s="10" t="s">
        <v>2917</v>
      </c>
      <c r="I1314" s="10" t="s">
        <v>43</v>
      </c>
      <c r="J1314" s="10" t="s">
        <v>143</v>
      </c>
      <c r="K1314" s="10" t="s">
        <v>2895</v>
      </c>
      <c r="L1314" s="10" t="s">
        <v>2292</v>
      </c>
      <c r="M1314" s="12">
        <v>45400</v>
      </c>
      <c r="N1314" s="10" t="s">
        <v>15</v>
      </c>
      <c r="O1314" s="10" t="s">
        <v>2057</v>
      </c>
      <c r="P1314" s="25" t="str">
        <f>IFERROR(
IF(OR(O1314="anulado",O1314="stand by"),CONCATENATE(O1314,": ",H1314),
IF(OR(YEAR(M1314)=2022,YEAR(M1314)=2023),CONCATENATE("Se activó en ",YEAR(M1314)),
IF(AND(OR(O1314="En proceso",O1314="facturando"),AND(J1314="-",M1314="")),"Por revisar",
IF(M1314="",IF(J1314="NUEVAS",CONCATENATE("Estado: ",O1314,", ",J1314),
IF(L1314=Meses!$A$3,"Por revisar",
IF(H1314="","Sin registro","En programación Frcst."))),"En programación")))),
"Error")</f>
        <v>En programación</v>
      </c>
      <c r="Q1314" s="9" t="str">
        <f t="shared" si="60"/>
        <v/>
      </c>
      <c r="R1314" s="25">
        <f>IF(P1314="En programación Frcst.",VLOOKUP(L1314,Meses!$A$1:$H$14,3+HLOOKUP(Cronograma!J1314,Meses!$D$1:$G$2,2,FALSE),FALSE),
IF(P1314="En programación",M1314,""))</f>
        <v>45400</v>
      </c>
      <c r="S1314" s="25" t="str">
        <f t="shared" si="62"/>
        <v>2024/4</v>
      </c>
      <c r="T1314" s="21">
        <f>IFERROR(
(VLOOKUP(MONTH(R1314),Meses!$B$3:$C$14,2,FALSE)-DAY(R1314))/VLOOKUP(MONTH(R1314),Meses!$B$3:$C$14,2,FALSE)*U1314,
"")</f>
        <v>1324.8000000000002</v>
      </c>
      <c r="U1314" s="22">
        <f t="shared" si="61"/>
        <v>3312</v>
      </c>
    </row>
    <row r="1315" spans="1:21" ht="47.4" hidden="1" thickBot="1" x14ac:dyDescent="0.6">
      <c r="A1315" s="10" t="s">
        <v>1625</v>
      </c>
      <c r="B1315" s="10" t="s">
        <v>1627</v>
      </c>
      <c r="C1315" s="12"/>
      <c r="D1315" s="10" t="s">
        <v>74</v>
      </c>
      <c r="E1315" s="10" t="s">
        <v>74</v>
      </c>
      <c r="F1315" s="10">
        <v>7577</v>
      </c>
      <c r="G1315" s="10" t="s">
        <v>15</v>
      </c>
      <c r="H1315" s="10" t="s">
        <v>2917</v>
      </c>
      <c r="I1315" s="10" t="s">
        <v>43</v>
      </c>
      <c r="J1315" s="10" t="s">
        <v>143</v>
      </c>
      <c r="K1315" s="10" t="s">
        <v>2895</v>
      </c>
      <c r="L1315" s="10" t="s">
        <v>2292</v>
      </c>
      <c r="M1315" s="12">
        <v>45400</v>
      </c>
      <c r="N1315" s="10" t="s">
        <v>15</v>
      </c>
      <c r="O1315" s="10" t="s">
        <v>2057</v>
      </c>
      <c r="P1315" s="25" t="str">
        <f>IFERROR(
IF(OR(O1315="anulado",O1315="stand by"),CONCATENATE(O1315,": ",H1315),
IF(OR(YEAR(M1315)=2022,YEAR(M1315)=2023),CONCATENATE("Se activó en ",YEAR(M1315)),
IF(AND(OR(O1315="En proceso",O1315="facturando"),AND(J1315="-",M1315="")),"Por revisar",
IF(M1315="",IF(J1315="NUEVAS",CONCATENATE("Estado: ",O1315,", ",J1315),
IF(L1315=Meses!$A$3,"Por revisar",
IF(H1315="","Sin registro","En programación Frcst."))),"En programación")))),
"Error")</f>
        <v>En programación</v>
      </c>
      <c r="Q1315" s="9" t="str">
        <f t="shared" si="60"/>
        <v/>
      </c>
      <c r="R1315" s="25">
        <f>IF(P1315="En programación Frcst.",VLOOKUP(L1315,Meses!$A$1:$H$14,3+HLOOKUP(Cronograma!J1315,Meses!$D$1:$G$2,2,FALSE),FALSE),
IF(P1315="En programación",M1315,""))</f>
        <v>45400</v>
      </c>
      <c r="S1315" s="25" t="str">
        <f t="shared" si="62"/>
        <v>2024/4</v>
      </c>
      <c r="T1315" s="21">
        <f>IFERROR(
(VLOOKUP(MONTH(R1315),Meses!$B$3:$C$14,2,FALSE)-DAY(R1315))/VLOOKUP(MONTH(R1315),Meses!$B$3:$C$14,2,FALSE)*U1315,
"")</f>
        <v>3030.8</v>
      </c>
      <c r="U1315" s="22">
        <f t="shared" si="61"/>
        <v>7577</v>
      </c>
    </row>
    <row r="1316" spans="1:21" ht="47.4" hidden="1" thickBot="1" x14ac:dyDescent="0.6">
      <c r="A1316" s="10" t="s">
        <v>1625</v>
      </c>
      <c r="B1316" s="10" t="s">
        <v>1628</v>
      </c>
      <c r="C1316" s="12"/>
      <c r="D1316" s="10" t="s">
        <v>74</v>
      </c>
      <c r="E1316" s="10" t="s">
        <v>74</v>
      </c>
      <c r="F1316" s="10">
        <v>2637</v>
      </c>
      <c r="G1316" s="10" t="s">
        <v>15</v>
      </c>
      <c r="H1316" s="10" t="s">
        <v>2917</v>
      </c>
      <c r="I1316" s="10" t="s">
        <v>43</v>
      </c>
      <c r="J1316" s="10" t="s">
        <v>143</v>
      </c>
      <c r="K1316" s="10" t="s">
        <v>2895</v>
      </c>
      <c r="L1316" s="10" t="s">
        <v>2292</v>
      </c>
      <c r="M1316" s="12">
        <v>45400</v>
      </c>
      <c r="N1316" s="10" t="s">
        <v>15</v>
      </c>
      <c r="O1316" s="10" t="s">
        <v>2057</v>
      </c>
      <c r="P1316" s="25" t="str">
        <f>IFERROR(
IF(OR(O1316="anulado",O1316="stand by"),CONCATENATE(O1316,": ",H1316),
IF(OR(YEAR(M1316)=2022,YEAR(M1316)=2023),CONCATENATE("Se activó en ",YEAR(M1316)),
IF(AND(OR(O1316="En proceso",O1316="facturando"),AND(J1316="-",M1316="")),"Por revisar",
IF(M1316="",IF(J1316="NUEVAS",CONCATENATE("Estado: ",O1316,", ",J1316),
IF(L1316=Meses!$A$3,"Por revisar",
IF(H1316="","Sin registro","En programación Frcst."))),"En programación")))),
"Error")</f>
        <v>En programación</v>
      </c>
      <c r="Q1316" s="9" t="str">
        <f t="shared" si="60"/>
        <v/>
      </c>
      <c r="R1316" s="25">
        <f>IF(P1316="En programación Frcst.",VLOOKUP(L1316,Meses!$A$1:$H$14,3+HLOOKUP(Cronograma!J1316,Meses!$D$1:$G$2,2,FALSE),FALSE),
IF(P1316="En programación",M1316,""))</f>
        <v>45400</v>
      </c>
      <c r="S1316" s="25" t="str">
        <f t="shared" si="62"/>
        <v>2024/4</v>
      </c>
      <c r="T1316" s="21">
        <f>IFERROR(
(VLOOKUP(MONTH(R1316),Meses!$B$3:$C$14,2,FALSE)-DAY(R1316))/VLOOKUP(MONTH(R1316),Meses!$B$3:$C$14,2,FALSE)*U1316,
"")</f>
        <v>1054.8</v>
      </c>
      <c r="U1316" s="22">
        <f t="shared" si="61"/>
        <v>2637</v>
      </c>
    </row>
    <row r="1317" spans="1:21" ht="47.4" hidden="1" thickBot="1" x14ac:dyDescent="0.6">
      <c r="A1317" s="10" t="s">
        <v>1625</v>
      </c>
      <c r="B1317" s="10" t="s">
        <v>1629</v>
      </c>
      <c r="C1317" s="12"/>
      <c r="D1317" s="10" t="s">
        <v>74</v>
      </c>
      <c r="E1317" s="10" t="s">
        <v>74</v>
      </c>
      <c r="F1317" s="10">
        <v>4364</v>
      </c>
      <c r="G1317" s="10" t="s">
        <v>15</v>
      </c>
      <c r="H1317" s="10" t="s">
        <v>2917</v>
      </c>
      <c r="I1317" s="10" t="s">
        <v>43</v>
      </c>
      <c r="J1317" s="10" t="s">
        <v>143</v>
      </c>
      <c r="K1317" s="10" t="s">
        <v>2895</v>
      </c>
      <c r="L1317" s="10" t="s">
        <v>2292</v>
      </c>
      <c r="M1317" s="12">
        <v>45400</v>
      </c>
      <c r="N1317" s="10" t="s">
        <v>15</v>
      </c>
      <c r="O1317" s="10" t="s">
        <v>2057</v>
      </c>
      <c r="P1317" s="25" t="str">
        <f>IFERROR(
IF(OR(O1317="anulado",O1317="stand by"),CONCATENATE(O1317,": ",H1317),
IF(OR(YEAR(M1317)=2022,YEAR(M1317)=2023),CONCATENATE("Se activó en ",YEAR(M1317)),
IF(AND(OR(O1317="En proceso",O1317="facturando"),AND(J1317="-",M1317="")),"Por revisar",
IF(M1317="",IF(J1317="NUEVAS",CONCATENATE("Estado: ",O1317,", ",J1317),
IF(L1317=Meses!$A$3,"Por revisar",
IF(H1317="","Sin registro","En programación Frcst."))),"En programación")))),
"Error")</f>
        <v>En programación</v>
      </c>
      <c r="Q1317" s="9" t="str">
        <f t="shared" si="60"/>
        <v/>
      </c>
      <c r="R1317" s="25">
        <f>IF(P1317="En programación Frcst.",VLOOKUP(L1317,Meses!$A$1:$H$14,3+HLOOKUP(Cronograma!J1317,Meses!$D$1:$G$2,2,FALSE),FALSE),
IF(P1317="En programación",M1317,""))</f>
        <v>45400</v>
      </c>
      <c r="S1317" s="25" t="str">
        <f t="shared" si="62"/>
        <v>2024/4</v>
      </c>
      <c r="T1317" s="21">
        <f>IFERROR(
(VLOOKUP(MONTH(R1317),Meses!$B$3:$C$14,2,FALSE)-DAY(R1317))/VLOOKUP(MONTH(R1317),Meses!$B$3:$C$14,2,FALSE)*U1317,
"")</f>
        <v>1745.6000000000001</v>
      </c>
      <c r="U1317" s="22">
        <f t="shared" si="61"/>
        <v>4364</v>
      </c>
    </row>
    <row r="1318" spans="1:21" ht="47.4" hidden="1" thickBot="1" x14ac:dyDescent="0.6">
      <c r="A1318" s="10" t="s">
        <v>1625</v>
      </c>
      <c r="B1318" s="10" t="s">
        <v>1630</v>
      </c>
      <c r="C1318" s="12"/>
      <c r="D1318" s="10" t="s">
        <v>74</v>
      </c>
      <c r="E1318" s="10" t="s">
        <v>74</v>
      </c>
      <c r="F1318" s="10">
        <v>10512</v>
      </c>
      <c r="G1318" s="10" t="s">
        <v>15</v>
      </c>
      <c r="H1318" s="10" t="s">
        <v>2917</v>
      </c>
      <c r="I1318" s="10" t="s">
        <v>43</v>
      </c>
      <c r="J1318" s="10" t="s">
        <v>143</v>
      </c>
      <c r="K1318" s="10" t="s">
        <v>2895</v>
      </c>
      <c r="L1318" s="10" t="s">
        <v>2292</v>
      </c>
      <c r="M1318" s="12">
        <v>45400</v>
      </c>
      <c r="N1318" s="10" t="s">
        <v>15</v>
      </c>
      <c r="O1318" s="10" t="s">
        <v>2057</v>
      </c>
      <c r="P1318" s="25" t="str">
        <f>IFERROR(
IF(OR(O1318="anulado",O1318="stand by"),CONCATENATE(O1318,": ",H1318),
IF(OR(YEAR(M1318)=2022,YEAR(M1318)=2023),CONCATENATE("Se activó en ",YEAR(M1318)),
IF(AND(OR(O1318="En proceso",O1318="facturando"),AND(J1318="-",M1318="")),"Por revisar",
IF(M1318="",IF(J1318="NUEVAS",CONCATENATE("Estado: ",O1318,", ",J1318),
IF(L1318=Meses!$A$3,"Por revisar",
IF(H1318="","Sin registro","En programación Frcst."))),"En programación")))),
"Error")</f>
        <v>En programación</v>
      </c>
      <c r="Q1318" s="9" t="str">
        <f t="shared" si="60"/>
        <v/>
      </c>
      <c r="R1318" s="25">
        <f>IF(P1318="En programación Frcst.",VLOOKUP(L1318,Meses!$A$1:$H$14,3+HLOOKUP(Cronograma!J1318,Meses!$D$1:$G$2,2,FALSE),FALSE),
IF(P1318="En programación",M1318,""))</f>
        <v>45400</v>
      </c>
      <c r="S1318" s="25" t="str">
        <f t="shared" si="62"/>
        <v>2024/4</v>
      </c>
      <c r="T1318" s="21">
        <f>IFERROR(
(VLOOKUP(MONTH(R1318),Meses!$B$3:$C$14,2,FALSE)-DAY(R1318))/VLOOKUP(MONTH(R1318),Meses!$B$3:$C$14,2,FALSE)*U1318,
"")</f>
        <v>4204.8</v>
      </c>
      <c r="U1318" s="22">
        <f t="shared" si="61"/>
        <v>10512</v>
      </c>
    </row>
    <row r="1319" spans="1:21" ht="47.4" hidden="1" thickBot="1" x14ac:dyDescent="0.6">
      <c r="A1319" s="10" t="s">
        <v>1631</v>
      </c>
      <c r="B1319" s="10" t="s">
        <v>1632</v>
      </c>
      <c r="C1319" s="12">
        <v>45309</v>
      </c>
      <c r="D1319" s="10" t="s">
        <v>14</v>
      </c>
      <c r="E1319" s="10" t="s">
        <v>14</v>
      </c>
      <c r="F1319" s="10">
        <v>10290</v>
      </c>
      <c r="G1319" s="10" t="s">
        <v>15</v>
      </c>
      <c r="H1319" s="10" t="s">
        <v>2406</v>
      </c>
      <c r="I1319" s="10" t="s">
        <v>18</v>
      </c>
      <c r="J1319" s="10" t="s">
        <v>277</v>
      </c>
      <c r="K1319" s="10" t="s">
        <v>278</v>
      </c>
      <c r="L1319" s="10" t="s">
        <v>279</v>
      </c>
      <c r="M1319" s="12"/>
      <c r="N1319" s="10" t="s">
        <v>15</v>
      </c>
      <c r="O1319" s="10" t="s">
        <v>2054</v>
      </c>
      <c r="P1319" s="25" t="str">
        <f>IFERROR(
IF(OR(O1319="anulado",O1319="stand by"),CONCATENATE(O1319,": ",H1319),
IF(OR(YEAR(M1319)=2022,YEAR(M1319)=2023),CONCATENATE("Se activó en ",YEAR(M1319)),
IF(AND(OR(O1319="En proceso",O1319="facturando"),AND(J1319="-",M1319="")),"Por revisar",
IF(M1319="",IF(J1319="NUEVAS",CONCATENATE("Estado: ",O1319,", ",J1319),
IF(L1319=Meses!$A$3,"Por revisar",
IF(H1319="","Sin registro","En programación Frcst."))),"En programación")))),
"Error")</f>
        <v>En programación Frcst.</v>
      </c>
      <c r="Q1319" s="9" t="str">
        <f t="shared" si="60"/>
        <v/>
      </c>
      <c r="R1319" s="25">
        <f>IF(P1319="En programación Frcst.",VLOOKUP(L1319,Meses!$A$1:$H$14,3+HLOOKUP(Cronograma!J1319,Meses!$D$1:$G$2,2,FALSE),FALSE),
IF(P1319="En programación",M1319,""))</f>
        <v>45309</v>
      </c>
      <c r="S1319" s="25" t="str">
        <f t="shared" si="62"/>
        <v>2024/1</v>
      </c>
      <c r="T1319" s="21">
        <f>IFERROR(
(VLOOKUP(MONTH(R1319),Meses!$B$3:$C$14,2,FALSE)-DAY(R1319))/VLOOKUP(MONTH(R1319),Meses!$B$3:$C$14,2,FALSE)*U1319,
"")</f>
        <v>4315.1612903225805</v>
      </c>
      <c r="U1319" s="22">
        <f t="shared" si="61"/>
        <v>10290</v>
      </c>
    </row>
    <row r="1320" spans="1:21" ht="63" hidden="1" thickBot="1" x14ac:dyDescent="0.6">
      <c r="A1320" s="10" t="s">
        <v>1633</v>
      </c>
      <c r="B1320" s="10" t="s">
        <v>1634</v>
      </c>
      <c r="C1320" s="12"/>
      <c r="D1320" s="10" t="s">
        <v>289</v>
      </c>
      <c r="E1320" s="10" t="s">
        <v>289</v>
      </c>
      <c r="F1320" s="10">
        <v>2656</v>
      </c>
      <c r="G1320" s="10" t="s">
        <v>15</v>
      </c>
      <c r="H1320" s="10" t="s">
        <v>2916</v>
      </c>
      <c r="I1320" s="10" t="s">
        <v>18</v>
      </c>
      <c r="J1320" s="10" t="s">
        <v>143</v>
      </c>
      <c r="K1320" s="10" t="s">
        <v>1697</v>
      </c>
      <c r="L1320" s="10" t="s">
        <v>1120</v>
      </c>
      <c r="M1320" s="12">
        <v>45365</v>
      </c>
      <c r="N1320" s="10" t="s">
        <v>15</v>
      </c>
      <c r="O1320" s="10" t="s">
        <v>2057</v>
      </c>
      <c r="P1320" s="25" t="str">
        <f>IFERROR(
IF(OR(O1320="anulado",O1320="stand by"),CONCATENATE(O1320,": ",H1320),
IF(OR(YEAR(M1320)=2022,YEAR(M1320)=2023),CONCATENATE("Se activó en ",YEAR(M1320)),
IF(AND(OR(O1320="En proceso",O1320="facturando"),AND(J1320="-",M1320="")),"Por revisar",
IF(M1320="",IF(J1320="NUEVAS",CONCATENATE("Estado: ",O1320,", ",J1320),
IF(L1320=Meses!$A$3,"Por revisar",
IF(H1320="","Sin registro","En programación Frcst."))),"En programación")))),
"Error")</f>
        <v>En programación</v>
      </c>
      <c r="Q1320" s="9" t="str">
        <f t="shared" si="60"/>
        <v/>
      </c>
      <c r="R1320" s="25">
        <f>IF(P1320="En programación Frcst.",VLOOKUP(L1320,Meses!$A$1:$H$14,3+HLOOKUP(Cronograma!J1320,Meses!$D$1:$G$2,2,FALSE),FALSE),
IF(P1320="En programación",M1320,""))</f>
        <v>45365</v>
      </c>
      <c r="S1320" s="25" t="str">
        <f t="shared" si="62"/>
        <v>2024/3</v>
      </c>
      <c r="T1320" s="21">
        <f>IFERROR(
(VLOOKUP(MONTH(R1320),Meses!$B$3:$C$14,2,FALSE)-DAY(R1320))/VLOOKUP(MONTH(R1320),Meses!$B$3:$C$14,2,FALSE)*U1320,
"")</f>
        <v>1456.516129032258</v>
      </c>
      <c r="U1320" s="22">
        <f t="shared" si="61"/>
        <v>2656</v>
      </c>
    </row>
    <row r="1321" spans="1:21" ht="31.8" hidden="1" thickBot="1" x14ac:dyDescent="0.6">
      <c r="A1321" s="10" t="s">
        <v>1635</v>
      </c>
      <c r="B1321" s="10" t="s">
        <v>1636</v>
      </c>
      <c r="C1321" s="12"/>
      <c r="D1321" s="10" t="s">
        <v>74</v>
      </c>
      <c r="E1321" s="10" t="s">
        <v>74</v>
      </c>
      <c r="F1321" s="10">
        <v>8593</v>
      </c>
      <c r="G1321" s="10" t="s">
        <v>15</v>
      </c>
      <c r="H1321" s="10" t="s">
        <v>2917</v>
      </c>
      <c r="I1321" s="10" t="s">
        <v>43</v>
      </c>
      <c r="J1321" s="10" t="s">
        <v>143</v>
      </c>
      <c r="K1321" s="10" t="s">
        <v>2895</v>
      </c>
      <c r="L1321" s="10" t="s">
        <v>2292</v>
      </c>
      <c r="M1321" s="12">
        <v>45400</v>
      </c>
      <c r="N1321" s="10" t="s">
        <v>15</v>
      </c>
      <c r="O1321" s="10" t="s">
        <v>2057</v>
      </c>
      <c r="P1321" s="25" t="str">
        <f>IFERROR(
IF(OR(O1321="anulado",O1321="stand by"),CONCATENATE(O1321,": ",H1321),
IF(OR(YEAR(M1321)=2022,YEAR(M1321)=2023),CONCATENATE("Se activó en ",YEAR(M1321)),
IF(AND(OR(O1321="En proceso",O1321="facturando"),AND(J1321="-",M1321="")),"Por revisar",
IF(M1321="",IF(J1321="NUEVAS",CONCATENATE("Estado: ",O1321,", ",J1321),
IF(L1321=Meses!$A$3,"Por revisar",
IF(H1321="","Sin registro","En programación Frcst."))),"En programación")))),
"Error")</f>
        <v>En programación</v>
      </c>
      <c r="Q1321" s="9" t="str">
        <f t="shared" si="60"/>
        <v/>
      </c>
      <c r="R1321" s="25">
        <f>IF(P1321="En programación Frcst.",VLOOKUP(L1321,Meses!$A$1:$H$14,3+HLOOKUP(Cronograma!J1321,Meses!$D$1:$G$2,2,FALSE),FALSE),
IF(P1321="En programación",M1321,""))</f>
        <v>45400</v>
      </c>
      <c r="S1321" s="25" t="str">
        <f t="shared" si="62"/>
        <v>2024/4</v>
      </c>
      <c r="T1321" s="21">
        <f>IFERROR(
(VLOOKUP(MONTH(R1321),Meses!$B$3:$C$14,2,FALSE)-DAY(R1321))/VLOOKUP(MONTH(R1321),Meses!$B$3:$C$14,2,FALSE)*U1321,
"")</f>
        <v>3437.2000000000003</v>
      </c>
      <c r="U1321" s="22">
        <f t="shared" si="61"/>
        <v>8593</v>
      </c>
    </row>
    <row r="1322" spans="1:21" ht="31.8" hidden="1" thickBot="1" x14ac:dyDescent="0.6">
      <c r="A1322" s="10" t="s">
        <v>1637</v>
      </c>
      <c r="B1322" s="10" t="s">
        <v>1638</v>
      </c>
      <c r="C1322" s="12"/>
      <c r="D1322" s="10" t="s">
        <v>959</v>
      </c>
      <c r="E1322" s="10" t="s">
        <v>959</v>
      </c>
      <c r="F1322" s="10">
        <v>5262</v>
      </c>
      <c r="G1322" s="10" t="s">
        <v>15</v>
      </c>
      <c r="H1322" s="10" t="s">
        <v>2917</v>
      </c>
      <c r="I1322" s="10" t="s">
        <v>43</v>
      </c>
      <c r="J1322" s="10" t="s">
        <v>143</v>
      </c>
      <c r="K1322" s="10" t="s">
        <v>2895</v>
      </c>
      <c r="L1322" s="10" t="s">
        <v>2292</v>
      </c>
      <c r="M1322" s="12">
        <v>45400</v>
      </c>
      <c r="N1322" s="10" t="s">
        <v>15</v>
      </c>
      <c r="O1322" s="10" t="s">
        <v>2057</v>
      </c>
      <c r="P1322" s="25" t="str">
        <f>IFERROR(
IF(OR(O1322="anulado",O1322="stand by"),CONCATENATE(O1322,": ",H1322),
IF(OR(YEAR(M1322)=2022,YEAR(M1322)=2023),CONCATENATE("Se activó en ",YEAR(M1322)),
IF(AND(OR(O1322="En proceso",O1322="facturando"),AND(J1322="-",M1322="")),"Por revisar",
IF(M1322="",IF(J1322="NUEVAS",CONCATENATE("Estado: ",O1322,", ",J1322),
IF(L1322=Meses!$A$3,"Por revisar",
IF(H1322="","Sin registro","En programación Frcst."))),"En programación")))),
"Error")</f>
        <v>En programación</v>
      </c>
      <c r="Q1322" s="9" t="str">
        <f t="shared" si="60"/>
        <v/>
      </c>
      <c r="R1322" s="25">
        <f>IF(P1322="En programación Frcst.",VLOOKUP(L1322,Meses!$A$1:$H$14,3+HLOOKUP(Cronograma!J1322,Meses!$D$1:$G$2,2,FALSE),FALSE),
IF(P1322="En programación",M1322,""))</f>
        <v>45400</v>
      </c>
      <c r="S1322" s="25" t="str">
        <f t="shared" si="62"/>
        <v>2024/4</v>
      </c>
      <c r="T1322" s="21">
        <f>IFERROR(
(VLOOKUP(MONTH(R1322),Meses!$B$3:$C$14,2,FALSE)-DAY(R1322))/VLOOKUP(MONTH(R1322),Meses!$B$3:$C$14,2,FALSE)*U1322,
"")</f>
        <v>2104.8000000000002</v>
      </c>
      <c r="U1322" s="22">
        <f t="shared" si="61"/>
        <v>5262</v>
      </c>
    </row>
    <row r="1323" spans="1:21" ht="31.8" hidden="1" thickBot="1" x14ac:dyDescent="0.6">
      <c r="A1323" s="10" t="s">
        <v>1637</v>
      </c>
      <c r="B1323" s="10" t="s">
        <v>1639</v>
      </c>
      <c r="C1323" s="12"/>
      <c r="D1323" s="10" t="s">
        <v>959</v>
      </c>
      <c r="E1323" s="10" t="s">
        <v>959</v>
      </c>
      <c r="F1323" s="10">
        <v>797</v>
      </c>
      <c r="G1323" s="10" t="s">
        <v>15</v>
      </c>
      <c r="H1323" s="10" t="s">
        <v>2917</v>
      </c>
      <c r="I1323" s="10" t="s">
        <v>43</v>
      </c>
      <c r="J1323" s="10" t="s">
        <v>143</v>
      </c>
      <c r="K1323" s="10" t="s">
        <v>2895</v>
      </c>
      <c r="L1323" s="10" t="s">
        <v>2292</v>
      </c>
      <c r="M1323" s="12">
        <v>45400</v>
      </c>
      <c r="N1323" s="10" t="s">
        <v>15</v>
      </c>
      <c r="O1323" s="10" t="s">
        <v>2057</v>
      </c>
      <c r="P1323" s="25" t="str">
        <f>IFERROR(
IF(OR(O1323="anulado",O1323="stand by"),CONCATENATE(O1323,": ",H1323),
IF(OR(YEAR(M1323)=2022,YEAR(M1323)=2023),CONCATENATE("Se activó en ",YEAR(M1323)),
IF(AND(OR(O1323="En proceso",O1323="facturando"),AND(J1323="-",M1323="")),"Por revisar",
IF(M1323="",IF(J1323="NUEVAS",CONCATENATE("Estado: ",O1323,", ",J1323),
IF(L1323=Meses!$A$3,"Por revisar",
IF(H1323="","Sin registro","En programación Frcst."))),"En programación")))),
"Error")</f>
        <v>En programación</v>
      </c>
      <c r="Q1323" s="9" t="str">
        <f t="shared" si="60"/>
        <v/>
      </c>
      <c r="R1323" s="25">
        <f>IF(P1323="En programación Frcst.",VLOOKUP(L1323,Meses!$A$1:$H$14,3+HLOOKUP(Cronograma!J1323,Meses!$D$1:$G$2,2,FALSE),FALSE),
IF(P1323="En programación",M1323,""))</f>
        <v>45400</v>
      </c>
      <c r="S1323" s="25" t="str">
        <f t="shared" si="62"/>
        <v>2024/4</v>
      </c>
      <c r="T1323" s="21">
        <f>IFERROR(
(VLOOKUP(MONTH(R1323),Meses!$B$3:$C$14,2,FALSE)-DAY(R1323))/VLOOKUP(MONTH(R1323),Meses!$B$3:$C$14,2,FALSE)*U1323,
"")</f>
        <v>318.8</v>
      </c>
      <c r="U1323" s="22">
        <f t="shared" si="61"/>
        <v>797</v>
      </c>
    </row>
    <row r="1324" spans="1:21" ht="78.599999999999994" hidden="1" thickBot="1" x14ac:dyDescent="0.6">
      <c r="A1324" s="10" t="s">
        <v>1640</v>
      </c>
      <c r="B1324" s="10" t="s">
        <v>1641</v>
      </c>
      <c r="C1324" s="12"/>
      <c r="D1324" s="10" t="s">
        <v>1207</v>
      </c>
      <c r="E1324" s="10" t="s">
        <v>14</v>
      </c>
      <c r="F1324" s="10">
        <v>31944</v>
      </c>
      <c r="G1324" s="10" t="s">
        <v>15</v>
      </c>
      <c r="H1324" s="10" t="s">
        <v>140</v>
      </c>
      <c r="I1324" s="10" t="s">
        <v>66</v>
      </c>
      <c r="J1324" s="10" t="s">
        <v>292</v>
      </c>
      <c r="K1324" s="10" t="s">
        <v>1697</v>
      </c>
      <c r="L1324" s="10" t="s">
        <v>1120</v>
      </c>
      <c r="M1324" s="12">
        <v>45379</v>
      </c>
      <c r="N1324" s="10" t="s">
        <v>15</v>
      </c>
      <c r="O1324" s="10" t="s">
        <v>2056</v>
      </c>
      <c r="P1324" s="25" t="str">
        <f>IFERROR(
IF(OR(O1324="anulado",O1324="stand by"),CONCATENATE(O1324,": ",H1324),
IF(OR(YEAR(M1324)=2022,YEAR(M1324)=2023),CONCATENATE("Se activó en ",YEAR(M1324)),
IF(AND(OR(O1324="En proceso",O1324="facturando"),AND(J1324="-",M1324="")),"Por revisar",
IF(M1324="",IF(J1324="NUEVAS",CONCATENATE("Estado: ",O1324,", ",J1324),
IF(L1324=Meses!$A$3,"Por revisar",
IF(H1324="","Sin registro","En programación Frcst."))),"En programación")))),
"Error")</f>
        <v>anulado: Desistido</v>
      </c>
      <c r="Q1324" s="9" t="str">
        <f t="shared" si="60"/>
        <v/>
      </c>
      <c r="R1324" s="25" t="str">
        <f>IF(P1324="En programación Frcst.",VLOOKUP(L1324,Meses!$A$1:$H$14,3+HLOOKUP(Cronograma!J1324,Meses!$D$1:$G$2,2,FALSE),FALSE),
IF(P1324="En programación",M1324,""))</f>
        <v/>
      </c>
      <c r="S1324" s="25" t="str">
        <f t="shared" si="62"/>
        <v/>
      </c>
      <c r="T1324" s="21" t="str">
        <f>IFERROR(
(VLOOKUP(MONTH(R1324),Meses!$B$3:$C$14,2,FALSE)-DAY(R1324))/VLOOKUP(MONTH(R1324),Meses!$B$3:$C$14,2,FALSE)*U1324,
"")</f>
        <v/>
      </c>
      <c r="U1324" s="22">
        <f t="shared" si="61"/>
        <v>31944</v>
      </c>
    </row>
    <row r="1325" spans="1:21" ht="78.599999999999994" hidden="1" thickBot="1" x14ac:dyDescent="0.6">
      <c r="A1325" s="10" t="s">
        <v>1640</v>
      </c>
      <c r="B1325" s="10" t="s">
        <v>1642</v>
      </c>
      <c r="C1325" s="12"/>
      <c r="D1325" s="10" t="s">
        <v>1207</v>
      </c>
      <c r="E1325" s="10" t="s">
        <v>14</v>
      </c>
      <c r="F1325" s="10">
        <v>11401</v>
      </c>
      <c r="G1325" s="10" t="s">
        <v>15</v>
      </c>
      <c r="H1325" s="10" t="s">
        <v>140</v>
      </c>
      <c r="I1325" s="10" t="s">
        <v>66</v>
      </c>
      <c r="J1325" s="10" t="s">
        <v>292</v>
      </c>
      <c r="K1325" s="10" t="s">
        <v>1697</v>
      </c>
      <c r="L1325" s="10" t="s">
        <v>1120</v>
      </c>
      <c r="M1325" s="12">
        <v>45379</v>
      </c>
      <c r="N1325" s="10" t="s">
        <v>15</v>
      </c>
      <c r="O1325" s="10" t="s">
        <v>2056</v>
      </c>
      <c r="P1325" s="25" t="str">
        <f>IFERROR(
IF(OR(O1325="anulado",O1325="stand by"),CONCATENATE(O1325,": ",H1325),
IF(OR(YEAR(M1325)=2022,YEAR(M1325)=2023),CONCATENATE("Se activó en ",YEAR(M1325)),
IF(AND(OR(O1325="En proceso",O1325="facturando"),AND(J1325="-",M1325="")),"Por revisar",
IF(M1325="",IF(J1325="NUEVAS",CONCATENATE("Estado: ",O1325,", ",J1325),
IF(L1325=Meses!$A$3,"Por revisar",
IF(H1325="","Sin registro","En programación Frcst."))),"En programación")))),
"Error")</f>
        <v>anulado: Desistido</v>
      </c>
      <c r="Q1325" s="9" t="str">
        <f t="shared" si="60"/>
        <v/>
      </c>
      <c r="R1325" s="25" t="str">
        <f>IF(P1325="En programación Frcst.",VLOOKUP(L1325,Meses!$A$1:$H$14,3+HLOOKUP(Cronograma!J1325,Meses!$D$1:$G$2,2,FALSE),FALSE),
IF(P1325="En programación",M1325,""))</f>
        <v/>
      </c>
      <c r="S1325" s="25" t="str">
        <f t="shared" si="62"/>
        <v/>
      </c>
      <c r="T1325" s="21" t="str">
        <f>IFERROR(
(VLOOKUP(MONTH(R1325),Meses!$B$3:$C$14,2,FALSE)-DAY(R1325))/VLOOKUP(MONTH(R1325),Meses!$B$3:$C$14,2,FALSE)*U1325,
"")</f>
        <v/>
      </c>
      <c r="U1325" s="22">
        <f t="shared" si="61"/>
        <v>11401</v>
      </c>
    </row>
    <row r="1326" spans="1:21" ht="47.4" hidden="1" thickBot="1" x14ac:dyDescent="0.6">
      <c r="A1326" s="10" t="s">
        <v>1643</v>
      </c>
      <c r="B1326" s="10" t="s">
        <v>1644</v>
      </c>
      <c r="C1326" s="12"/>
      <c r="D1326" s="10" t="s">
        <v>74</v>
      </c>
      <c r="E1326" s="10" t="s">
        <v>74</v>
      </c>
      <c r="F1326" s="10">
        <v>4130</v>
      </c>
      <c r="G1326" s="10" t="s">
        <v>15</v>
      </c>
      <c r="H1326" s="10" t="s">
        <v>2917</v>
      </c>
      <c r="I1326" s="10" t="s">
        <v>43</v>
      </c>
      <c r="J1326" s="10" t="s">
        <v>143</v>
      </c>
      <c r="K1326" s="10" t="s">
        <v>2895</v>
      </c>
      <c r="L1326" s="10" t="s">
        <v>2292</v>
      </c>
      <c r="M1326" s="12">
        <v>45400</v>
      </c>
      <c r="N1326" s="10" t="s">
        <v>15</v>
      </c>
      <c r="O1326" s="10" t="s">
        <v>2057</v>
      </c>
      <c r="P1326" s="25" t="str">
        <f>IFERROR(
IF(OR(O1326="anulado",O1326="stand by"),CONCATENATE(O1326,": ",H1326),
IF(OR(YEAR(M1326)=2022,YEAR(M1326)=2023),CONCATENATE("Se activó en ",YEAR(M1326)),
IF(AND(OR(O1326="En proceso",O1326="facturando"),AND(J1326="-",M1326="")),"Por revisar",
IF(M1326="",IF(J1326="NUEVAS",CONCATENATE("Estado: ",O1326,", ",J1326),
IF(L1326=Meses!$A$3,"Por revisar",
IF(H1326="","Sin registro","En programación Frcst."))),"En programación")))),
"Error")</f>
        <v>En programación</v>
      </c>
      <c r="Q1326" s="9" t="str">
        <f t="shared" si="60"/>
        <v/>
      </c>
      <c r="R1326" s="25">
        <f>IF(P1326="En programación Frcst.",VLOOKUP(L1326,Meses!$A$1:$H$14,3+HLOOKUP(Cronograma!J1326,Meses!$D$1:$G$2,2,FALSE),FALSE),
IF(P1326="En programación",M1326,""))</f>
        <v>45400</v>
      </c>
      <c r="S1326" s="25" t="str">
        <f t="shared" si="62"/>
        <v>2024/4</v>
      </c>
      <c r="T1326" s="21">
        <f>IFERROR(
(VLOOKUP(MONTH(R1326),Meses!$B$3:$C$14,2,FALSE)-DAY(R1326))/VLOOKUP(MONTH(R1326),Meses!$B$3:$C$14,2,FALSE)*U1326,
"")</f>
        <v>1652</v>
      </c>
      <c r="U1326" s="22">
        <f t="shared" si="61"/>
        <v>4130</v>
      </c>
    </row>
    <row r="1327" spans="1:21" ht="31.8" hidden="1" thickBot="1" x14ac:dyDescent="0.6">
      <c r="A1327" s="10" t="s">
        <v>1645</v>
      </c>
      <c r="B1327" s="10" t="s">
        <v>1646</v>
      </c>
      <c r="C1327" s="12">
        <v>45302</v>
      </c>
      <c r="D1327" s="10" t="s">
        <v>14</v>
      </c>
      <c r="E1327" s="10" t="s">
        <v>14</v>
      </c>
      <c r="F1327" s="10">
        <v>968</v>
      </c>
      <c r="G1327" s="10" t="s">
        <v>15</v>
      </c>
      <c r="H1327" s="10" t="s">
        <v>17</v>
      </c>
      <c r="I1327" s="10" t="s">
        <v>18</v>
      </c>
      <c r="J1327" s="10" t="s">
        <v>282</v>
      </c>
      <c r="K1327" s="10" t="s">
        <v>283</v>
      </c>
      <c r="L1327" s="10" t="s">
        <v>279</v>
      </c>
      <c r="M1327" s="12"/>
      <c r="N1327" s="10" t="s">
        <v>15</v>
      </c>
      <c r="O1327" s="10" t="s">
        <v>2054</v>
      </c>
      <c r="P1327" s="25" t="str">
        <f>IFERROR(
IF(OR(O1327="anulado",O1327="stand by"),CONCATENATE(O1327,": ",H1327),
IF(OR(YEAR(M1327)=2022,YEAR(M1327)=2023),CONCATENATE("Se activó en ",YEAR(M1327)),
IF(AND(OR(O1327="En proceso",O1327="facturando"),AND(J1327="-",M1327="")),"Por revisar",
IF(M1327="",IF(J1327="NUEVAS",CONCATENATE("Estado: ",O1327,", ",J1327),
IF(L1327=Meses!$A$3,"Por revisar",
IF(H1327="","Sin registro","En programación Frcst."))),"En programación")))),
"Error")</f>
        <v>En programación Frcst.</v>
      </c>
      <c r="Q1327" s="9" t="str">
        <f t="shared" si="60"/>
        <v/>
      </c>
      <c r="R1327" s="25">
        <f>IF(P1327="En programación Frcst.",VLOOKUP(L1327,Meses!$A$1:$H$14,3+HLOOKUP(Cronograma!J1327,Meses!$D$1:$G$2,2,FALSE),FALSE),
IF(P1327="En programación",M1327,""))</f>
        <v>45295</v>
      </c>
      <c r="S1327" s="25" t="str">
        <f t="shared" si="62"/>
        <v>2024/1</v>
      </c>
      <c r="T1327" s="21">
        <f>IFERROR(
(VLOOKUP(MONTH(R1327),Meses!$B$3:$C$14,2,FALSE)-DAY(R1327))/VLOOKUP(MONTH(R1327),Meses!$B$3:$C$14,2,FALSE)*U1327,
"")</f>
        <v>843.09677419354841</v>
      </c>
      <c r="U1327" s="22">
        <f t="shared" si="61"/>
        <v>968</v>
      </c>
    </row>
    <row r="1328" spans="1:21" ht="31.8" hidden="1" thickBot="1" x14ac:dyDescent="0.6">
      <c r="A1328" s="10" t="s">
        <v>1645</v>
      </c>
      <c r="B1328" s="10" t="s">
        <v>1647</v>
      </c>
      <c r="C1328" s="12">
        <v>45309</v>
      </c>
      <c r="D1328" s="10" t="s">
        <v>14</v>
      </c>
      <c r="E1328" s="10" t="s">
        <v>14</v>
      </c>
      <c r="F1328" s="10">
        <v>61260</v>
      </c>
      <c r="G1328" s="10" t="s">
        <v>15</v>
      </c>
      <c r="H1328" s="10" t="s">
        <v>17</v>
      </c>
      <c r="I1328" s="10" t="s">
        <v>18</v>
      </c>
      <c r="J1328" s="10" t="s">
        <v>282</v>
      </c>
      <c r="K1328" s="10" t="s">
        <v>283</v>
      </c>
      <c r="L1328" s="10" t="s">
        <v>279</v>
      </c>
      <c r="M1328" s="12"/>
      <c r="N1328" s="10" t="s">
        <v>15</v>
      </c>
      <c r="O1328" s="10" t="s">
        <v>2054</v>
      </c>
      <c r="P1328" s="25" t="str">
        <f>IFERROR(
IF(OR(O1328="anulado",O1328="stand by"),CONCATENATE(O1328,": ",H1328),
IF(OR(YEAR(M1328)=2022,YEAR(M1328)=2023),CONCATENATE("Se activó en ",YEAR(M1328)),
IF(AND(OR(O1328="En proceso",O1328="facturando"),AND(J1328="-",M1328="")),"Por revisar",
IF(M1328="",IF(J1328="NUEVAS",CONCATENATE("Estado: ",O1328,", ",J1328),
IF(L1328=Meses!$A$3,"Por revisar",
IF(H1328="","Sin registro","En programación Frcst."))),"En programación")))),
"Error")</f>
        <v>En programación Frcst.</v>
      </c>
      <c r="Q1328" s="9" t="str">
        <f t="shared" si="60"/>
        <v/>
      </c>
      <c r="R1328" s="25">
        <f>IF(P1328="En programación Frcst.",VLOOKUP(L1328,Meses!$A$1:$H$14,3+HLOOKUP(Cronograma!J1328,Meses!$D$1:$G$2,2,FALSE),FALSE),
IF(P1328="En programación",M1328,""))</f>
        <v>45295</v>
      </c>
      <c r="S1328" s="25" t="str">
        <f t="shared" si="62"/>
        <v>2024/1</v>
      </c>
      <c r="T1328" s="21">
        <f>IFERROR(
(VLOOKUP(MONTH(R1328),Meses!$B$3:$C$14,2,FALSE)-DAY(R1328))/VLOOKUP(MONTH(R1328),Meses!$B$3:$C$14,2,FALSE)*U1328,
"")</f>
        <v>53355.483870967742</v>
      </c>
      <c r="U1328" s="22">
        <f t="shared" si="61"/>
        <v>61260</v>
      </c>
    </row>
    <row r="1329" spans="1:21" ht="31.8" hidden="1" thickBot="1" x14ac:dyDescent="0.6">
      <c r="A1329" s="10" t="s">
        <v>1645</v>
      </c>
      <c r="B1329" s="10" t="s">
        <v>1648</v>
      </c>
      <c r="C1329" s="12">
        <v>45309</v>
      </c>
      <c r="D1329" s="10" t="s">
        <v>14</v>
      </c>
      <c r="E1329" s="10" t="s">
        <v>14</v>
      </c>
      <c r="F1329" s="10">
        <v>46380</v>
      </c>
      <c r="G1329" s="10" t="s">
        <v>15</v>
      </c>
      <c r="H1329" s="10" t="s">
        <v>17</v>
      </c>
      <c r="I1329" s="10" t="s">
        <v>18</v>
      </c>
      <c r="J1329" s="10" t="s">
        <v>282</v>
      </c>
      <c r="K1329" s="10" t="s">
        <v>283</v>
      </c>
      <c r="L1329" s="10" t="s">
        <v>279</v>
      </c>
      <c r="M1329" s="12"/>
      <c r="N1329" s="10" t="s">
        <v>15</v>
      </c>
      <c r="O1329" s="10" t="s">
        <v>2054</v>
      </c>
      <c r="P1329" s="25" t="str">
        <f>IFERROR(
IF(OR(O1329="anulado",O1329="stand by"),CONCATENATE(O1329,": ",H1329),
IF(OR(YEAR(M1329)=2022,YEAR(M1329)=2023),CONCATENATE("Se activó en ",YEAR(M1329)),
IF(AND(OR(O1329="En proceso",O1329="facturando"),AND(J1329="-",M1329="")),"Por revisar",
IF(M1329="",IF(J1329="NUEVAS",CONCATENATE("Estado: ",O1329,", ",J1329),
IF(L1329=Meses!$A$3,"Por revisar",
IF(H1329="","Sin registro","En programación Frcst."))),"En programación")))),
"Error")</f>
        <v>En programación Frcst.</v>
      </c>
      <c r="Q1329" s="9" t="str">
        <f t="shared" si="60"/>
        <v/>
      </c>
      <c r="R1329" s="25">
        <f>IF(P1329="En programación Frcst.",VLOOKUP(L1329,Meses!$A$1:$H$14,3+HLOOKUP(Cronograma!J1329,Meses!$D$1:$G$2,2,FALSE),FALSE),
IF(P1329="En programación",M1329,""))</f>
        <v>45295</v>
      </c>
      <c r="S1329" s="25" t="str">
        <f t="shared" si="62"/>
        <v>2024/1</v>
      </c>
      <c r="T1329" s="21">
        <f>IFERROR(
(VLOOKUP(MONTH(R1329),Meses!$B$3:$C$14,2,FALSE)-DAY(R1329))/VLOOKUP(MONTH(R1329),Meses!$B$3:$C$14,2,FALSE)*U1329,
"")</f>
        <v>40395.483870967742</v>
      </c>
      <c r="U1329" s="22">
        <f t="shared" si="61"/>
        <v>46380</v>
      </c>
    </row>
    <row r="1330" spans="1:21" ht="94.2" hidden="1" thickBot="1" x14ac:dyDescent="0.6">
      <c r="A1330" s="10" t="s">
        <v>1649</v>
      </c>
      <c r="B1330" s="10" t="s">
        <v>1650</v>
      </c>
      <c r="C1330" s="12">
        <v>45309</v>
      </c>
      <c r="D1330" s="10" t="s">
        <v>14</v>
      </c>
      <c r="E1330" s="10" t="s">
        <v>14</v>
      </c>
      <c r="F1330" s="10">
        <v>3206</v>
      </c>
      <c r="G1330" s="10" t="s">
        <v>15</v>
      </c>
      <c r="H1330" s="10" t="s">
        <v>17</v>
      </c>
      <c r="I1330" s="10" t="s">
        <v>18</v>
      </c>
      <c r="J1330" s="10" t="s">
        <v>282</v>
      </c>
      <c r="K1330" s="10" t="s">
        <v>283</v>
      </c>
      <c r="L1330" s="10" t="s">
        <v>279</v>
      </c>
      <c r="M1330" s="12"/>
      <c r="N1330" s="10" t="s">
        <v>15</v>
      </c>
      <c r="O1330" s="10" t="s">
        <v>2054</v>
      </c>
      <c r="P1330" s="25" t="str">
        <f>IFERROR(
IF(OR(O1330="anulado",O1330="stand by"),CONCATENATE(O1330,": ",H1330),
IF(OR(YEAR(M1330)=2022,YEAR(M1330)=2023),CONCATENATE("Se activó en ",YEAR(M1330)),
IF(AND(OR(O1330="En proceso",O1330="facturando"),AND(J1330="-",M1330="")),"Por revisar",
IF(M1330="",IF(J1330="NUEVAS",CONCATENATE("Estado: ",O1330,", ",J1330),
IF(L1330=Meses!$A$3,"Por revisar",
IF(H1330="","Sin registro","En programación Frcst."))),"En programación")))),
"Error")</f>
        <v>En programación Frcst.</v>
      </c>
      <c r="Q1330" s="9" t="str">
        <f t="shared" si="60"/>
        <v/>
      </c>
      <c r="R1330" s="25">
        <f>IF(P1330="En programación Frcst.",VLOOKUP(L1330,Meses!$A$1:$H$14,3+HLOOKUP(Cronograma!J1330,Meses!$D$1:$G$2,2,FALSE),FALSE),
IF(P1330="En programación",M1330,""))</f>
        <v>45295</v>
      </c>
      <c r="S1330" s="25" t="str">
        <f t="shared" si="62"/>
        <v>2024/1</v>
      </c>
      <c r="T1330" s="21">
        <f>IFERROR(
(VLOOKUP(MONTH(R1330),Meses!$B$3:$C$14,2,FALSE)-DAY(R1330))/VLOOKUP(MONTH(R1330),Meses!$B$3:$C$14,2,FALSE)*U1330,
"")</f>
        <v>2792.3225806451615</v>
      </c>
      <c r="U1330" s="22">
        <f t="shared" si="61"/>
        <v>3206</v>
      </c>
    </row>
    <row r="1331" spans="1:21" ht="94.2" hidden="1" thickBot="1" x14ac:dyDescent="0.6">
      <c r="A1331" s="10" t="s">
        <v>1649</v>
      </c>
      <c r="B1331" s="10" t="s">
        <v>1651</v>
      </c>
      <c r="C1331" s="12">
        <v>45309</v>
      </c>
      <c r="D1331" s="10" t="s">
        <v>14</v>
      </c>
      <c r="E1331" s="10" t="s">
        <v>14</v>
      </c>
      <c r="F1331" s="10">
        <v>4972</v>
      </c>
      <c r="G1331" s="10" t="s">
        <v>15</v>
      </c>
      <c r="H1331" s="10" t="s">
        <v>17</v>
      </c>
      <c r="I1331" s="10" t="s">
        <v>18</v>
      </c>
      <c r="J1331" s="10" t="s">
        <v>282</v>
      </c>
      <c r="K1331" s="10" t="s">
        <v>283</v>
      </c>
      <c r="L1331" s="10" t="s">
        <v>279</v>
      </c>
      <c r="M1331" s="12"/>
      <c r="N1331" s="10" t="s">
        <v>15</v>
      </c>
      <c r="O1331" s="10" t="s">
        <v>2054</v>
      </c>
      <c r="P1331" s="25" t="str">
        <f>IFERROR(
IF(OR(O1331="anulado",O1331="stand by"),CONCATENATE(O1331,": ",H1331),
IF(OR(YEAR(M1331)=2022,YEAR(M1331)=2023),CONCATENATE("Se activó en ",YEAR(M1331)),
IF(AND(OR(O1331="En proceso",O1331="facturando"),AND(J1331="-",M1331="")),"Por revisar",
IF(M1331="",IF(J1331="NUEVAS",CONCATENATE("Estado: ",O1331,", ",J1331),
IF(L1331=Meses!$A$3,"Por revisar",
IF(H1331="","Sin registro","En programación Frcst."))),"En programación")))),
"Error")</f>
        <v>En programación Frcst.</v>
      </c>
      <c r="Q1331" s="9" t="str">
        <f t="shared" si="60"/>
        <v/>
      </c>
      <c r="R1331" s="25">
        <f>IF(P1331="En programación Frcst.",VLOOKUP(L1331,Meses!$A$1:$H$14,3+HLOOKUP(Cronograma!J1331,Meses!$D$1:$G$2,2,FALSE),FALSE),
IF(P1331="En programación",M1331,""))</f>
        <v>45295</v>
      </c>
      <c r="S1331" s="25" t="str">
        <f t="shared" si="62"/>
        <v>2024/1</v>
      </c>
      <c r="T1331" s="21">
        <f>IFERROR(
(VLOOKUP(MONTH(R1331),Meses!$B$3:$C$14,2,FALSE)-DAY(R1331))/VLOOKUP(MONTH(R1331),Meses!$B$3:$C$14,2,FALSE)*U1331,
"")</f>
        <v>4330.4516129032254</v>
      </c>
      <c r="U1331" s="22">
        <f t="shared" si="61"/>
        <v>4972</v>
      </c>
    </row>
    <row r="1332" spans="1:21" ht="47.4" hidden="1" thickBot="1" x14ac:dyDescent="0.6">
      <c r="A1332" s="10" t="s">
        <v>1652</v>
      </c>
      <c r="B1332" s="10" t="s">
        <v>1653</v>
      </c>
      <c r="C1332" s="12"/>
      <c r="D1332" s="10" t="s">
        <v>74</v>
      </c>
      <c r="E1332" s="10" t="s">
        <v>74</v>
      </c>
      <c r="F1332" s="10">
        <v>4639</v>
      </c>
      <c r="G1332" s="10" t="s">
        <v>15</v>
      </c>
      <c r="H1332" s="10" t="s">
        <v>2917</v>
      </c>
      <c r="I1332" s="10" t="s">
        <v>43</v>
      </c>
      <c r="J1332" s="10" t="s">
        <v>143</v>
      </c>
      <c r="K1332" s="10" t="s">
        <v>2895</v>
      </c>
      <c r="L1332" s="10" t="s">
        <v>2292</v>
      </c>
      <c r="M1332" s="12">
        <v>45400</v>
      </c>
      <c r="N1332" s="10" t="s">
        <v>15</v>
      </c>
      <c r="O1332" s="10" t="s">
        <v>2057</v>
      </c>
      <c r="P1332" s="25" t="str">
        <f>IFERROR(
IF(OR(O1332="anulado",O1332="stand by"),CONCATENATE(O1332,": ",H1332),
IF(OR(YEAR(M1332)=2022,YEAR(M1332)=2023),CONCATENATE("Se activó en ",YEAR(M1332)),
IF(AND(OR(O1332="En proceso",O1332="facturando"),AND(J1332="-",M1332="")),"Por revisar",
IF(M1332="",IF(J1332="NUEVAS",CONCATENATE("Estado: ",O1332,", ",J1332),
IF(L1332=Meses!$A$3,"Por revisar",
IF(H1332="","Sin registro","En programación Frcst."))),"En programación")))),
"Error")</f>
        <v>En programación</v>
      </c>
      <c r="Q1332" s="9" t="str">
        <f t="shared" si="60"/>
        <v/>
      </c>
      <c r="R1332" s="25">
        <f>IF(P1332="En programación Frcst.",VLOOKUP(L1332,Meses!$A$1:$H$14,3+HLOOKUP(Cronograma!J1332,Meses!$D$1:$G$2,2,FALSE),FALSE),
IF(P1332="En programación",M1332,""))</f>
        <v>45400</v>
      </c>
      <c r="S1332" s="25" t="str">
        <f t="shared" si="62"/>
        <v>2024/4</v>
      </c>
      <c r="T1332" s="21">
        <f>IFERROR(
(VLOOKUP(MONTH(R1332),Meses!$B$3:$C$14,2,FALSE)-DAY(R1332))/VLOOKUP(MONTH(R1332),Meses!$B$3:$C$14,2,FALSE)*U1332,
"")</f>
        <v>1855.6000000000001</v>
      </c>
      <c r="U1332" s="22">
        <f t="shared" si="61"/>
        <v>4639</v>
      </c>
    </row>
    <row r="1333" spans="1:21" ht="94.2" hidden="1" thickBot="1" x14ac:dyDescent="0.6">
      <c r="A1333" s="10" t="s">
        <v>1655</v>
      </c>
      <c r="B1333" s="10" t="s">
        <v>1656</v>
      </c>
      <c r="C1333" s="12"/>
      <c r="D1333" s="10" t="s">
        <v>74</v>
      </c>
      <c r="E1333" s="10" t="s">
        <v>74</v>
      </c>
      <c r="F1333" s="10">
        <v>2474</v>
      </c>
      <c r="G1333" s="10" t="s">
        <v>15</v>
      </c>
      <c r="H1333" s="10" t="s">
        <v>140</v>
      </c>
      <c r="I1333" s="10" t="s">
        <v>43</v>
      </c>
      <c r="J1333" s="10" t="s">
        <v>19</v>
      </c>
      <c r="K1333" s="10" t="s">
        <v>19</v>
      </c>
      <c r="L1333" s="10" t="s">
        <v>19</v>
      </c>
      <c r="M1333" s="12"/>
      <c r="N1333" s="10" t="s">
        <v>20</v>
      </c>
      <c r="O1333" s="10" t="s">
        <v>2056</v>
      </c>
      <c r="P1333" s="25" t="str">
        <f>IFERROR(
IF(OR(O1333="anulado",O1333="stand by"),CONCATENATE(O1333,": ",H1333),
IF(OR(YEAR(M1333)=2022,YEAR(M1333)=2023),CONCATENATE("Se activó en ",YEAR(M1333)),
IF(AND(OR(O1333="En proceso",O1333="facturando"),AND(J1333="-",M1333="")),"Por revisar",
IF(M1333="",IF(J1333="NUEVAS",CONCATENATE("Estado: ",O1333,", ",J1333),
IF(L1333=Meses!$A$3,"Por revisar",
IF(H1333="","Sin registro","En programación Frcst."))),"En programación")))),
"Error")</f>
        <v>anulado: Desistido</v>
      </c>
      <c r="Q1333" s="9" t="str">
        <f t="shared" si="60"/>
        <v/>
      </c>
      <c r="R1333" s="25" t="str">
        <f>IF(P1333="En programación Frcst.",VLOOKUP(L1333,Meses!$A$1:$H$14,3+HLOOKUP(Cronograma!J1333,Meses!$D$1:$G$2,2,FALSE),FALSE),
IF(P1333="En programación",M1333,""))</f>
        <v/>
      </c>
      <c r="S1333" s="25" t="str">
        <f t="shared" si="62"/>
        <v/>
      </c>
      <c r="T1333" s="21" t="str">
        <f>IFERROR(
(VLOOKUP(MONTH(R1333),Meses!$B$3:$C$14,2,FALSE)-DAY(R1333))/VLOOKUP(MONTH(R1333),Meses!$B$3:$C$14,2,FALSE)*U1333,
"")</f>
        <v/>
      </c>
      <c r="U1333" s="22">
        <f t="shared" si="61"/>
        <v>2474</v>
      </c>
    </row>
    <row r="1334" spans="1:21" ht="94.2" hidden="1" thickBot="1" x14ac:dyDescent="0.6">
      <c r="A1334" s="10" t="s">
        <v>1655</v>
      </c>
      <c r="B1334" s="10" t="s">
        <v>1657</v>
      </c>
      <c r="C1334" s="12"/>
      <c r="D1334" s="10" t="s">
        <v>74</v>
      </c>
      <c r="E1334" s="10" t="s">
        <v>74</v>
      </c>
      <c r="F1334" s="10">
        <v>5045</v>
      </c>
      <c r="G1334" s="10" t="s">
        <v>15</v>
      </c>
      <c r="H1334" s="10" t="s">
        <v>140</v>
      </c>
      <c r="I1334" s="10" t="s">
        <v>43</v>
      </c>
      <c r="J1334" s="10" t="s">
        <v>143</v>
      </c>
      <c r="K1334" s="10" t="s">
        <v>2895</v>
      </c>
      <c r="L1334" s="10" t="s">
        <v>2292</v>
      </c>
      <c r="M1334" s="12">
        <v>45400</v>
      </c>
      <c r="N1334" s="10" t="s">
        <v>15</v>
      </c>
      <c r="O1334" s="10" t="s">
        <v>2056</v>
      </c>
      <c r="P1334" s="25" t="str">
        <f>IFERROR(
IF(OR(O1334="anulado",O1334="stand by"),CONCATENATE(O1334,": ",H1334),
IF(OR(YEAR(M1334)=2022,YEAR(M1334)=2023),CONCATENATE("Se activó en ",YEAR(M1334)),
IF(AND(OR(O1334="En proceso",O1334="facturando"),AND(J1334="-",M1334="")),"Por revisar",
IF(M1334="",IF(J1334="NUEVAS",CONCATENATE("Estado: ",O1334,", ",J1334),
IF(L1334=Meses!$A$3,"Por revisar",
IF(H1334="","Sin registro","En programación Frcst."))),"En programación")))),
"Error")</f>
        <v>anulado: Desistido</v>
      </c>
      <c r="Q1334" s="9" t="str">
        <f t="shared" si="60"/>
        <v/>
      </c>
      <c r="R1334" s="25" t="str">
        <f>IF(P1334="En programación Frcst.",VLOOKUP(L1334,Meses!$A$1:$H$14,3+HLOOKUP(Cronograma!J1334,Meses!$D$1:$G$2,2,FALSE),FALSE),
IF(P1334="En programación",M1334,""))</f>
        <v/>
      </c>
      <c r="S1334" s="25" t="str">
        <f t="shared" si="62"/>
        <v/>
      </c>
      <c r="T1334" s="21" t="str">
        <f>IFERROR(
(VLOOKUP(MONTH(R1334),Meses!$B$3:$C$14,2,FALSE)-DAY(R1334))/VLOOKUP(MONTH(R1334),Meses!$B$3:$C$14,2,FALSE)*U1334,
"")</f>
        <v/>
      </c>
      <c r="U1334" s="22">
        <f t="shared" si="61"/>
        <v>5045</v>
      </c>
    </row>
    <row r="1335" spans="1:21" ht="94.2" hidden="1" thickBot="1" x14ac:dyDescent="0.6">
      <c r="A1335" s="10" t="s">
        <v>1655</v>
      </c>
      <c r="B1335" s="10" t="s">
        <v>1658</v>
      </c>
      <c r="C1335" s="12"/>
      <c r="D1335" s="10" t="s">
        <v>74</v>
      </c>
      <c r="E1335" s="10" t="s">
        <v>74</v>
      </c>
      <c r="F1335" s="10">
        <v>4380</v>
      </c>
      <c r="G1335" s="10" t="s">
        <v>15</v>
      </c>
      <c r="H1335" s="10" t="s">
        <v>140</v>
      </c>
      <c r="I1335" s="10" t="s">
        <v>43</v>
      </c>
      <c r="J1335" s="10" t="s">
        <v>143</v>
      </c>
      <c r="K1335" s="10" t="s">
        <v>2895</v>
      </c>
      <c r="L1335" s="10" t="s">
        <v>2292</v>
      </c>
      <c r="M1335" s="12">
        <v>45400</v>
      </c>
      <c r="N1335" s="10" t="s">
        <v>15</v>
      </c>
      <c r="O1335" s="10" t="s">
        <v>2056</v>
      </c>
      <c r="P1335" s="25" t="str">
        <f>IFERROR(
IF(OR(O1335="anulado",O1335="stand by"),CONCATENATE(O1335,": ",H1335),
IF(OR(YEAR(M1335)=2022,YEAR(M1335)=2023),CONCATENATE("Se activó en ",YEAR(M1335)),
IF(AND(OR(O1335="En proceso",O1335="facturando"),AND(J1335="-",M1335="")),"Por revisar",
IF(M1335="",IF(J1335="NUEVAS",CONCATENATE("Estado: ",O1335,", ",J1335),
IF(L1335=Meses!$A$3,"Por revisar",
IF(H1335="","Sin registro","En programación Frcst."))),"En programación")))),
"Error")</f>
        <v>anulado: Desistido</v>
      </c>
      <c r="Q1335" s="9" t="str">
        <f t="shared" si="60"/>
        <v/>
      </c>
      <c r="R1335" s="25" t="str">
        <f>IF(P1335="En programación Frcst.",VLOOKUP(L1335,Meses!$A$1:$H$14,3+HLOOKUP(Cronograma!J1335,Meses!$D$1:$G$2,2,FALSE),FALSE),
IF(P1335="En programación",M1335,""))</f>
        <v/>
      </c>
      <c r="S1335" s="25" t="str">
        <f t="shared" si="62"/>
        <v/>
      </c>
      <c r="T1335" s="21" t="str">
        <f>IFERROR(
(VLOOKUP(MONTH(R1335),Meses!$B$3:$C$14,2,FALSE)-DAY(R1335))/VLOOKUP(MONTH(R1335),Meses!$B$3:$C$14,2,FALSE)*U1335,
"")</f>
        <v/>
      </c>
      <c r="U1335" s="22">
        <f t="shared" si="61"/>
        <v>4380</v>
      </c>
    </row>
    <row r="1336" spans="1:21" ht="31.8" hidden="1" thickBot="1" x14ac:dyDescent="0.6">
      <c r="A1336" s="10" t="s">
        <v>1659</v>
      </c>
      <c r="B1336" s="10" t="s">
        <v>1660</v>
      </c>
      <c r="C1336" s="12"/>
      <c r="D1336" s="10" t="s">
        <v>14</v>
      </c>
      <c r="E1336" s="10" t="s">
        <v>14</v>
      </c>
      <c r="F1336" s="10">
        <v>844</v>
      </c>
      <c r="G1336" s="10" t="s">
        <v>15</v>
      </c>
      <c r="H1336" s="10" t="s">
        <v>2917</v>
      </c>
      <c r="I1336" s="10" t="s">
        <v>18</v>
      </c>
      <c r="J1336" s="10" t="s">
        <v>277</v>
      </c>
      <c r="K1336" s="10" t="s">
        <v>3327</v>
      </c>
      <c r="L1336" s="10" t="s">
        <v>2292</v>
      </c>
      <c r="M1336" s="12">
        <v>45400</v>
      </c>
      <c r="N1336" s="10" t="s">
        <v>15</v>
      </c>
      <c r="O1336" s="10" t="s">
        <v>2057</v>
      </c>
      <c r="P1336" s="25" t="str">
        <f>IFERROR(
IF(OR(O1336="anulado",O1336="stand by"),CONCATENATE(O1336,": ",H1336),
IF(OR(YEAR(M1336)=2022,YEAR(M1336)=2023),CONCATENATE("Se activó en ",YEAR(M1336)),
IF(AND(OR(O1336="En proceso",O1336="facturando"),AND(J1336="-",M1336="")),"Por revisar",
IF(M1336="",IF(J1336="NUEVAS",CONCATENATE("Estado: ",O1336,", ",J1336),
IF(L1336=Meses!$A$3,"Por revisar",
IF(H1336="","Sin registro","En programación Frcst."))),"En programación")))),
"Error")</f>
        <v>En programación</v>
      </c>
      <c r="Q1336" s="9" t="str">
        <f t="shared" si="60"/>
        <v/>
      </c>
      <c r="R1336" s="25">
        <f>IF(P1336="En programación Frcst.",VLOOKUP(L1336,Meses!$A$1:$H$14,3+HLOOKUP(Cronograma!J1336,Meses!$D$1:$G$2,2,FALSE),FALSE),
IF(P1336="En programación",M1336,""))</f>
        <v>45400</v>
      </c>
      <c r="S1336" s="25" t="str">
        <f t="shared" si="62"/>
        <v>2024/4</v>
      </c>
      <c r="T1336" s="21">
        <f>IFERROR(
(VLOOKUP(MONTH(R1336),Meses!$B$3:$C$14,2,FALSE)-DAY(R1336))/VLOOKUP(MONTH(R1336),Meses!$B$3:$C$14,2,FALSE)*U1336,
"")</f>
        <v>337.6</v>
      </c>
      <c r="U1336" s="22">
        <f t="shared" si="61"/>
        <v>844</v>
      </c>
    </row>
    <row r="1337" spans="1:21" ht="31.8" hidden="1" thickBot="1" x14ac:dyDescent="0.6">
      <c r="A1337" s="10" t="s">
        <v>1659</v>
      </c>
      <c r="B1337" s="10" t="s">
        <v>1661</v>
      </c>
      <c r="C1337" s="12">
        <v>45309</v>
      </c>
      <c r="D1337" s="10" t="s">
        <v>14</v>
      </c>
      <c r="E1337" s="10" t="s">
        <v>14</v>
      </c>
      <c r="F1337" s="10">
        <v>3284</v>
      </c>
      <c r="G1337" s="10" t="s">
        <v>15</v>
      </c>
      <c r="H1337" s="10" t="s">
        <v>17</v>
      </c>
      <c r="I1337" s="10" t="s">
        <v>18</v>
      </c>
      <c r="J1337" s="10" t="s">
        <v>282</v>
      </c>
      <c r="K1337" s="10" t="s">
        <v>283</v>
      </c>
      <c r="L1337" s="10" t="s">
        <v>279</v>
      </c>
      <c r="M1337" s="12"/>
      <c r="N1337" s="10" t="s">
        <v>15</v>
      </c>
      <c r="O1337" s="10" t="s">
        <v>2054</v>
      </c>
      <c r="P1337" s="25" t="str">
        <f>IFERROR(
IF(OR(O1337="anulado",O1337="stand by"),CONCATENATE(O1337,": ",H1337),
IF(OR(YEAR(M1337)=2022,YEAR(M1337)=2023),CONCATENATE("Se activó en ",YEAR(M1337)),
IF(AND(OR(O1337="En proceso",O1337="facturando"),AND(J1337="-",M1337="")),"Por revisar",
IF(M1337="",IF(J1337="NUEVAS",CONCATENATE("Estado: ",O1337,", ",J1337),
IF(L1337=Meses!$A$3,"Por revisar",
IF(H1337="","Sin registro","En programación Frcst."))),"En programación")))),
"Error")</f>
        <v>En programación Frcst.</v>
      </c>
      <c r="Q1337" s="9" t="str">
        <f t="shared" si="60"/>
        <v/>
      </c>
      <c r="R1337" s="25">
        <f>IF(P1337="En programación Frcst.",VLOOKUP(L1337,Meses!$A$1:$H$14,3+HLOOKUP(Cronograma!J1337,Meses!$D$1:$G$2,2,FALSE),FALSE),
IF(P1337="En programación",M1337,""))</f>
        <v>45295</v>
      </c>
      <c r="S1337" s="25" t="str">
        <f t="shared" si="62"/>
        <v>2024/1</v>
      </c>
      <c r="T1337" s="21">
        <f>IFERROR(
(VLOOKUP(MONTH(R1337),Meses!$B$3:$C$14,2,FALSE)-DAY(R1337))/VLOOKUP(MONTH(R1337),Meses!$B$3:$C$14,2,FALSE)*U1337,
"")</f>
        <v>2860.2580645161293</v>
      </c>
      <c r="U1337" s="22">
        <f t="shared" si="61"/>
        <v>3284</v>
      </c>
    </row>
    <row r="1338" spans="1:21" ht="31.8" hidden="1" thickBot="1" x14ac:dyDescent="0.6">
      <c r="A1338" s="10" t="s">
        <v>1659</v>
      </c>
      <c r="B1338" s="10" t="s">
        <v>1662</v>
      </c>
      <c r="C1338" s="12">
        <v>45309</v>
      </c>
      <c r="D1338" s="10" t="s">
        <v>14</v>
      </c>
      <c r="E1338" s="10" t="s">
        <v>14</v>
      </c>
      <c r="F1338" s="10">
        <v>3427</v>
      </c>
      <c r="G1338" s="10" t="s">
        <v>15</v>
      </c>
      <c r="H1338" s="10" t="s">
        <v>17</v>
      </c>
      <c r="I1338" s="10" t="s">
        <v>18</v>
      </c>
      <c r="J1338" s="10" t="s">
        <v>282</v>
      </c>
      <c r="K1338" s="10" t="s">
        <v>283</v>
      </c>
      <c r="L1338" s="10" t="s">
        <v>279</v>
      </c>
      <c r="M1338" s="12"/>
      <c r="N1338" s="10" t="s">
        <v>15</v>
      </c>
      <c r="O1338" s="10" t="s">
        <v>2054</v>
      </c>
      <c r="P1338" s="25" t="str">
        <f>IFERROR(
IF(OR(O1338="anulado",O1338="stand by"),CONCATENATE(O1338,": ",H1338),
IF(OR(YEAR(M1338)=2022,YEAR(M1338)=2023),CONCATENATE("Se activó en ",YEAR(M1338)),
IF(AND(OR(O1338="En proceso",O1338="facturando"),AND(J1338="-",M1338="")),"Por revisar",
IF(M1338="",IF(J1338="NUEVAS",CONCATENATE("Estado: ",O1338,", ",J1338),
IF(L1338=Meses!$A$3,"Por revisar",
IF(H1338="","Sin registro","En programación Frcst."))),"En programación")))),
"Error")</f>
        <v>En programación Frcst.</v>
      </c>
      <c r="Q1338" s="9" t="str">
        <f t="shared" si="60"/>
        <v/>
      </c>
      <c r="R1338" s="25">
        <f>IF(P1338="En programación Frcst.",VLOOKUP(L1338,Meses!$A$1:$H$14,3+HLOOKUP(Cronograma!J1338,Meses!$D$1:$G$2,2,FALSE),FALSE),
IF(P1338="En programación",M1338,""))</f>
        <v>45295</v>
      </c>
      <c r="S1338" s="25" t="str">
        <f t="shared" si="62"/>
        <v>2024/1</v>
      </c>
      <c r="T1338" s="21">
        <f>IFERROR(
(VLOOKUP(MONTH(R1338),Meses!$B$3:$C$14,2,FALSE)-DAY(R1338))/VLOOKUP(MONTH(R1338),Meses!$B$3:$C$14,2,FALSE)*U1338,
"")</f>
        <v>2984.8064516129034</v>
      </c>
      <c r="U1338" s="22">
        <f t="shared" si="61"/>
        <v>3427</v>
      </c>
    </row>
    <row r="1339" spans="1:21" ht="47.4" hidden="1" thickBot="1" x14ac:dyDescent="0.6">
      <c r="A1339" s="10" t="s">
        <v>1663</v>
      </c>
      <c r="B1339" s="10" t="s">
        <v>166</v>
      </c>
      <c r="C1339" s="12">
        <v>45302</v>
      </c>
      <c r="D1339" s="10" t="s">
        <v>14</v>
      </c>
      <c r="E1339" s="10" t="s">
        <v>14</v>
      </c>
      <c r="F1339" s="10">
        <v>6592</v>
      </c>
      <c r="G1339" s="10" t="s">
        <v>15</v>
      </c>
      <c r="H1339" s="10" t="s">
        <v>17</v>
      </c>
      <c r="I1339" s="10" t="s">
        <v>18</v>
      </c>
      <c r="J1339" s="10" t="s">
        <v>277</v>
      </c>
      <c r="K1339" s="10" t="s">
        <v>278</v>
      </c>
      <c r="L1339" s="10" t="s">
        <v>279</v>
      </c>
      <c r="M1339" s="12"/>
      <c r="N1339" s="10" t="s">
        <v>15</v>
      </c>
      <c r="O1339" s="10" t="s">
        <v>2054</v>
      </c>
      <c r="P1339" s="25" t="str">
        <f>IFERROR(
IF(OR(O1339="anulado",O1339="stand by"),CONCATENATE(O1339,": ",H1339),
IF(OR(YEAR(M1339)=2022,YEAR(M1339)=2023),CONCATENATE("Se activó en ",YEAR(M1339)),
IF(AND(OR(O1339="En proceso",O1339="facturando"),AND(J1339="-",M1339="")),"Por revisar",
IF(M1339="",IF(J1339="NUEVAS",CONCATENATE("Estado: ",O1339,", ",J1339),
IF(L1339=Meses!$A$3,"Por revisar",
IF(H1339="","Sin registro","En programación Frcst."))),"En programación")))),
"Error")</f>
        <v>En programación Frcst.</v>
      </c>
      <c r="Q1339" s="9" t="str">
        <f t="shared" si="60"/>
        <v/>
      </c>
      <c r="R1339" s="25">
        <f>IF(P1339="En programación Frcst.",VLOOKUP(L1339,Meses!$A$1:$H$14,3+HLOOKUP(Cronograma!J1339,Meses!$D$1:$G$2,2,FALSE),FALSE),
IF(P1339="En programación",M1339,""))</f>
        <v>45309</v>
      </c>
      <c r="S1339" s="25" t="str">
        <f t="shared" si="62"/>
        <v>2024/1</v>
      </c>
      <c r="T1339" s="21">
        <f>IFERROR(
(VLOOKUP(MONTH(R1339),Meses!$B$3:$C$14,2,FALSE)-DAY(R1339))/VLOOKUP(MONTH(R1339),Meses!$B$3:$C$14,2,FALSE)*U1339,
"")</f>
        <v>2764.3870967741937</v>
      </c>
      <c r="U1339" s="22">
        <f t="shared" si="61"/>
        <v>6592</v>
      </c>
    </row>
    <row r="1340" spans="1:21" ht="47.4" hidden="1" thickBot="1" x14ac:dyDescent="0.6">
      <c r="A1340" s="10" t="s">
        <v>1664</v>
      </c>
      <c r="B1340" s="10" t="s">
        <v>1665</v>
      </c>
      <c r="C1340" s="12">
        <v>45292</v>
      </c>
      <c r="D1340" s="10" t="s">
        <v>14</v>
      </c>
      <c r="E1340" s="10" t="s">
        <v>298</v>
      </c>
      <c r="F1340" s="10">
        <v>460000</v>
      </c>
      <c r="G1340" s="10" t="s">
        <v>20</v>
      </c>
      <c r="H1340" s="10" t="s">
        <v>17</v>
      </c>
      <c r="I1340" s="10" t="s">
        <v>66</v>
      </c>
      <c r="J1340" s="10" t="s">
        <v>282</v>
      </c>
      <c r="K1340" s="10" t="s">
        <v>283</v>
      </c>
      <c r="L1340" s="10" t="s">
        <v>279</v>
      </c>
      <c r="M1340" s="12"/>
      <c r="N1340" s="10" t="s">
        <v>15</v>
      </c>
      <c r="O1340" s="10" t="s">
        <v>2054</v>
      </c>
      <c r="P1340" s="25" t="str">
        <f>IFERROR(
IF(OR(O1340="anulado",O1340="stand by"),CONCATENATE(O1340,": ",H1340),
IF(OR(YEAR(M1340)=2022,YEAR(M1340)=2023),CONCATENATE("Se activó en ",YEAR(M1340)),
IF(AND(OR(O1340="En proceso",O1340="facturando"),AND(J1340="-",M1340="")),"Por revisar",
IF(M1340="",IF(J1340="NUEVAS",CONCATENATE("Estado: ",O1340,", ",J1340),
IF(L1340=Meses!$A$3,"Por revisar",
IF(H1340="","Sin registro","En programación Frcst."))),"En programación")))),
"Error")</f>
        <v>En programación Frcst.</v>
      </c>
      <c r="Q1340" s="9" t="str">
        <f t="shared" si="60"/>
        <v/>
      </c>
      <c r="R1340" s="25">
        <f>IF(P1340="En programación Frcst.",VLOOKUP(L1340,Meses!$A$1:$H$14,3+HLOOKUP(Cronograma!J1340,Meses!$D$1:$G$2,2,FALSE),FALSE),
IF(P1340="En programación",M1340,""))</f>
        <v>45295</v>
      </c>
      <c r="S1340" s="25" t="str">
        <f t="shared" si="62"/>
        <v>2024/1</v>
      </c>
      <c r="T1340" s="21">
        <f>IFERROR(
(VLOOKUP(MONTH(R1340),Meses!$B$3:$C$14,2,FALSE)-DAY(R1340))/VLOOKUP(MONTH(R1340),Meses!$B$3:$C$14,2,FALSE)*U1340,
"")</f>
        <v>400645.16129032261</v>
      </c>
      <c r="U1340" s="22">
        <f t="shared" si="61"/>
        <v>460000</v>
      </c>
    </row>
    <row r="1341" spans="1:21" ht="31.8" hidden="1" thickBot="1" x14ac:dyDescent="0.6">
      <c r="A1341" s="10" t="s">
        <v>1666</v>
      </c>
      <c r="B1341" s="10" t="s">
        <v>1667</v>
      </c>
      <c r="C1341" s="12">
        <v>45337</v>
      </c>
      <c r="D1341" s="10" t="s">
        <v>654</v>
      </c>
      <c r="E1341" s="10" t="s">
        <v>14</v>
      </c>
      <c r="F1341" s="10">
        <v>20068</v>
      </c>
      <c r="G1341" s="10" t="s">
        <v>15</v>
      </c>
      <c r="H1341" s="10" t="s">
        <v>17</v>
      </c>
      <c r="I1341" s="10" t="s">
        <v>66</v>
      </c>
      <c r="J1341" s="10" t="s">
        <v>292</v>
      </c>
      <c r="K1341" s="10" t="s">
        <v>1654</v>
      </c>
      <c r="L1341" s="10" t="s">
        <v>748</v>
      </c>
      <c r="M1341" s="12"/>
      <c r="N1341" s="10" t="s">
        <v>15</v>
      </c>
      <c r="O1341" s="10" t="s">
        <v>2054</v>
      </c>
      <c r="P1341" s="25" t="str">
        <f>IFERROR(
IF(OR(O1341="anulado",O1341="stand by"),CONCATENATE(O1341,": ",H1341),
IF(OR(YEAR(M1341)=2022,YEAR(M1341)=2023),CONCATENATE("Se activó en ",YEAR(M1341)),
IF(AND(OR(O1341="En proceso",O1341="facturando"),AND(J1341="-",M1341="")),"Por revisar",
IF(M1341="",IF(J1341="NUEVAS",CONCATENATE("Estado: ",O1341,", ",J1341),
IF(L1341=Meses!$A$3,"Por revisar",
IF(H1341="","Sin registro","En programación Frcst."))),"En programación")))),
"Error")</f>
        <v>En programación Frcst.</v>
      </c>
      <c r="Q1341" s="9" t="str">
        <f t="shared" si="60"/>
        <v/>
      </c>
      <c r="R1341" s="25">
        <f>IF(P1341="En programación Frcst.",VLOOKUP(L1341,Meses!$A$1:$H$14,3+HLOOKUP(Cronograma!J1341,Meses!$D$1:$G$2,2,FALSE),FALSE),
IF(P1341="En programación",M1341,""))</f>
        <v>45344</v>
      </c>
      <c r="S1341" s="25" t="str">
        <f t="shared" si="62"/>
        <v>2024/2</v>
      </c>
      <c r="T1341" s="21">
        <f>IFERROR(
(VLOOKUP(MONTH(R1341),Meses!$B$3:$C$14,2,FALSE)-DAY(R1341))/VLOOKUP(MONTH(R1341),Meses!$B$3:$C$14,2,FALSE)*U1341,
"")</f>
        <v>4844</v>
      </c>
      <c r="U1341" s="22">
        <f t="shared" si="61"/>
        <v>20068</v>
      </c>
    </row>
    <row r="1342" spans="1:21" ht="94.2" hidden="1" thickBot="1" x14ac:dyDescent="0.6">
      <c r="A1342" s="10" t="s">
        <v>1668</v>
      </c>
      <c r="B1342" s="10" t="s">
        <v>1669</v>
      </c>
      <c r="C1342" s="12">
        <v>45288</v>
      </c>
      <c r="D1342" s="10" t="s">
        <v>654</v>
      </c>
      <c r="E1342" s="10" t="s">
        <v>14</v>
      </c>
      <c r="F1342" s="10">
        <v>21420</v>
      </c>
      <c r="G1342" s="10" t="s">
        <v>15</v>
      </c>
      <c r="H1342" s="10" t="s">
        <v>17</v>
      </c>
      <c r="I1342" s="10" t="s">
        <v>66</v>
      </c>
      <c r="J1342" s="10" t="s">
        <v>292</v>
      </c>
      <c r="K1342" s="10" t="s">
        <v>945</v>
      </c>
      <c r="L1342" s="10" t="s">
        <v>145</v>
      </c>
      <c r="M1342" s="12"/>
      <c r="N1342" s="10" t="s">
        <v>15</v>
      </c>
      <c r="O1342" s="10" t="s">
        <v>2054</v>
      </c>
      <c r="P1342" s="25" t="str">
        <f>IFERROR(
IF(OR(O1342="anulado",O1342="stand by"),CONCATENATE(O1342,": ",H1342),
IF(OR(YEAR(M1342)=2022,YEAR(M1342)=2023),CONCATENATE("Se activó en ",YEAR(M1342)),
IF(AND(OR(O1342="En proceso",O1342="facturando"),AND(J1342="-",M1342="")),"Por revisar",
IF(M1342="",IF(J1342="NUEVAS",CONCATENATE("Estado: ",O1342,", ",J1342),
IF(L1342=Meses!$A$3,"Por revisar",
IF(H1342="","Sin registro","En programación Frcst."))),"En programación")))),
"Error")</f>
        <v>Por revisar</v>
      </c>
      <c r="Q1342" s="9" t="str">
        <f t="shared" si="60"/>
        <v>programación de act. SI, estado: Facturando, Comercializador: QI ENERGY, Etapa: Instalado y Activado</v>
      </c>
      <c r="R1342" s="25" t="str">
        <f>IF(P1342="En programación Frcst.",VLOOKUP(L1342,Meses!$A$1:$H$14,3+HLOOKUP(Cronograma!J1342,Meses!$D$1:$G$2,2,FALSE),FALSE),
IF(P1342="En programación",M1342,""))</f>
        <v/>
      </c>
      <c r="S1342" s="25" t="str">
        <f t="shared" si="62"/>
        <v/>
      </c>
      <c r="T1342" s="21" t="str">
        <f>IFERROR(
(VLOOKUP(MONTH(R1342),Meses!$B$3:$C$14,2,FALSE)-DAY(R1342))/VLOOKUP(MONTH(R1342),Meses!$B$3:$C$14,2,FALSE)*U1342,
"")</f>
        <v/>
      </c>
      <c r="U1342" s="22">
        <f t="shared" si="61"/>
        <v>21420</v>
      </c>
    </row>
    <row r="1343" spans="1:21" ht="63" hidden="1" thickBot="1" x14ac:dyDescent="0.6">
      <c r="A1343" s="10" t="s">
        <v>1670</v>
      </c>
      <c r="B1343" s="10" t="s">
        <v>1671</v>
      </c>
      <c r="C1343" s="12"/>
      <c r="D1343" s="10" t="s">
        <v>74</v>
      </c>
      <c r="E1343" s="10" t="s">
        <v>74</v>
      </c>
      <c r="F1343" s="10">
        <v>13512</v>
      </c>
      <c r="G1343" s="10" t="s">
        <v>15</v>
      </c>
      <c r="H1343" s="10" t="s">
        <v>2916</v>
      </c>
      <c r="I1343" s="10" t="s">
        <v>43</v>
      </c>
      <c r="J1343" s="10" t="s">
        <v>143</v>
      </c>
      <c r="K1343" s="10" t="s">
        <v>2895</v>
      </c>
      <c r="L1343" s="10" t="s">
        <v>2292</v>
      </c>
      <c r="M1343" s="12">
        <v>45400</v>
      </c>
      <c r="N1343" s="10" t="s">
        <v>15</v>
      </c>
      <c r="O1343" s="10" t="s">
        <v>2057</v>
      </c>
      <c r="P1343" s="25" t="str">
        <f>IFERROR(
IF(OR(O1343="anulado",O1343="stand by"),CONCATENATE(O1343,": ",H1343),
IF(OR(YEAR(M1343)=2022,YEAR(M1343)=2023),CONCATENATE("Se activó en ",YEAR(M1343)),
IF(AND(OR(O1343="En proceso",O1343="facturando"),AND(J1343="-",M1343="")),"Por revisar",
IF(M1343="",IF(J1343="NUEVAS",CONCATENATE("Estado: ",O1343,", ",J1343),
IF(L1343=Meses!$A$3,"Por revisar",
IF(H1343="","Sin registro","En programación Frcst."))),"En programación")))),
"Error")</f>
        <v>En programación</v>
      </c>
      <c r="Q1343" s="9" t="str">
        <f t="shared" si="60"/>
        <v/>
      </c>
      <c r="R1343" s="25">
        <f>IF(P1343="En programación Frcst.",VLOOKUP(L1343,Meses!$A$1:$H$14,3+HLOOKUP(Cronograma!J1343,Meses!$D$1:$G$2,2,FALSE),FALSE),
IF(P1343="En programación",M1343,""))</f>
        <v>45400</v>
      </c>
      <c r="S1343" s="25" t="str">
        <f t="shared" si="62"/>
        <v>2024/4</v>
      </c>
      <c r="T1343" s="21">
        <f>IFERROR(
(VLOOKUP(MONTH(R1343),Meses!$B$3:$C$14,2,FALSE)-DAY(R1343))/VLOOKUP(MONTH(R1343),Meses!$B$3:$C$14,2,FALSE)*U1343,
"")</f>
        <v>5404.8</v>
      </c>
      <c r="U1343" s="22">
        <f t="shared" si="61"/>
        <v>13512</v>
      </c>
    </row>
    <row r="1344" spans="1:21" ht="63" hidden="1" thickBot="1" x14ac:dyDescent="0.6">
      <c r="A1344" s="10" t="s">
        <v>1672</v>
      </c>
      <c r="B1344" s="10" t="s">
        <v>1673</v>
      </c>
      <c r="C1344" s="12"/>
      <c r="D1344" s="10" t="s">
        <v>289</v>
      </c>
      <c r="E1344" s="10" t="s">
        <v>289</v>
      </c>
      <c r="F1344" s="10">
        <v>9408</v>
      </c>
      <c r="G1344" s="10" t="s">
        <v>15</v>
      </c>
      <c r="H1344" s="10" t="s">
        <v>140</v>
      </c>
      <c r="I1344" s="10" t="s">
        <v>18</v>
      </c>
      <c r="J1344" s="10" t="s">
        <v>19</v>
      </c>
      <c r="K1344" s="10" t="s">
        <v>19</v>
      </c>
      <c r="L1344" s="10" t="s">
        <v>19</v>
      </c>
      <c r="M1344" s="12"/>
      <c r="N1344" s="10" t="s">
        <v>15</v>
      </c>
      <c r="O1344" s="10" t="s">
        <v>2056</v>
      </c>
      <c r="P1344" s="25" t="str">
        <f>IFERROR(
IF(OR(O1344="anulado",O1344="stand by"),CONCATENATE(O1344,": ",H1344),
IF(OR(YEAR(M1344)=2022,YEAR(M1344)=2023),CONCATENATE("Se activó en ",YEAR(M1344)),
IF(AND(OR(O1344="En proceso",O1344="facturando"),AND(J1344="-",M1344="")),"Por revisar",
IF(M1344="",IF(J1344="NUEVAS",CONCATENATE("Estado: ",O1344,", ",J1344),
IF(L1344=Meses!$A$3,"Por revisar",
IF(H1344="","Sin registro","En programación Frcst."))),"En programación")))),
"Error")</f>
        <v>anulado: Desistido</v>
      </c>
      <c r="Q1344" s="9" t="str">
        <f t="shared" si="60"/>
        <v/>
      </c>
      <c r="R1344" s="25" t="str">
        <f>IF(P1344="En programación Frcst.",VLOOKUP(L1344,Meses!$A$1:$H$14,3+HLOOKUP(Cronograma!J1344,Meses!$D$1:$G$2,2,FALSE),FALSE),
IF(P1344="En programación",M1344,""))</f>
        <v/>
      </c>
      <c r="S1344" s="25" t="str">
        <f t="shared" si="62"/>
        <v/>
      </c>
      <c r="T1344" s="21" t="str">
        <f>IFERROR(
(VLOOKUP(MONTH(R1344),Meses!$B$3:$C$14,2,FALSE)-DAY(R1344))/VLOOKUP(MONTH(R1344),Meses!$B$3:$C$14,2,FALSE)*U1344,
"")</f>
        <v/>
      </c>
      <c r="U1344" s="22">
        <f t="shared" si="61"/>
        <v>9408</v>
      </c>
    </row>
    <row r="1345" spans="1:21" ht="63" hidden="1" thickBot="1" x14ac:dyDescent="0.6">
      <c r="A1345" s="10" t="s">
        <v>1672</v>
      </c>
      <c r="B1345" s="10" t="s">
        <v>1674</v>
      </c>
      <c r="C1345" s="12"/>
      <c r="D1345" s="10" t="s">
        <v>23</v>
      </c>
      <c r="E1345" s="10" t="s">
        <v>23</v>
      </c>
      <c r="F1345" s="10">
        <v>700</v>
      </c>
      <c r="G1345" s="10" t="s">
        <v>15</v>
      </c>
      <c r="H1345" s="10" t="s">
        <v>140</v>
      </c>
      <c r="I1345" s="10" t="s">
        <v>43</v>
      </c>
      <c r="J1345" s="10" t="s">
        <v>19</v>
      </c>
      <c r="K1345" s="10" t="s">
        <v>19</v>
      </c>
      <c r="L1345" s="10" t="s">
        <v>19</v>
      </c>
      <c r="M1345" s="12"/>
      <c r="N1345" s="10" t="s">
        <v>15</v>
      </c>
      <c r="O1345" s="10" t="s">
        <v>2056</v>
      </c>
      <c r="P1345" s="25" t="str">
        <f>IFERROR(
IF(OR(O1345="anulado",O1345="stand by"),CONCATENATE(O1345,": ",H1345),
IF(OR(YEAR(M1345)=2022,YEAR(M1345)=2023),CONCATENATE("Se activó en ",YEAR(M1345)),
IF(AND(OR(O1345="En proceso",O1345="facturando"),AND(J1345="-",M1345="")),"Por revisar",
IF(M1345="",IF(J1345="NUEVAS",CONCATENATE("Estado: ",O1345,", ",J1345),
IF(L1345=Meses!$A$3,"Por revisar",
IF(H1345="","Sin registro","En programación Frcst."))),"En programación")))),
"Error")</f>
        <v>anulado: Desistido</v>
      </c>
      <c r="Q1345" s="9" t="str">
        <f t="shared" si="60"/>
        <v/>
      </c>
      <c r="R1345" s="25" t="str">
        <f>IF(P1345="En programación Frcst.",VLOOKUP(L1345,Meses!$A$1:$H$14,3+HLOOKUP(Cronograma!J1345,Meses!$D$1:$G$2,2,FALSE),FALSE),
IF(P1345="En programación",M1345,""))</f>
        <v/>
      </c>
      <c r="S1345" s="25" t="str">
        <f t="shared" si="62"/>
        <v/>
      </c>
      <c r="T1345" s="21" t="str">
        <f>IFERROR(
(VLOOKUP(MONTH(R1345),Meses!$B$3:$C$14,2,FALSE)-DAY(R1345))/VLOOKUP(MONTH(R1345),Meses!$B$3:$C$14,2,FALSE)*U1345,
"")</f>
        <v/>
      </c>
      <c r="U1345" s="22">
        <f t="shared" si="61"/>
        <v>700</v>
      </c>
    </row>
    <row r="1346" spans="1:21" ht="31.8" hidden="1" thickBot="1" x14ac:dyDescent="0.6">
      <c r="A1346" s="10" t="s">
        <v>1675</v>
      </c>
      <c r="B1346" s="10" t="s">
        <v>1676</v>
      </c>
      <c r="C1346" s="12"/>
      <c r="D1346" s="10" t="s">
        <v>654</v>
      </c>
      <c r="E1346" s="10" t="s">
        <v>14</v>
      </c>
      <c r="F1346" s="10">
        <v>9223</v>
      </c>
      <c r="G1346" s="10" t="s">
        <v>15</v>
      </c>
      <c r="H1346" s="10" t="s">
        <v>2916</v>
      </c>
      <c r="I1346" s="10" t="s">
        <v>66</v>
      </c>
      <c r="J1346" s="10" t="s">
        <v>292</v>
      </c>
      <c r="K1346" s="10" t="s">
        <v>1697</v>
      </c>
      <c r="L1346" s="10" t="s">
        <v>1120</v>
      </c>
      <c r="M1346" s="12">
        <v>45379</v>
      </c>
      <c r="N1346" s="10" t="s">
        <v>15</v>
      </c>
      <c r="O1346" s="10" t="s">
        <v>2057</v>
      </c>
      <c r="P1346" s="25" t="str">
        <f>IFERROR(
IF(OR(O1346="anulado",O1346="stand by"),CONCATENATE(O1346,": ",H1346),
IF(OR(YEAR(M1346)=2022,YEAR(M1346)=2023),CONCATENATE("Se activó en ",YEAR(M1346)),
IF(AND(OR(O1346="En proceso",O1346="facturando"),AND(J1346="-",M1346="")),"Por revisar",
IF(M1346="",IF(J1346="NUEVAS",CONCATENATE("Estado: ",O1346,", ",J1346),
IF(L1346=Meses!$A$3,"Por revisar",
IF(H1346="","Sin registro","En programación Frcst."))),"En programación")))),
"Error")</f>
        <v>En programación</v>
      </c>
      <c r="Q1346" s="9" t="str">
        <f t="shared" ref="Q1346:Q1409" si="63">IF(P1346="Por revisar",CONCATENATE("programación de act. ",N1346,", estado: ",O1346,", Comercializador: ",D1346,", Etapa: ",H1346),"")</f>
        <v/>
      </c>
      <c r="R1346" s="25">
        <f>IF(P1346="En programación Frcst.",VLOOKUP(L1346,Meses!$A$1:$H$14,3+HLOOKUP(Cronograma!J1346,Meses!$D$1:$G$2,2,FALSE),FALSE),
IF(P1346="En programación",M1346,""))</f>
        <v>45379</v>
      </c>
      <c r="S1346" s="25" t="str">
        <f t="shared" si="62"/>
        <v>2024/3</v>
      </c>
      <c r="T1346" s="21">
        <f>IFERROR(
(VLOOKUP(MONTH(R1346),Meses!$B$3:$C$14,2,FALSE)-DAY(R1346))/VLOOKUP(MONTH(R1346),Meses!$B$3:$C$14,2,FALSE)*U1346,
"")</f>
        <v>892.54838709677415</v>
      </c>
      <c r="U1346" s="22">
        <f t="shared" ref="U1346:U1409" si="64">F1346</f>
        <v>9223</v>
      </c>
    </row>
    <row r="1347" spans="1:21" ht="31.8" hidden="1" thickBot="1" x14ac:dyDescent="0.6">
      <c r="A1347" s="10" t="s">
        <v>1675</v>
      </c>
      <c r="B1347" s="10" t="s">
        <v>1677</v>
      </c>
      <c r="C1347" s="12"/>
      <c r="D1347" s="10" t="s">
        <v>654</v>
      </c>
      <c r="E1347" s="10" t="s">
        <v>14</v>
      </c>
      <c r="F1347" s="10">
        <v>3915</v>
      </c>
      <c r="G1347" s="10" t="s">
        <v>15</v>
      </c>
      <c r="H1347" s="10" t="s">
        <v>2916</v>
      </c>
      <c r="I1347" s="10" t="s">
        <v>66</v>
      </c>
      <c r="J1347" s="10" t="s">
        <v>292</v>
      </c>
      <c r="K1347" s="10" t="s">
        <v>1697</v>
      </c>
      <c r="L1347" s="10" t="s">
        <v>1120</v>
      </c>
      <c r="M1347" s="12">
        <v>45379</v>
      </c>
      <c r="N1347" s="10" t="s">
        <v>15</v>
      </c>
      <c r="O1347" s="10" t="s">
        <v>2057</v>
      </c>
      <c r="P1347" s="25" t="str">
        <f>IFERROR(
IF(OR(O1347="anulado",O1347="stand by"),CONCATENATE(O1347,": ",H1347),
IF(OR(YEAR(M1347)=2022,YEAR(M1347)=2023),CONCATENATE("Se activó en ",YEAR(M1347)),
IF(AND(OR(O1347="En proceso",O1347="facturando"),AND(J1347="-",M1347="")),"Por revisar",
IF(M1347="",IF(J1347="NUEVAS",CONCATENATE("Estado: ",O1347,", ",J1347),
IF(L1347=Meses!$A$3,"Por revisar",
IF(H1347="","Sin registro","En programación Frcst."))),"En programación")))),
"Error")</f>
        <v>En programación</v>
      </c>
      <c r="Q1347" s="9" t="str">
        <f t="shared" si="63"/>
        <v/>
      </c>
      <c r="R1347" s="25">
        <f>IF(P1347="En programación Frcst.",VLOOKUP(L1347,Meses!$A$1:$H$14,3+HLOOKUP(Cronograma!J1347,Meses!$D$1:$G$2,2,FALSE),FALSE),
IF(P1347="En programación",M1347,""))</f>
        <v>45379</v>
      </c>
      <c r="S1347" s="25" t="str">
        <f t="shared" ref="S1347:S1410" si="65">IFERROR(CONCATENATE(YEAR(R1347),"/",MONTH(R1347)),"")</f>
        <v>2024/3</v>
      </c>
      <c r="T1347" s="21">
        <f>IFERROR(
(VLOOKUP(MONTH(R1347),Meses!$B$3:$C$14,2,FALSE)-DAY(R1347))/VLOOKUP(MONTH(R1347),Meses!$B$3:$C$14,2,FALSE)*U1347,
"")</f>
        <v>378.87096774193549</v>
      </c>
      <c r="U1347" s="22">
        <f t="shared" si="64"/>
        <v>3915</v>
      </c>
    </row>
    <row r="1348" spans="1:21" ht="31.8" hidden="1" thickBot="1" x14ac:dyDescent="0.6">
      <c r="A1348" s="10" t="s">
        <v>1678</v>
      </c>
      <c r="B1348" s="10" t="s">
        <v>1679</v>
      </c>
      <c r="C1348" s="12"/>
      <c r="D1348" s="10" t="s">
        <v>654</v>
      </c>
      <c r="E1348" s="10" t="s">
        <v>14</v>
      </c>
      <c r="F1348" s="10">
        <v>15899</v>
      </c>
      <c r="G1348" s="10" t="s">
        <v>15</v>
      </c>
      <c r="H1348" s="10" t="s">
        <v>2917</v>
      </c>
      <c r="I1348" s="10" t="s">
        <v>66</v>
      </c>
      <c r="J1348" s="10" t="s">
        <v>292</v>
      </c>
      <c r="K1348" s="10" t="s">
        <v>1697</v>
      </c>
      <c r="L1348" s="10" t="s">
        <v>1120</v>
      </c>
      <c r="M1348" s="12">
        <v>45379</v>
      </c>
      <c r="N1348" s="10" t="s">
        <v>15</v>
      </c>
      <c r="O1348" s="10" t="s">
        <v>2057</v>
      </c>
      <c r="P1348" s="25" t="str">
        <f>IFERROR(
IF(OR(O1348="anulado",O1348="stand by"),CONCATENATE(O1348,": ",H1348),
IF(OR(YEAR(M1348)=2022,YEAR(M1348)=2023),CONCATENATE("Se activó en ",YEAR(M1348)),
IF(AND(OR(O1348="En proceso",O1348="facturando"),AND(J1348="-",M1348="")),"Por revisar",
IF(M1348="",IF(J1348="NUEVAS",CONCATENATE("Estado: ",O1348,", ",J1348),
IF(L1348=Meses!$A$3,"Por revisar",
IF(H1348="","Sin registro","En programación Frcst."))),"En programación")))),
"Error")</f>
        <v>En programación</v>
      </c>
      <c r="Q1348" s="9" t="str">
        <f t="shared" si="63"/>
        <v/>
      </c>
      <c r="R1348" s="25">
        <f>IF(P1348="En programación Frcst.",VLOOKUP(L1348,Meses!$A$1:$H$14,3+HLOOKUP(Cronograma!J1348,Meses!$D$1:$G$2,2,FALSE),FALSE),
IF(P1348="En programación",M1348,""))</f>
        <v>45379</v>
      </c>
      <c r="S1348" s="25" t="str">
        <f t="shared" si="65"/>
        <v>2024/3</v>
      </c>
      <c r="T1348" s="21">
        <f>IFERROR(
(VLOOKUP(MONTH(R1348),Meses!$B$3:$C$14,2,FALSE)-DAY(R1348))/VLOOKUP(MONTH(R1348),Meses!$B$3:$C$14,2,FALSE)*U1348,
"")</f>
        <v>1538.6129032258063</v>
      </c>
      <c r="U1348" s="22">
        <f t="shared" si="64"/>
        <v>15899</v>
      </c>
    </row>
    <row r="1349" spans="1:21" ht="31.8" hidden="1" thickBot="1" x14ac:dyDescent="0.6">
      <c r="A1349" s="10" t="s">
        <v>1680</v>
      </c>
      <c r="B1349" s="10" t="s">
        <v>1681</v>
      </c>
      <c r="C1349" s="12"/>
      <c r="D1349" s="10" t="s">
        <v>654</v>
      </c>
      <c r="E1349" s="10" t="s">
        <v>14</v>
      </c>
      <c r="F1349" s="10">
        <v>15281</v>
      </c>
      <c r="G1349" s="10" t="s">
        <v>15</v>
      </c>
      <c r="H1349" s="10" t="s">
        <v>140</v>
      </c>
      <c r="I1349" s="10" t="s">
        <v>66</v>
      </c>
      <c r="J1349" s="10" t="s">
        <v>19</v>
      </c>
      <c r="K1349" s="10" t="s">
        <v>19</v>
      </c>
      <c r="L1349" s="10" t="s">
        <v>19</v>
      </c>
      <c r="M1349" s="12"/>
      <c r="N1349" s="10" t="s">
        <v>15</v>
      </c>
      <c r="O1349" s="10" t="s">
        <v>2056</v>
      </c>
      <c r="P1349" s="25" t="str">
        <f>IFERROR(
IF(OR(O1349="anulado",O1349="stand by"),CONCATENATE(O1349,": ",H1349),
IF(OR(YEAR(M1349)=2022,YEAR(M1349)=2023),CONCATENATE("Se activó en ",YEAR(M1349)),
IF(AND(OR(O1349="En proceso",O1349="facturando"),AND(J1349="-",M1349="")),"Por revisar",
IF(M1349="",IF(J1349="NUEVAS",CONCATENATE("Estado: ",O1349,", ",J1349),
IF(L1349=Meses!$A$3,"Por revisar",
IF(H1349="","Sin registro","En programación Frcst."))),"En programación")))),
"Error")</f>
        <v>anulado: Desistido</v>
      </c>
      <c r="Q1349" s="9" t="str">
        <f t="shared" si="63"/>
        <v/>
      </c>
      <c r="R1349" s="25" t="str">
        <f>IF(P1349="En programación Frcst.",VLOOKUP(L1349,Meses!$A$1:$H$14,3+HLOOKUP(Cronograma!J1349,Meses!$D$1:$G$2,2,FALSE),FALSE),
IF(P1349="En programación",M1349,""))</f>
        <v/>
      </c>
      <c r="S1349" s="25" t="str">
        <f t="shared" si="65"/>
        <v/>
      </c>
      <c r="T1349" s="21" t="str">
        <f>IFERROR(
(VLOOKUP(MONTH(R1349),Meses!$B$3:$C$14,2,FALSE)-DAY(R1349))/VLOOKUP(MONTH(R1349),Meses!$B$3:$C$14,2,FALSE)*U1349,
"")</f>
        <v/>
      </c>
      <c r="U1349" s="22">
        <f t="shared" si="64"/>
        <v>15281</v>
      </c>
    </row>
    <row r="1350" spans="1:21" ht="31.8" hidden="1" thickBot="1" x14ac:dyDescent="0.6">
      <c r="A1350" s="10" t="s">
        <v>1682</v>
      </c>
      <c r="B1350" s="10" t="s">
        <v>1683</v>
      </c>
      <c r="C1350" s="12"/>
      <c r="D1350" s="10" t="s">
        <v>862</v>
      </c>
      <c r="E1350" s="10" t="s">
        <v>44</v>
      </c>
      <c r="F1350" s="10">
        <v>11708</v>
      </c>
      <c r="G1350" s="10" t="s">
        <v>15</v>
      </c>
      <c r="H1350" s="10" t="s">
        <v>2917</v>
      </c>
      <c r="I1350" s="10" t="s">
        <v>66</v>
      </c>
      <c r="J1350" s="10" t="s">
        <v>292</v>
      </c>
      <c r="K1350" s="10" t="s">
        <v>1697</v>
      </c>
      <c r="L1350" s="10" t="s">
        <v>1120</v>
      </c>
      <c r="M1350" s="12">
        <v>45379</v>
      </c>
      <c r="N1350" s="10" t="s">
        <v>15</v>
      </c>
      <c r="O1350" s="10" t="s">
        <v>2057</v>
      </c>
      <c r="P1350" s="25" t="str">
        <f>IFERROR(
IF(OR(O1350="anulado",O1350="stand by"),CONCATENATE(O1350,": ",H1350),
IF(OR(YEAR(M1350)=2022,YEAR(M1350)=2023),CONCATENATE("Se activó en ",YEAR(M1350)),
IF(AND(OR(O1350="En proceso",O1350="facturando"),AND(J1350="-",M1350="")),"Por revisar",
IF(M1350="",IF(J1350="NUEVAS",CONCATENATE("Estado: ",O1350,", ",J1350),
IF(L1350=Meses!$A$3,"Por revisar",
IF(H1350="","Sin registro","En programación Frcst."))),"En programación")))),
"Error")</f>
        <v>En programación</v>
      </c>
      <c r="Q1350" s="9" t="str">
        <f t="shared" si="63"/>
        <v/>
      </c>
      <c r="R1350" s="25">
        <f>IF(P1350="En programación Frcst.",VLOOKUP(L1350,Meses!$A$1:$H$14,3+HLOOKUP(Cronograma!J1350,Meses!$D$1:$G$2,2,FALSE),FALSE),
IF(P1350="En programación",M1350,""))</f>
        <v>45379</v>
      </c>
      <c r="S1350" s="25" t="str">
        <f t="shared" si="65"/>
        <v>2024/3</v>
      </c>
      <c r="T1350" s="21">
        <f>IFERROR(
(VLOOKUP(MONTH(R1350),Meses!$B$3:$C$14,2,FALSE)-DAY(R1350))/VLOOKUP(MONTH(R1350),Meses!$B$3:$C$14,2,FALSE)*U1350,
"")</f>
        <v>1133.0322580645161</v>
      </c>
      <c r="U1350" s="22">
        <f t="shared" si="64"/>
        <v>11708</v>
      </c>
    </row>
    <row r="1351" spans="1:21" ht="31.8" hidden="1" thickBot="1" x14ac:dyDescent="0.6">
      <c r="A1351" s="10" t="s">
        <v>1682</v>
      </c>
      <c r="B1351" s="10" t="s">
        <v>1684</v>
      </c>
      <c r="C1351" s="12"/>
      <c r="D1351" s="10" t="s">
        <v>862</v>
      </c>
      <c r="E1351" s="10" t="s">
        <v>14</v>
      </c>
      <c r="F1351" s="10">
        <v>5256</v>
      </c>
      <c r="G1351" s="10" t="s">
        <v>15</v>
      </c>
      <c r="H1351" s="10" t="s">
        <v>2917</v>
      </c>
      <c r="I1351" s="10" t="s">
        <v>66</v>
      </c>
      <c r="J1351" s="10" t="s">
        <v>292</v>
      </c>
      <c r="K1351" s="10" t="s">
        <v>1697</v>
      </c>
      <c r="L1351" s="10" t="s">
        <v>1120</v>
      </c>
      <c r="M1351" s="12">
        <v>45379</v>
      </c>
      <c r="N1351" s="10" t="s">
        <v>15</v>
      </c>
      <c r="O1351" s="10" t="s">
        <v>2057</v>
      </c>
      <c r="P1351" s="25" t="str">
        <f>IFERROR(
IF(OR(O1351="anulado",O1351="stand by"),CONCATENATE(O1351,": ",H1351),
IF(OR(YEAR(M1351)=2022,YEAR(M1351)=2023),CONCATENATE("Se activó en ",YEAR(M1351)),
IF(AND(OR(O1351="En proceso",O1351="facturando"),AND(J1351="-",M1351="")),"Por revisar",
IF(M1351="",IF(J1351="NUEVAS",CONCATENATE("Estado: ",O1351,", ",J1351),
IF(L1351=Meses!$A$3,"Por revisar",
IF(H1351="","Sin registro","En programación Frcst."))),"En programación")))),
"Error")</f>
        <v>En programación</v>
      </c>
      <c r="Q1351" s="9" t="str">
        <f t="shared" si="63"/>
        <v/>
      </c>
      <c r="R1351" s="25">
        <f>IF(P1351="En programación Frcst.",VLOOKUP(L1351,Meses!$A$1:$H$14,3+HLOOKUP(Cronograma!J1351,Meses!$D$1:$G$2,2,FALSE),FALSE),
IF(P1351="En programación",M1351,""))</f>
        <v>45379</v>
      </c>
      <c r="S1351" s="25" t="str">
        <f t="shared" si="65"/>
        <v>2024/3</v>
      </c>
      <c r="T1351" s="21">
        <f>IFERROR(
(VLOOKUP(MONTH(R1351),Meses!$B$3:$C$14,2,FALSE)-DAY(R1351))/VLOOKUP(MONTH(R1351),Meses!$B$3:$C$14,2,FALSE)*U1351,
"")</f>
        <v>508.64516129032256</v>
      </c>
      <c r="U1351" s="22">
        <f t="shared" si="64"/>
        <v>5256</v>
      </c>
    </row>
    <row r="1352" spans="1:21" ht="31.8" hidden="1" thickBot="1" x14ac:dyDescent="0.6">
      <c r="A1352" s="10" t="s">
        <v>1682</v>
      </c>
      <c r="B1352" s="10" t="s">
        <v>1685</v>
      </c>
      <c r="C1352" s="12"/>
      <c r="D1352" s="10" t="s">
        <v>862</v>
      </c>
      <c r="E1352" s="10" t="s">
        <v>14</v>
      </c>
      <c r="F1352" s="10">
        <v>4837</v>
      </c>
      <c r="G1352" s="10" t="s">
        <v>15</v>
      </c>
      <c r="H1352" s="10" t="s">
        <v>2917</v>
      </c>
      <c r="I1352" s="10" t="s">
        <v>66</v>
      </c>
      <c r="J1352" s="10" t="s">
        <v>292</v>
      </c>
      <c r="K1352" s="10" t="s">
        <v>1697</v>
      </c>
      <c r="L1352" s="10" t="s">
        <v>1120</v>
      </c>
      <c r="M1352" s="12">
        <v>45379</v>
      </c>
      <c r="N1352" s="10" t="s">
        <v>15</v>
      </c>
      <c r="O1352" s="10" t="s">
        <v>2057</v>
      </c>
      <c r="P1352" s="25" t="str">
        <f>IFERROR(
IF(OR(O1352="anulado",O1352="stand by"),CONCATENATE(O1352,": ",H1352),
IF(OR(YEAR(M1352)=2022,YEAR(M1352)=2023),CONCATENATE("Se activó en ",YEAR(M1352)),
IF(AND(OR(O1352="En proceso",O1352="facturando"),AND(J1352="-",M1352="")),"Por revisar",
IF(M1352="",IF(J1352="NUEVAS",CONCATENATE("Estado: ",O1352,", ",J1352),
IF(L1352=Meses!$A$3,"Por revisar",
IF(H1352="","Sin registro","En programación Frcst."))),"En programación")))),
"Error")</f>
        <v>En programación</v>
      </c>
      <c r="Q1352" s="9" t="str">
        <f t="shared" si="63"/>
        <v/>
      </c>
      <c r="R1352" s="25">
        <f>IF(P1352="En programación Frcst.",VLOOKUP(L1352,Meses!$A$1:$H$14,3+HLOOKUP(Cronograma!J1352,Meses!$D$1:$G$2,2,FALSE),FALSE),
IF(P1352="En programación",M1352,""))</f>
        <v>45379</v>
      </c>
      <c r="S1352" s="25" t="str">
        <f t="shared" si="65"/>
        <v>2024/3</v>
      </c>
      <c r="T1352" s="21">
        <f>IFERROR(
(VLOOKUP(MONTH(R1352),Meses!$B$3:$C$14,2,FALSE)-DAY(R1352))/VLOOKUP(MONTH(R1352),Meses!$B$3:$C$14,2,FALSE)*U1352,
"")</f>
        <v>468.09677419354836</v>
      </c>
      <c r="U1352" s="22">
        <f t="shared" si="64"/>
        <v>4837</v>
      </c>
    </row>
    <row r="1353" spans="1:21" ht="31.8" hidden="1" thickBot="1" x14ac:dyDescent="0.6">
      <c r="A1353" s="10" t="s">
        <v>1686</v>
      </c>
      <c r="B1353" s="10" t="s">
        <v>1687</v>
      </c>
      <c r="C1353" s="12"/>
      <c r="D1353" s="10" t="s">
        <v>654</v>
      </c>
      <c r="E1353" s="10" t="s">
        <v>44</v>
      </c>
      <c r="F1353" s="10">
        <v>29540</v>
      </c>
      <c r="G1353" s="10" t="s">
        <v>15</v>
      </c>
      <c r="H1353" s="10" t="s">
        <v>140</v>
      </c>
      <c r="I1353" s="10" t="s">
        <v>66</v>
      </c>
      <c r="J1353" s="10" t="s">
        <v>19</v>
      </c>
      <c r="K1353" s="10" t="s">
        <v>19</v>
      </c>
      <c r="L1353" s="10" t="s">
        <v>19</v>
      </c>
      <c r="M1353" s="12"/>
      <c r="N1353" s="10" t="s">
        <v>20</v>
      </c>
      <c r="O1353" s="10" t="s">
        <v>2056</v>
      </c>
      <c r="P1353" s="25" t="str">
        <f>IFERROR(
IF(OR(O1353="anulado",O1353="stand by"),CONCATENATE(O1353,": ",H1353),
IF(OR(YEAR(M1353)=2022,YEAR(M1353)=2023),CONCATENATE("Se activó en ",YEAR(M1353)),
IF(AND(OR(O1353="En proceso",O1353="facturando"),AND(J1353="-",M1353="")),"Por revisar",
IF(M1353="",IF(J1353="NUEVAS",CONCATENATE("Estado: ",O1353,", ",J1353),
IF(L1353=Meses!$A$3,"Por revisar",
IF(H1353="","Sin registro","En programación Frcst."))),"En programación")))),
"Error")</f>
        <v>anulado: Desistido</v>
      </c>
      <c r="Q1353" s="9" t="str">
        <f t="shared" si="63"/>
        <v/>
      </c>
      <c r="R1353" s="25" t="str">
        <f>IF(P1353="En programación Frcst.",VLOOKUP(L1353,Meses!$A$1:$H$14,3+HLOOKUP(Cronograma!J1353,Meses!$D$1:$G$2,2,FALSE),FALSE),
IF(P1353="En programación",M1353,""))</f>
        <v/>
      </c>
      <c r="S1353" s="25" t="str">
        <f t="shared" si="65"/>
        <v/>
      </c>
      <c r="T1353" s="21" t="str">
        <f>IFERROR(
(VLOOKUP(MONTH(R1353),Meses!$B$3:$C$14,2,FALSE)-DAY(R1353))/VLOOKUP(MONTH(R1353),Meses!$B$3:$C$14,2,FALSE)*U1353,
"")</f>
        <v/>
      </c>
      <c r="U1353" s="22">
        <f t="shared" si="64"/>
        <v>29540</v>
      </c>
    </row>
    <row r="1354" spans="1:21" ht="31.8" hidden="1" thickBot="1" x14ac:dyDescent="0.6">
      <c r="A1354" s="10" t="s">
        <v>1686</v>
      </c>
      <c r="B1354" s="10" t="s">
        <v>1688</v>
      </c>
      <c r="C1354" s="12"/>
      <c r="D1354" s="10" t="s">
        <v>654</v>
      </c>
      <c r="E1354" s="10" t="s">
        <v>44</v>
      </c>
      <c r="F1354" s="10">
        <v>410</v>
      </c>
      <c r="G1354" s="10" t="s">
        <v>15</v>
      </c>
      <c r="H1354" s="10" t="s">
        <v>140</v>
      </c>
      <c r="I1354" s="10" t="s">
        <v>66</v>
      </c>
      <c r="J1354" s="10" t="s">
        <v>19</v>
      </c>
      <c r="K1354" s="10" t="s">
        <v>19</v>
      </c>
      <c r="L1354" s="10" t="s">
        <v>19</v>
      </c>
      <c r="M1354" s="12"/>
      <c r="N1354" s="10" t="s">
        <v>20</v>
      </c>
      <c r="O1354" s="10" t="s">
        <v>2056</v>
      </c>
      <c r="P1354" s="25" t="str">
        <f>IFERROR(
IF(OR(O1354="anulado",O1354="stand by"),CONCATENATE(O1354,": ",H1354),
IF(OR(YEAR(M1354)=2022,YEAR(M1354)=2023),CONCATENATE("Se activó en ",YEAR(M1354)),
IF(AND(OR(O1354="En proceso",O1354="facturando"),AND(J1354="-",M1354="")),"Por revisar",
IF(M1354="",IF(J1354="NUEVAS",CONCATENATE("Estado: ",O1354,", ",J1354),
IF(L1354=Meses!$A$3,"Por revisar",
IF(H1354="","Sin registro","En programación Frcst."))),"En programación")))),
"Error")</f>
        <v>anulado: Desistido</v>
      </c>
      <c r="Q1354" s="9" t="str">
        <f t="shared" si="63"/>
        <v/>
      </c>
      <c r="R1354" s="25" t="str">
        <f>IF(P1354="En programación Frcst.",VLOOKUP(L1354,Meses!$A$1:$H$14,3+HLOOKUP(Cronograma!J1354,Meses!$D$1:$G$2,2,FALSE),FALSE),
IF(P1354="En programación",M1354,""))</f>
        <v/>
      </c>
      <c r="S1354" s="25" t="str">
        <f t="shared" si="65"/>
        <v/>
      </c>
      <c r="T1354" s="21" t="str">
        <f>IFERROR(
(VLOOKUP(MONTH(R1354),Meses!$B$3:$C$14,2,FALSE)-DAY(R1354))/VLOOKUP(MONTH(R1354),Meses!$B$3:$C$14,2,FALSE)*U1354,
"")</f>
        <v/>
      </c>
      <c r="U1354" s="22">
        <f t="shared" si="64"/>
        <v>410</v>
      </c>
    </row>
    <row r="1355" spans="1:21" ht="31.8" hidden="1" thickBot="1" x14ac:dyDescent="0.6">
      <c r="A1355" s="10" t="s">
        <v>1686</v>
      </c>
      <c r="B1355" s="10" t="s">
        <v>1689</v>
      </c>
      <c r="C1355" s="12"/>
      <c r="D1355" s="10" t="s">
        <v>654</v>
      </c>
      <c r="E1355" s="10" t="s">
        <v>41</v>
      </c>
      <c r="F1355" s="10">
        <v>10080</v>
      </c>
      <c r="G1355" s="10" t="s">
        <v>15</v>
      </c>
      <c r="H1355" s="10" t="s">
        <v>140</v>
      </c>
      <c r="I1355" s="10" t="s">
        <v>66</v>
      </c>
      <c r="J1355" s="10" t="s">
        <v>19</v>
      </c>
      <c r="K1355" s="10" t="s">
        <v>19</v>
      </c>
      <c r="L1355" s="10" t="s">
        <v>19</v>
      </c>
      <c r="M1355" s="12"/>
      <c r="N1355" s="10" t="s">
        <v>20</v>
      </c>
      <c r="O1355" s="10" t="s">
        <v>2056</v>
      </c>
      <c r="P1355" s="25" t="str">
        <f>IFERROR(
IF(OR(O1355="anulado",O1355="stand by"),CONCATENATE(O1355,": ",H1355),
IF(OR(YEAR(M1355)=2022,YEAR(M1355)=2023),CONCATENATE("Se activó en ",YEAR(M1355)),
IF(AND(OR(O1355="En proceso",O1355="facturando"),AND(J1355="-",M1355="")),"Por revisar",
IF(M1355="",IF(J1355="NUEVAS",CONCATENATE("Estado: ",O1355,", ",J1355),
IF(L1355=Meses!$A$3,"Por revisar",
IF(H1355="","Sin registro","En programación Frcst."))),"En programación")))),
"Error")</f>
        <v>anulado: Desistido</v>
      </c>
      <c r="Q1355" s="9" t="str">
        <f t="shared" si="63"/>
        <v/>
      </c>
      <c r="R1355" s="25" t="str">
        <f>IF(P1355="En programación Frcst.",VLOOKUP(L1355,Meses!$A$1:$H$14,3+HLOOKUP(Cronograma!J1355,Meses!$D$1:$G$2,2,FALSE),FALSE),
IF(P1355="En programación",M1355,""))</f>
        <v/>
      </c>
      <c r="S1355" s="25" t="str">
        <f t="shared" si="65"/>
        <v/>
      </c>
      <c r="T1355" s="21" t="str">
        <f>IFERROR(
(VLOOKUP(MONTH(R1355),Meses!$B$3:$C$14,2,FALSE)-DAY(R1355))/VLOOKUP(MONTH(R1355),Meses!$B$3:$C$14,2,FALSE)*U1355,
"")</f>
        <v/>
      </c>
      <c r="U1355" s="22">
        <f t="shared" si="64"/>
        <v>10080</v>
      </c>
    </row>
    <row r="1356" spans="1:21" ht="31.8" hidden="1" thickBot="1" x14ac:dyDescent="0.6">
      <c r="A1356" s="10" t="s">
        <v>1690</v>
      </c>
      <c r="B1356" s="10" t="s">
        <v>1691</v>
      </c>
      <c r="C1356" s="12"/>
      <c r="D1356" s="10" t="s">
        <v>14</v>
      </c>
      <c r="E1356" s="10" t="s">
        <v>14</v>
      </c>
      <c r="F1356" s="10">
        <v>4270</v>
      </c>
      <c r="G1356" s="10" t="s">
        <v>15</v>
      </c>
      <c r="H1356" s="10" t="s">
        <v>2917</v>
      </c>
      <c r="I1356" s="10" t="s">
        <v>18</v>
      </c>
      <c r="J1356" s="10" t="s">
        <v>277</v>
      </c>
      <c r="K1356" s="10" t="s">
        <v>3327</v>
      </c>
      <c r="L1356" s="10" t="s">
        <v>2292</v>
      </c>
      <c r="M1356" s="12">
        <v>45400</v>
      </c>
      <c r="N1356" s="10" t="s">
        <v>15</v>
      </c>
      <c r="O1356" s="10" t="s">
        <v>2057</v>
      </c>
      <c r="P1356" s="25" t="str">
        <f>IFERROR(
IF(OR(O1356="anulado",O1356="stand by"),CONCATENATE(O1356,": ",H1356),
IF(OR(YEAR(M1356)=2022,YEAR(M1356)=2023),CONCATENATE("Se activó en ",YEAR(M1356)),
IF(AND(OR(O1356="En proceso",O1356="facturando"),AND(J1356="-",M1356="")),"Por revisar",
IF(M1356="",IF(J1356="NUEVAS",CONCATENATE("Estado: ",O1356,", ",J1356),
IF(L1356=Meses!$A$3,"Por revisar",
IF(H1356="","Sin registro","En programación Frcst."))),"En programación")))),
"Error")</f>
        <v>En programación</v>
      </c>
      <c r="Q1356" s="9" t="str">
        <f t="shared" si="63"/>
        <v/>
      </c>
      <c r="R1356" s="25">
        <f>IF(P1356="En programación Frcst.",VLOOKUP(L1356,Meses!$A$1:$H$14,3+HLOOKUP(Cronograma!J1356,Meses!$D$1:$G$2,2,FALSE),FALSE),
IF(P1356="En programación",M1356,""))</f>
        <v>45400</v>
      </c>
      <c r="S1356" s="25" t="str">
        <f t="shared" si="65"/>
        <v>2024/4</v>
      </c>
      <c r="T1356" s="21">
        <f>IFERROR(
(VLOOKUP(MONTH(R1356),Meses!$B$3:$C$14,2,FALSE)-DAY(R1356))/VLOOKUP(MONTH(R1356),Meses!$B$3:$C$14,2,FALSE)*U1356,
"")</f>
        <v>1708</v>
      </c>
      <c r="U1356" s="22">
        <f t="shared" si="64"/>
        <v>4270</v>
      </c>
    </row>
    <row r="1357" spans="1:21" ht="78.599999999999994" hidden="1" thickBot="1" x14ac:dyDescent="0.6">
      <c r="A1357" s="10" t="s">
        <v>1692</v>
      </c>
      <c r="B1357" s="10" t="s">
        <v>1693</v>
      </c>
      <c r="C1357" s="12"/>
      <c r="D1357" s="10" t="s">
        <v>74</v>
      </c>
      <c r="E1357" s="10" t="s">
        <v>74</v>
      </c>
      <c r="F1357" s="10">
        <v>1605</v>
      </c>
      <c r="G1357" s="10" t="s">
        <v>15</v>
      </c>
      <c r="H1357" s="10" t="s">
        <v>2917</v>
      </c>
      <c r="I1357" s="10" t="s">
        <v>43</v>
      </c>
      <c r="J1357" s="10" t="s">
        <v>143</v>
      </c>
      <c r="K1357" s="10" t="s">
        <v>2895</v>
      </c>
      <c r="L1357" s="10" t="s">
        <v>2292</v>
      </c>
      <c r="M1357" s="12">
        <v>45400</v>
      </c>
      <c r="N1357" s="10" t="s">
        <v>15</v>
      </c>
      <c r="O1357" s="10" t="s">
        <v>2057</v>
      </c>
      <c r="P1357" s="25" t="str">
        <f>IFERROR(
IF(OR(O1357="anulado",O1357="stand by"),CONCATENATE(O1357,": ",H1357),
IF(OR(YEAR(M1357)=2022,YEAR(M1357)=2023),CONCATENATE("Se activó en ",YEAR(M1357)),
IF(AND(OR(O1357="En proceso",O1357="facturando"),AND(J1357="-",M1357="")),"Por revisar",
IF(M1357="",IF(J1357="NUEVAS",CONCATENATE("Estado: ",O1357,", ",J1357),
IF(L1357=Meses!$A$3,"Por revisar",
IF(H1357="","Sin registro","En programación Frcst."))),"En programación")))),
"Error")</f>
        <v>En programación</v>
      </c>
      <c r="Q1357" s="9" t="str">
        <f t="shared" si="63"/>
        <v/>
      </c>
      <c r="R1357" s="25">
        <f>IF(P1357="En programación Frcst.",VLOOKUP(L1357,Meses!$A$1:$H$14,3+HLOOKUP(Cronograma!J1357,Meses!$D$1:$G$2,2,FALSE),FALSE),
IF(P1357="En programación",M1357,""))</f>
        <v>45400</v>
      </c>
      <c r="S1357" s="25" t="str">
        <f t="shared" si="65"/>
        <v>2024/4</v>
      </c>
      <c r="T1357" s="21">
        <f>IFERROR(
(VLOOKUP(MONTH(R1357),Meses!$B$3:$C$14,2,FALSE)-DAY(R1357))/VLOOKUP(MONTH(R1357),Meses!$B$3:$C$14,2,FALSE)*U1357,
"")</f>
        <v>642</v>
      </c>
      <c r="U1357" s="22">
        <f t="shared" si="64"/>
        <v>1605</v>
      </c>
    </row>
    <row r="1358" spans="1:21" ht="78.599999999999994" hidden="1" thickBot="1" x14ac:dyDescent="0.6">
      <c r="A1358" s="10" t="s">
        <v>1692</v>
      </c>
      <c r="B1358" s="10" t="s">
        <v>1694</v>
      </c>
      <c r="C1358" s="12"/>
      <c r="D1358" s="10" t="s">
        <v>74</v>
      </c>
      <c r="E1358" s="10" t="s">
        <v>74</v>
      </c>
      <c r="F1358" s="10">
        <v>3449</v>
      </c>
      <c r="G1358" s="10" t="s">
        <v>15</v>
      </c>
      <c r="H1358" s="10" t="s">
        <v>2917</v>
      </c>
      <c r="I1358" s="10" t="s">
        <v>43</v>
      </c>
      <c r="J1358" s="10" t="s">
        <v>143</v>
      </c>
      <c r="K1358" s="10" t="s">
        <v>2895</v>
      </c>
      <c r="L1358" s="10" t="s">
        <v>2292</v>
      </c>
      <c r="M1358" s="12">
        <v>45400</v>
      </c>
      <c r="N1358" s="10" t="s">
        <v>15</v>
      </c>
      <c r="O1358" s="10" t="s">
        <v>2057</v>
      </c>
      <c r="P1358" s="25" t="str">
        <f>IFERROR(
IF(OR(O1358="anulado",O1358="stand by"),CONCATENATE(O1358,": ",H1358),
IF(OR(YEAR(M1358)=2022,YEAR(M1358)=2023),CONCATENATE("Se activó en ",YEAR(M1358)),
IF(AND(OR(O1358="En proceso",O1358="facturando"),AND(J1358="-",M1358="")),"Por revisar",
IF(M1358="",IF(J1358="NUEVAS",CONCATENATE("Estado: ",O1358,", ",J1358),
IF(L1358=Meses!$A$3,"Por revisar",
IF(H1358="","Sin registro","En programación Frcst."))),"En programación")))),
"Error")</f>
        <v>En programación</v>
      </c>
      <c r="Q1358" s="9" t="str">
        <f t="shared" si="63"/>
        <v/>
      </c>
      <c r="R1358" s="25">
        <f>IF(P1358="En programación Frcst.",VLOOKUP(L1358,Meses!$A$1:$H$14,3+HLOOKUP(Cronograma!J1358,Meses!$D$1:$G$2,2,FALSE),FALSE),
IF(P1358="En programación",M1358,""))</f>
        <v>45400</v>
      </c>
      <c r="S1358" s="25" t="str">
        <f t="shared" si="65"/>
        <v>2024/4</v>
      </c>
      <c r="T1358" s="21">
        <f>IFERROR(
(VLOOKUP(MONTH(R1358),Meses!$B$3:$C$14,2,FALSE)-DAY(R1358))/VLOOKUP(MONTH(R1358),Meses!$B$3:$C$14,2,FALSE)*U1358,
"")</f>
        <v>1379.6000000000001</v>
      </c>
      <c r="U1358" s="22">
        <f t="shared" si="64"/>
        <v>3449</v>
      </c>
    </row>
    <row r="1359" spans="1:21" ht="78.599999999999994" hidden="1" thickBot="1" x14ac:dyDescent="0.6">
      <c r="A1359" s="10" t="s">
        <v>1692</v>
      </c>
      <c r="B1359" s="10" t="s">
        <v>1695</v>
      </c>
      <c r="C1359" s="12"/>
      <c r="D1359" s="10" t="s">
        <v>74</v>
      </c>
      <c r="E1359" s="10" t="s">
        <v>74</v>
      </c>
      <c r="F1359" s="10">
        <v>4760</v>
      </c>
      <c r="G1359" s="10" t="s">
        <v>15</v>
      </c>
      <c r="H1359" s="10" t="s">
        <v>2917</v>
      </c>
      <c r="I1359" s="10" t="s">
        <v>43</v>
      </c>
      <c r="J1359" s="10" t="s">
        <v>143</v>
      </c>
      <c r="K1359" s="10" t="s">
        <v>2895</v>
      </c>
      <c r="L1359" s="10" t="s">
        <v>2292</v>
      </c>
      <c r="M1359" s="12">
        <v>45400</v>
      </c>
      <c r="N1359" s="10" t="s">
        <v>15</v>
      </c>
      <c r="O1359" s="10" t="s">
        <v>2057</v>
      </c>
      <c r="P1359" s="25" t="str">
        <f>IFERROR(
IF(OR(O1359="anulado",O1359="stand by"),CONCATENATE(O1359,": ",H1359),
IF(OR(YEAR(M1359)=2022,YEAR(M1359)=2023),CONCATENATE("Se activó en ",YEAR(M1359)),
IF(AND(OR(O1359="En proceso",O1359="facturando"),AND(J1359="-",M1359="")),"Por revisar",
IF(M1359="",IF(J1359="NUEVAS",CONCATENATE("Estado: ",O1359,", ",J1359),
IF(L1359=Meses!$A$3,"Por revisar",
IF(H1359="","Sin registro","En programación Frcst."))),"En programación")))),
"Error")</f>
        <v>En programación</v>
      </c>
      <c r="Q1359" s="9" t="str">
        <f t="shared" si="63"/>
        <v/>
      </c>
      <c r="R1359" s="25">
        <f>IF(P1359="En programación Frcst.",VLOOKUP(L1359,Meses!$A$1:$H$14,3+HLOOKUP(Cronograma!J1359,Meses!$D$1:$G$2,2,FALSE),FALSE),
IF(P1359="En programación",M1359,""))</f>
        <v>45400</v>
      </c>
      <c r="S1359" s="25" t="str">
        <f t="shared" si="65"/>
        <v>2024/4</v>
      </c>
      <c r="T1359" s="21">
        <f>IFERROR(
(VLOOKUP(MONTH(R1359),Meses!$B$3:$C$14,2,FALSE)-DAY(R1359))/VLOOKUP(MONTH(R1359),Meses!$B$3:$C$14,2,FALSE)*U1359,
"")</f>
        <v>1904</v>
      </c>
      <c r="U1359" s="22">
        <f t="shared" si="64"/>
        <v>4760</v>
      </c>
    </row>
    <row r="1360" spans="1:21" ht="78.599999999999994" hidden="1" thickBot="1" x14ac:dyDescent="0.6">
      <c r="A1360" s="10" t="s">
        <v>1692</v>
      </c>
      <c r="B1360" s="10" t="s">
        <v>1696</v>
      </c>
      <c r="C1360" s="12"/>
      <c r="D1360" s="10" t="s">
        <v>74</v>
      </c>
      <c r="E1360" s="10" t="s">
        <v>74</v>
      </c>
      <c r="F1360" s="10">
        <v>1</v>
      </c>
      <c r="G1360" s="10" t="s">
        <v>15</v>
      </c>
      <c r="H1360" s="10" t="s">
        <v>2917</v>
      </c>
      <c r="I1360" s="10" t="s">
        <v>43</v>
      </c>
      <c r="J1360" s="10" t="s">
        <v>143</v>
      </c>
      <c r="K1360" s="10" t="s">
        <v>2895</v>
      </c>
      <c r="L1360" s="10" t="s">
        <v>2292</v>
      </c>
      <c r="M1360" s="12">
        <v>45400</v>
      </c>
      <c r="N1360" s="10" t="s">
        <v>15</v>
      </c>
      <c r="O1360" s="10" t="s">
        <v>2057</v>
      </c>
      <c r="P1360" s="25" t="str">
        <f>IFERROR(
IF(OR(O1360="anulado",O1360="stand by"),CONCATENATE(O1360,": ",H1360),
IF(OR(YEAR(M1360)=2022,YEAR(M1360)=2023),CONCATENATE("Se activó en ",YEAR(M1360)),
IF(AND(OR(O1360="En proceso",O1360="facturando"),AND(J1360="-",M1360="")),"Por revisar",
IF(M1360="",IF(J1360="NUEVAS",CONCATENATE("Estado: ",O1360,", ",J1360),
IF(L1360=Meses!$A$3,"Por revisar",
IF(H1360="","Sin registro","En programación Frcst."))),"En programación")))),
"Error")</f>
        <v>En programación</v>
      </c>
      <c r="Q1360" s="9" t="str">
        <f t="shared" si="63"/>
        <v/>
      </c>
      <c r="R1360" s="25">
        <f>IF(P1360="En programación Frcst.",VLOOKUP(L1360,Meses!$A$1:$H$14,3+HLOOKUP(Cronograma!J1360,Meses!$D$1:$G$2,2,FALSE),FALSE),
IF(P1360="En programación",M1360,""))</f>
        <v>45400</v>
      </c>
      <c r="S1360" s="25" t="str">
        <f t="shared" si="65"/>
        <v>2024/4</v>
      </c>
      <c r="T1360" s="21">
        <f>IFERROR(
(VLOOKUP(MONTH(R1360),Meses!$B$3:$C$14,2,FALSE)-DAY(R1360))/VLOOKUP(MONTH(R1360),Meses!$B$3:$C$14,2,FALSE)*U1360,
"")</f>
        <v>0.4</v>
      </c>
      <c r="U1360" s="22">
        <f t="shared" si="64"/>
        <v>1</v>
      </c>
    </row>
    <row r="1361" spans="1:21" ht="78.599999999999994" hidden="1" thickBot="1" x14ac:dyDescent="0.6">
      <c r="A1361" s="10" t="s">
        <v>1692</v>
      </c>
      <c r="B1361" s="10" t="s">
        <v>1698</v>
      </c>
      <c r="C1361" s="12"/>
      <c r="D1361" s="10" t="s">
        <v>74</v>
      </c>
      <c r="E1361" s="10" t="s">
        <v>74</v>
      </c>
      <c r="F1361" s="10">
        <v>2035</v>
      </c>
      <c r="G1361" s="10" t="s">
        <v>15</v>
      </c>
      <c r="H1361" s="10" t="s">
        <v>2917</v>
      </c>
      <c r="I1361" s="10" t="s">
        <v>43</v>
      </c>
      <c r="J1361" s="10" t="s">
        <v>143</v>
      </c>
      <c r="K1361" s="10" t="s">
        <v>2895</v>
      </c>
      <c r="L1361" s="10" t="s">
        <v>2292</v>
      </c>
      <c r="M1361" s="12">
        <v>45400</v>
      </c>
      <c r="N1361" s="10" t="s">
        <v>15</v>
      </c>
      <c r="O1361" s="10" t="s">
        <v>2057</v>
      </c>
      <c r="P1361" s="25" t="str">
        <f>IFERROR(
IF(OR(O1361="anulado",O1361="stand by"),CONCATENATE(O1361,": ",H1361),
IF(OR(YEAR(M1361)=2022,YEAR(M1361)=2023),CONCATENATE("Se activó en ",YEAR(M1361)),
IF(AND(OR(O1361="En proceso",O1361="facturando"),AND(J1361="-",M1361="")),"Por revisar",
IF(M1361="",IF(J1361="NUEVAS",CONCATENATE("Estado: ",O1361,", ",J1361),
IF(L1361=Meses!$A$3,"Por revisar",
IF(H1361="","Sin registro","En programación Frcst."))),"En programación")))),
"Error")</f>
        <v>En programación</v>
      </c>
      <c r="Q1361" s="9" t="str">
        <f t="shared" si="63"/>
        <v/>
      </c>
      <c r="R1361" s="25">
        <f>IF(P1361="En programación Frcst.",VLOOKUP(L1361,Meses!$A$1:$H$14,3+HLOOKUP(Cronograma!J1361,Meses!$D$1:$G$2,2,FALSE),FALSE),
IF(P1361="En programación",M1361,""))</f>
        <v>45400</v>
      </c>
      <c r="S1361" s="25" t="str">
        <f t="shared" si="65"/>
        <v>2024/4</v>
      </c>
      <c r="T1361" s="21">
        <f>IFERROR(
(VLOOKUP(MONTH(R1361),Meses!$B$3:$C$14,2,FALSE)-DAY(R1361))/VLOOKUP(MONTH(R1361),Meses!$B$3:$C$14,2,FALSE)*U1361,
"")</f>
        <v>814</v>
      </c>
      <c r="U1361" s="22">
        <f t="shared" si="64"/>
        <v>2035</v>
      </c>
    </row>
    <row r="1362" spans="1:21" ht="78.599999999999994" hidden="1" thickBot="1" x14ac:dyDescent="0.6">
      <c r="A1362" s="10" t="s">
        <v>1692</v>
      </c>
      <c r="B1362" s="10" t="s">
        <v>1699</v>
      </c>
      <c r="C1362" s="12"/>
      <c r="D1362" s="10" t="s">
        <v>74</v>
      </c>
      <c r="E1362" s="10" t="s">
        <v>74</v>
      </c>
      <c r="F1362" s="10">
        <v>4930</v>
      </c>
      <c r="G1362" s="10" t="s">
        <v>15</v>
      </c>
      <c r="H1362" s="10" t="s">
        <v>2917</v>
      </c>
      <c r="I1362" s="10" t="s">
        <v>43</v>
      </c>
      <c r="J1362" s="10" t="s">
        <v>143</v>
      </c>
      <c r="K1362" s="10" t="s">
        <v>2895</v>
      </c>
      <c r="L1362" s="10" t="s">
        <v>2292</v>
      </c>
      <c r="M1362" s="12">
        <v>45400</v>
      </c>
      <c r="N1362" s="10" t="s">
        <v>15</v>
      </c>
      <c r="O1362" s="10" t="s">
        <v>2057</v>
      </c>
      <c r="P1362" s="25" t="str">
        <f>IFERROR(
IF(OR(O1362="anulado",O1362="stand by"),CONCATENATE(O1362,": ",H1362),
IF(OR(YEAR(M1362)=2022,YEAR(M1362)=2023),CONCATENATE("Se activó en ",YEAR(M1362)),
IF(AND(OR(O1362="En proceso",O1362="facturando"),AND(J1362="-",M1362="")),"Por revisar",
IF(M1362="",IF(J1362="NUEVAS",CONCATENATE("Estado: ",O1362,", ",J1362),
IF(L1362=Meses!$A$3,"Por revisar",
IF(H1362="","Sin registro","En programación Frcst."))),"En programación")))),
"Error")</f>
        <v>En programación</v>
      </c>
      <c r="Q1362" s="9" t="str">
        <f t="shared" si="63"/>
        <v/>
      </c>
      <c r="R1362" s="25">
        <f>IF(P1362="En programación Frcst.",VLOOKUP(L1362,Meses!$A$1:$H$14,3+HLOOKUP(Cronograma!J1362,Meses!$D$1:$G$2,2,FALSE),FALSE),
IF(P1362="En programación",M1362,""))</f>
        <v>45400</v>
      </c>
      <c r="S1362" s="25" t="str">
        <f t="shared" si="65"/>
        <v>2024/4</v>
      </c>
      <c r="T1362" s="21">
        <f>IFERROR(
(VLOOKUP(MONTH(R1362),Meses!$B$3:$C$14,2,FALSE)-DAY(R1362))/VLOOKUP(MONTH(R1362),Meses!$B$3:$C$14,2,FALSE)*U1362,
"")</f>
        <v>1972</v>
      </c>
      <c r="U1362" s="22">
        <f t="shared" si="64"/>
        <v>4930</v>
      </c>
    </row>
    <row r="1363" spans="1:21" ht="47.4" hidden="1" thickBot="1" x14ac:dyDescent="0.6">
      <c r="A1363" s="10" t="s">
        <v>1700</v>
      </c>
      <c r="B1363" s="10" t="s">
        <v>1701</v>
      </c>
      <c r="C1363" s="12"/>
      <c r="D1363" s="10" t="s">
        <v>1207</v>
      </c>
      <c r="E1363" s="10" t="s">
        <v>14</v>
      </c>
      <c r="F1363" s="10">
        <v>8408</v>
      </c>
      <c r="G1363" s="10" t="s">
        <v>15</v>
      </c>
      <c r="H1363" s="10" t="s">
        <v>140</v>
      </c>
      <c r="I1363" s="10" t="s">
        <v>66</v>
      </c>
      <c r="J1363" s="10" t="s">
        <v>19</v>
      </c>
      <c r="K1363" s="10" t="s">
        <v>19</v>
      </c>
      <c r="L1363" s="10" t="s">
        <v>19</v>
      </c>
      <c r="M1363" s="12"/>
      <c r="N1363" s="10" t="s">
        <v>15</v>
      </c>
      <c r="O1363" s="10" t="s">
        <v>2056</v>
      </c>
      <c r="P1363" s="25" t="str">
        <f>IFERROR(
IF(OR(O1363="anulado",O1363="stand by"),CONCATENATE(O1363,": ",H1363),
IF(OR(YEAR(M1363)=2022,YEAR(M1363)=2023),CONCATENATE("Se activó en ",YEAR(M1363)),
IF(AND(OR(O1363="En proceso",O1363="facturando"),AND(J1363="-",M1363="")),"Por revisar",
IF(M1363="",IF(J1363="NUEVAS",CONCATENATE("Estado: ",O1363,", ",J1363),
IF(L1363=Meses!$A$3,"Por revisar",
IF(H1363="","Sin registro","En programación Frcst."))),"En programación")))),
"Error")</f>
        <v>anulado: Desistido</v>
      </c>
      <c r="Q1363" s="9" t="str">
        <f t="shared" si="63"/>
        <v/>
      </c>
      <c r="R1363" s="25" t="str">
        <f>IF(P1363="En programación Frcst.",VLOOKUP(L1363,Meses!$A$1:$H$14,3+HLOOKUP(Cronograma!J1363,Meses!$D$1:$G$2,2,FALSE),FALSE),
IF(P1363="En programación",M1363,""))</f>
        <v/>
      </c>
      <c r="S1363" s="25" t="str">
        <f t="shared" si="65"/>
        <v/>
      </c>
      <c r="T1363" s="21" t="str">
        <f>IFERROR(
(VLOOKUP(MONTH(R1363),Meses!$B$3:$C$14,2,FALSE)-DAY(R1363))/VLOOKUP(MONTH(R1363),Meses!$B$3:$C$14,2,FALSE)*U1363,
"")</f>
        <v/>
      </c>
      <c r="U1363" s="22">
        <f t="shared" si="64"/>
        <v>8408</v>
      </c>
    </row>
    <row r="1364" spans="1:21" ht="47.4" hidden="1" thickBot="1" x14ac:dyDescent="0.6">
      <c r="A1364" s="10" t="s">
        <v>1700</v>
      </c>
      <c r="B1364" s="10" t="s">
        <v>1702</v>
      </c>
      <c r="C1364" s="12"/>
      <c r="D1364" s="10" t="s">
        <v>1207</v>
      </c>
      <c r="E1364" s="10" t="s">
        <v>14</v>
      </c>
      <c r="F1364" s="10">
        <v>12116</v>
      </c>
      <c r="G1364" s="10" t="s">
        <v>15</v>
      </c>
      <c r="H1364" s="10" t="s">
        <v>140</v>
      </c>
      <c r="I1364" s="10" t="s">
        <v>66</v>
      </c>
      <c r="J1364" s="10" t="s">
        <v>19</v>
      </c>
      <c r="K1364" s="10" t="s">
        <v>19</v>
      </c>
      <c r="L1364" s="10" t="s">
        <v>19</v>
      </c>
      <c r="M1364" s="12"/>
      <c r="N1364" s="10" t="s">
        <v>15</v>
      </c>
      <c r="O1364" s="10" t="s">
        <v>2056</v>
      </c>
      <c r="P1364" s="25" t="str">
        <f>IFERROR(
IF(OR(O1364="anulado",O1364="stand by"),CONCATENATE(O1364,": ",H1364),
IF(OR(YEAR(M1364)=2022,YEAR(M1364)=2023),CONCATENATE("Se activó en ",YEAR(M1364)),
IF(AND(OR(O1364="En proceso",O1364="facturando"),AND(J1364="-",M1364="")),"Por revisar",
IF(M1364="",IF(J1364="NUEVAS",CONCATENATE("Estado: ",O1364,", ",J1364),
IF(L1364=Meses!$A$3,"Por revisar",
IF(H1364="","Sin registro","En programación Frcst."))),"En programación")))),
"Error")</f>
        <v>anulado: Desistido</v>
      </c>
      <c r="Q1364" s="9" t="str">
        <f t="shared" si="63"/>
        <v/>
      </c>
      <c r="R1364" s="25" t="str">
        <f>IF(P1364="En programación Frcst.",VLOOKUP(L1364,Meses!$A$1:$H$14,3+HLOOKUP(Cronograma!J1364,Meses!$D$1:$G$2,2,FALSE),FALSE),
IF(P1364="En programación",M1364,""))</f>
        <v/>
      </c>
      <c r="S1364" s="25" t="str">
        <f t="shared" si="65"/>
        <v/>
      </c>
      <c r="T1364" s="21" t="str">
        <f>IFERROR(
(VLOOKUP(MONTH(R1364),Meses!$B$3:$C$14,2,FALSE)-DAY(R1364))/VLOOKUP(MONTH(R1364),Meses!$B$3:$C$14,2,FALSE)*U1364,
"")</f>
        <v/>
      </c>
      <c r="U1364" s="22">
        <f t="shared" si="64"/>
        <v>12116</v>
      </c>
    </row>
    <row r="1365" spans="1:21" ht="31.8" hidden="1" thickBot="1" x14ac:dyDescent="0.6">
      <c r="A1365" s="10" t="s">
        <v>1703</v>
      </c>
      <c r="B1365" s="10" t="s">
        <v>1704</v>
      </c>
      <c r="C1365" s="12"/>
      <c r="D1365" s="10" t="s">
        <v>14</v>
      </c>
      <c r="E1365" s="10" t="s">
        <v>14</v>
      </c>
      <c r="F1365" s="10">
        <v>32198</v>
      </c>
      <c r="G1365" s="10" t="s">
        <v>20</v>
      </c>
      <c r="H1365" s="10" t="s">
        <v>140</v>
      </c>
      <c r="I1365" s="10" t="s">
        <v>18</v>
      </c>
      <c r="J1365" s="10" t="s">
        <v>19</v>
      </c>
      <c r="K1365" s="10" t="s">
        <v>19</v>
      </c>
      <c r="L1365" s="10" t="s">
        <v>19</v>
      </c>
      <c r="M1365" s="12"/>
      <c r="N1365" s="10" t="s">
        <v>15</v>
      </c>
      <c r="O1365" s="10" t="s">
        <v>2056</v>
      </c>
      <c r="P1365" s="25" t="str">
        <f>IFERROR(
IF(OR(O1365="anulado",O1365="stand by"),CONCATENATE(O1365,": ",H1365),
IF(OR(YEAR(M1365)=2022,YEAR(M1365)=2023),CONCATENATE("Se activó en ",YEAR(M1365)),
IF(AND(OR(O1365="En proceso",O1365="facturando"),AND(J1365="-",M1365="")),"Por revisar",
IF(M1365="",IF(J1365="NUEVAS",CONCATENATE("Estado: ",O1365,", ",J1365),
IF(L1365=Meses!$A$3,"Por revisar",
IF(H1365="","Sin registro","En programación Frcst."))),"En programación")))),
"Error")</f>
        <v>anulado: Desistido</v>
      </c>
      <c r="Q1365" s="9" t="str">
        <f t="shared" si="63"/>
        <v/>
      </c>
      <c r="R1365" s="25" t="str">
        <f>IF(P1365="En programación Frcst.",VLOOKUP(L1365,Meses!$A$1:$H$14,3+HLOOKUP(Cronograma!J1365,Meses!$D$1:$G$2,2,FALSE),FALSE),
IF(P1365="En programación",M1365,""))</f>
        <v/>
      </c>
      <c r="S1365" s="25" t="str">
        <f t="shared" si="65"/>
        <v/>
      </c>
      <c r="T1365" s="21" t="str">
        <f>IFERROR(
(VLOOKUP(MONTH(R1365),Meses!$B$3:$C$14,2,FALSE)-DAY(R1365))/VLOOKUP(MONTH(R1365),Meses!$B$3:$C$14,2,FALSE)*U1365,
"")</f>
        <v/>
      </c>
      <c r="U1365" s="22">
        <f t="shared" si="64"/>
        <v>32198</v>
      </c>
    </row>
    <row r="1366" spans="1:21" ht="31.8" hidden="1" thickBot="1" x14ac:dyDescent="0.6">
      <c r="A1366" s="10" t="s">
        <v>1705</v>
      </c>
      <c r="B1366" s="10" t="s">
        <v>1706</v>
      </c>
      <c r="C1366" s="12">
        <v>45351</v>
      </c>
      <c r="D1366" s="10" t="s">
        <v>14</v>
      </c>
      <c r="E1366" s="10" t="s">
        <v>14</v>
      </c>
      <c r="F1366" s="10">
        <v>4499</v>
      </c>
      <c r="G1366" s="10" t="s">
        <v>15</v>
      </c>
      <c r="H1366" s="10" t="s">
        <v>17</v>
      </c>
      <c r="I1366" s="10" t="s">
        <v>18</v>
      </c>
      <c r="J1366" s="10" t="s">
        <v>292</v>
      </c>
      <c r="K1366" s="10" t="s">
        <v>1654</v>
      </c>
      <c r="L1366" s="10" t="s">
        <v>748</v>
      </c>
      <c r="M1366" s="12"/>
      <c r="N1366" s="10" t="s">
        <v>15</v>
      </c>
      <c r="O1366" s="10" t="s">
        <v>2054</v>
      </c>
      <c r="P1366" s="25" t="str">
        <f>IFERROR(
IF(OR(O1366="anulado",O1366="stand by"),CONCATENATE(O1366,": ",H1366),
IF(OR(YEAR(M1366)=2022,YEAR(M1366)=2023),CONCATENATE("Se activó en ",YEAR(M1366)),
IF(AND(OR(O1366="En proceso",O1366="facturando"),AND(J1366="-",M1366="")),"Por revisar",
IF(M1366="",IF(J1366="NUEVAS",CONCATENATE("Estado: ",O1366,", ",J1366),
IF(L1366=Meses!$A$3,"Por revisar",
IF(H1366="","Sin registro","En programación Frcst."))),"En programación")))),
"Error")</f>
        <v>En programación Frcst.</v>
      </c>
      <c r="Q1366" s="9" t="str">
        <f t="shared" si="63"/>
        <v/>
      </c>
      <c r="R1366" s="25">
        <f>IF(P1366="En programación Frcst.",VLOOKUP(L1366,Meses!$A$1:$H$14,3+HLOOKUP(Cronograma!J1366,Meses!$D$1:$G$2,2,FALSE),FALSE),
IF(P1366="En programación",M1366,""))</f>
        <v>45344</v>
      </c>
      <c r="S1366" s="25" t="str">
        <f t="shared" si="65"/>
        <v>2024/2</v>
      </c>
      <c r="T1366" s="21">
        <f>IFERROR(
(VLOOKUP(MONTH(R1366),Meses!$B$3:$C$14,2,FALSE)-DAY(R1366))/VLOOKUP(MONTH(R1366),Meses!$B$3:$C$14,2,FALSE)*U1366,
"")</f>
        <v>1085.9655172413793</v>
      </c>
      <c r="U1366" s="22">
        <f t="shared" si="64"/>
        <v>4499</v>
      </c>
    </row>
    <row r="1367" spans="1:21" ht="31.8" hidden="1" thickBot="1" x14ac:dyDescent="0.6">
      <c r="A1367" s="10" t="s">
        <v>1705</v>
      </c>
      <c r="B1367" s="10" t="s">
        <v>1707</v>
      </c>
      <c r="C1367" s="12">
        <v>45351</v>
      </c>
      <c r="D1367" s="10" t="s">
        <v>14</v>
      </c>
      <c r="E1367" s="10" t="s">
        <v>14</v>
      </c>
      <c r="F1367" s="10">
        <v>380</v>
      </c>
      <c r="G1367" s="10" t="s">
        <v>15</v>
      </c>
      <c r="H1367" s="10" t="s">
        <v>17</v>
      </c>
      <c r="I1367" s="10" t="s">
        <v>18</v>
      </c>
      <c r="J1367" s="10" t="s">
        <v>292</v>
      </c>
      <c r="K1367" s="10" t="s">
        <v>1654</v>
      </c>
      <c r="L1367" s="10" t="s">
        <v>748</v>
      </c>
      <c r="M1367" s="12"/>
      <c r="N1367" s="10" t="s">
        <v>15</v>
      </c>
      <c r="O1367" s="10" t="s">
        <v>2054</v>
      </c>
      <c r="P1367" s="25" t="str">
        <f>IFERROR(
IF(OR(O1367="anulado",O1367="stand by"),CONCATENATE(O1367,": ",H1367),
IF(OR(YEAR(M1367)=2022,YEAR(M1367)=2023),CONCATENATE("Se activó en ",YEAR(M1367)),
IF(AND(OR(O1367="En proceso",O1367="facturando"),AND(J1367="-",M1367="")),"Por revisar",
IF(M1367="",IF(J1367="NUEVAS",CONCATENATE("Estado: ",O1367,", ",J1367),
IF(L1367=Meses!$A$3,"Por revisar",
IF(H1367="","Sin registro","En programación Frcst."))),"En programación")))),
"Error")</f>
        <v>En programación Frcst.</v>
      </c>
      <c r="Q1367" s="9" t="str">
        <f t="shared" si="63"/>
        <v/>
      </c>
      <c r="R1367" s="25">
        <f>IF(P1367="En programación Frcst.",VLOOKUP(L1367,Meses!$A$1:$H$14,3+HLOOKUP(Cronograma!J1367,Meses!$D$1:$G$2,2,FALSE),FALSE),
IF(P1367="En programación",M1367,""))</f>
        <v>45344</v>
      </c>
      <c r="S1367" s="25" t="str">
        <f t="shared" si="65"/>
        <v>2024/2</v>
      </c>
      <c r="T1367" s="21">
        <f>IFERROR(
(VLOOKUP(MONTH(R1367),Meses!$B$3:$C$14,2,FALSE)-DAY(R1367))/VLOOKUP(MONTH(R1367),Meses!$B$3:$C$14,2,FALSE)*U1367,
"")</f>
        <v>91.724137931034491</v>
      </c>
      <c r="U1367" s="22">
        <f t="shared" si="64"/>
        <v>380</v>
      </c>
    </row>
    <row r="1368" spans="1:21" ht="47.4" hidden="1" thickBot="1" x14ac:dyDescent="0.6">
      <c r="A1368" s="10" t="s">
        <v>1708</v>
      </c>
      <c r="B1368" s="10" t="s">
        <v>1709</v>
      </c>
      <c r="C1368" s="12"/>
      <c r="D1368" s="10" t="s">
        <v>1207</v>
      </c>
      <c r="E1368" s="10" t="s">
        <v>14</v>
      </c>
      <c r="F1368" s="10">
        <v>54360</v>
      </c>
      <c r="G1368" s="10" t="s">
        <v>15</v>
      </c>
      <c r="H1368" s="10" t="s">
        <v>2917</v>
      </c>
      <c r="I1368" s="10" t="s">
        <v>66</v>
      </c>
      <c r="J1368" s="10" t="s">
        <v>292</v>
      </c>
      <c r="K1368" s="10" t="s">
        <v>1697</v>
      </c>
      <c r="L1368" s="10" t="s">
        <v>1120</v>
      </c>
      <c r="M1368" s="12">
        <v>45379</v>
      </c>
      <c r="N1368" s="10" t="s">
        <v>15</v>
      </c>
      <c r="O1368" s="10" t="s">
        <v>2057</v>
      </c>
      <c r="P1368" s="25" t="str">
        <f>IFERROR(
IF(OR(O1368="anulado",O1368="stand by"),CONCATENATE(O1368,": ",H1368),
IF(OR(YEAR(M1368)=2022,YEAR(M1368)=2023),CONCATENATE("Se activó en ",YEAR(M1368)),
IF(AND(OR(O1368="En proceso",O1368="facturando"),AND(J1368="-",M1368="")),"Por revisar",
IF(M1368="",IF(J1368="NUEVAS",CONCATENATE("Estado: ",O1368,", ",J1368),
IF(L1368=Meses!$A$3,"Por revisar",
IF(H1368="","Sin registro","En programación Frcst."))),"En programación")))),
"Error")</f>
        <v>En programación</v>
      </c>
      <c r="Q1368" s="9" t="str">
        <f t="shared" si="63"/>
        <v/>
      </c>
      <c r="R1368" s="25">
        <f>IF(P1368="En programación Frcst.",VLOOKUP(L1368,Meses!$A$1:$H$14,3+HLOOKUP(Cronograma!J1368,Meses!$D$1:$G$2,2,FALSE),FALSE),
IF(P1368="En programación",M1368,""))</f>
        <v>45379</v>
      </c>
      <c r="S1368" s="25" t="str">
        <f t="shared" si="65"/>
        <v>2024/3</v>
      </c>
      <c r="T1368" s="21">
        <f>IFERROR(
(VLOOKUP(MONTH(R1368),Meses!$B$3:$C$14,2,FALSE)-DAY(R1368))/VLOOKUP(MONTH(R1368),Meses!$B$3:$C$14,2,FALSE)*U1368,
"")</f>
        <v>5260.645161290322</v>
      </c>
      <c r="U1368" s="22">
        <f t="shared" si="64"/>
        <v>54360</v>
      </c>
    </row>
    <row r="1369" spans="1:21" ht="32.4" hidden="1" thickBot="1" x14ac:dyDescent="0.6">
      <c r="A1369" s="10" t="s">
        <v>1231</v>
      </c>
      <c r="B1369" s="10" t="s">
        <v>1710</v>
      </c>
      <c r="C1369" s="12">
        <v>45281</v>
      </c>
      <c r="D1369" s="10" t="s">
        <v>1249</v>
      </c>
      <c r="E1369" s="10" t="s">
        <v>14</v>
      </c>
      <c r="F1369" s="10">
        <v>13381</v>
      </c>
      <c r="G1369" s="10" t="s">
        <v>15</v>
      </c>
      <c r="H1369" s="10" t="s">
        <v>17</v>
      </c>
      <c r="I1369" s="10" t="s">
        <v>66</v>
      </c>
      <c r="J1369" s="10" t="s">
        <v>292</v>
      </c>
      <c r="K1369" s="10" t="s">
        <v>945</v>
      </c>
      <c r="L1369" s="10" t="s">
        <v>145</v>
      </c>
      <c r="M1369" s="12"/>
      <c r="N1369" s="10" t="s">
        <v>15</v>
      </c>
      <c r="O1369" s="10" t="s">
        <v>2054</v>
      </c>
      <c r="P1369" s="25" t="str">
        <f>IFERROR(
IF(OR(O1369="anulado",O1369="stand by"),CONCATENATE(O1369,": ",H1369),
IF(OR(YEAR(M1369)=2022,YEAR(M1369)=2023),CONCATENATE("Se activó en ",YEAR(M1369)),
IF(AND(OR(O1369="En proceso",O1369="facturando"),AND(J1369="-",M1369="")),"Por revisar",
IF(M1369="",IF(J1369="NUEVAS",CONCATENATE("Estado: ",O1369,", ",J1369),
IF(L1369=Meses!$A$3,"Por revisar",
IF(H1369="","Sin registro","En programación Frcst."))),"En programación")))),
"Error")</f>
        <v>Por revisar</v>
      </c>
      <c r="Q1369" s="9" t="str">
        <f t="shared" si="63"/>
        <v>programación de act. SI, estado: Facturando, Comercializador: PEESA, Etapa: Instalado y Activado</v>
      </c>
      <c r="R1369" s="25" t="str">
        <f>IF(P1369="En programación Frcst.",VLOOKUP(L1369,Meses!$A$1:$H$14,3+HLOOKUP(Cronograma!J1369,Meses!$D$1:$G$2,2,FALSE),FALSE),
IF(P1369="En programación",M1369,""))</f>
        <v/>
      </c>
      <c r="S1369" s="25" t="str">
        <f t="shared" si="65"/>
        <v/>
      </c>
      <c r="T1369" s="21" t="str">
        <f>IFERROR(
(VLOOKUP(MONTH(R1369),Meses!$B$3:$C$14,2,FALSE)-DAY(R1369))/VLOOKUP(MONTH(R1369),Meses!$B$3:$C$14,2,FALSE)*U1369,
"")</f>
        <v/>
      </c>
      <c r="U1369" s="22">
        <f t="shared" si="64"/>
        <v>13381</v>
      </c>
    </row>
    <row r="1370" spans="1:21" ht="47.4" hidden="1" thickBot="1" x14ac:dyDescent="0.6">
      <c r="A1370" s="10" t="s">
        <v>1711</v>
      </c>
      <c r="B1370" s="10" t="s">
        <v>1712</v>
      </c>
      <c r="C1370" s="12">
        <v>45295</v>
      </c>
      <c r="D1370" s="10" t="s">
        <v>654</v>
      </c>
      <c r="E1370" s="10" t="s">
        <v>14</v>
      </c>
      <c r="F1370" s="10">
        <v>19492</v>
      </c>
      <c r="G1370" s="10" t="s">
        <v>15</v>
      </c>
      <c r="H1370" s="10" t="s">
        <v>17</v>
      </c>
      <c r="I1370" s="10" t="s">
        <v>66</v>
      </c>
      <c r="J1370" s="10" t="s">
        <v>292</v>
      </c>
      <c r="K1370" s="10" t="s">
        <v>945</v>
      </c>
      <c r="L1370" s="10" t="s">
        <v>145</v>
      </c>
      <c r="M1370" s="12"/>
      <c r="N1370" s="10" t="s">
        <v>15</v>
      </c>
      <c r="O1370" s="10" t="s">
        <v>2054</v>
      </c>
      <c r="P1370" s="25" t="str">
        <f>IFERROR(
IF(OR(O1370="anulado",O1370="stand by"),CONCATENATE(O1370,": ",H1370),
IF(OR(YEAR(M1370)=2022,YEAR(M1370)=2023),CONCATENATE("Se activó en ",YEAR(M1370)),
IF(AND(OR(O1370="En proceso",O1370="facturando"),AND(J1370="-",M1370="")),"Por revisar",
IF(M1370="",IF(J1370="NUEVAS",CONCATENATE("Estado: ",O1370,", ",J1370),
IF(L1370=Meses!$A$3,"Por revisar",
IF(H1370="","Sin registro","En programación Frcst."))),"En programación")))),
"Error")</f>
        <v>Por revisar</v>
      </c>
      <c r="Q1370" s="9" t="str">
        <f t="shared" si="63"/>
        <v>programación de act. SI, estado: Facturando, Comercializador: QI ENERGY, Etapa: Instalado y Activado</v>
      </c>
      <c r="R1370" s="25" t="str">
        <f>IF(P1370="En programación Frcst.",VLOOKUP(L1370,Meses!$A$1:$H$14,3+HLOOKUP(Cronograma!J1370,Meses!$D$1:$G$2,2,FALSE),FALSE),
IF(P1370="En programación",M1370,""))</f>
        <v/>
      </c>
      <c r="S1370" s="25" t="str">
        <f t="shared" si="65"/>
        <v/>
      </c>
      <c r="T1370" s="21" t="str">
        <f>IFERROR(
(VLOOKUP(MONTH(R1370),Meses!$B$3:$C$14,2,FALSE)-DAY(R1370))/VLOOKUP(MONTH(R1370),Meses!$B$3:$C$14,2,FALSE)*U1370,
"")</f>
        <v/>
      </c>
      <c r="U1370" s="22">
        <f t="shared" si="64"/>
        <v>19492</v>
      </c>
    </row>
    <row r="1371" spans="1:21" ht="47.4" hidden="1" thickBot="1" x14ac:dyDescent="0.6">
      <c r="A1371" s="10" t="s">
        <v>1713</v>
      </c>
      <c r="B1371" s="10" t="s">
        <v>1714</v>
      </c>
      <c r="C1371" s="12">
        <v>45295</v>
      </c>
      <c r="D1371" s="10" t="s">
        <v>654</v>
      </c>
      <c r="E1371" s="10" t="s">
        <v>14</v>
      </c>
      <c r="F1371" s="10">
        <v>5814</v>
      </c>
      <c r="G1371" s="10" t="s">
        <v>15</v>
      </c>
      <c r="H1371" s="10" t="s">
        <v>17</v>
      </c>
      <c r="I1371" s="10" t="s">
        <v>66</v>
      </c>
      <c r="J1371" s="10" t="s">
        <v>292</v>
      </c>
      <c r="K1371" s="10" t="s">
        <v>945</v>
      </c>
      <c r="L1371" s="10" t="s">
        <v>145</v>
      </c>
      <c r="M1371" s="12"/>
      <c r="N1371" s="10" t="s">
        <v>15</v>
      </c>
      <c r="O1371" s="10" t="s">
        <v>2054</v>
      </c>
      <c r="P1371" s="25" t="str">
        <f>IFERROR(
IF(OR(O1371="anulado",O1371="stand by"),CONCATENATE(O1371,": ",H1371),
IF(OR(YEAR(M1371)=2022,YEAR(M1371)=2023),CONCATENATE("Se activó en ",YEAR(M1371)),
IF(AND(OR(O1371="En proceso",O1371="facturando"),AND(J1371="-",M1371="")),"Por revisar",
IF(M1371="",IF(J1371="NUEVAS",CONCATENATE("Estado: ",O1371,", ",J1371),
IF(L1371=Meses!$A$3,"Por revisar",
IF(H1371="","Sin registro","En programación Frcst."))),"En programación")))),
"Error")</f>
        <v>Por revisar</v>
      </c>
      <c r="Q1371" s="9" t="str">
        <f t="shared" si="63"/>
        <v>programación de act. SI, estado: Facturando, Comercializador: QI ENERGY, Etapa: Instalado y Activado</v>
      </c>
      <c r="R1371" s="25" t="str">
        <f>IF(P1371="En programación Frcst.",VLOOKUP(L1371,Meses!$A$1:$H$14,3+HLOOKUP(Cronograma!J1371,Meses!$D$1:$G$2,2,FALSE),FALSE),
IF(P1371="En programación",M1371,""))</f>
        <v/>
      </c>
      <c r="S1371" s="25" t="str">
        <f t="shared" si="65"/>
        <v/>
      </c>
      <c r="T1371" s="21" t="str">
        <f>IFERROR(
(VLOOKUP(MONTH(R1371),Meses!$B$3:$C$14,2,FALSE)-DAY(R1371))/VLOOKUP(MONTH(R1371),Meses!$B$3:$C$14,2,FALSE)*U1371,
"")</f>
        <v/>
      </c>
      <c r="U1371" s="22">
        <f t="shared" si="64"/>
        <v>5814</v>
      </c>
    </row>
    <row r="1372" spans="1:21" ht="31.8" hidden="1" thickBot="1" x14ac:dyDescent="0.6">
      <c r="A1372" s="10" t="s">
        <v>1715</v>
      </c>
      <c r="B1372" s="10" t="s">
        <v>1716</v>
      </c>
      <c r="C1372" s="12">
        <v>45292</v>
      </c>
      <c r="D1372" s="10" t="s">
        <v>289</v>
      </c>
      <c r="E1372" s="10" t="s">
        <v>14</v>
      </c>
      <c r="F1372" s="10">
        <v>253173</v>
      </c>
      <c r="G1372" s="10" t="s">
        <v>20</v>
      </c>
      <c r="H1372" s="10" t="s">
        <v>17</v>
      </c>
      <c r="I1372" s="10" t="s">
        <v>66</v>
      </c>
      <c r="J1372" s="10" t="s">
        <v>282</v>
      </c>
      <c r="K1372" s="10" t="s">
        <v>283</v>
      </c>
      <c r="L1372" s="10" t="s">
        <v>279</v>
      </c>
      <c r="M1372" s="12"/>
      <c r="N1372" s="10" t="s">
        <v>15</v>
      </c>
      <c r="O1372" s="10" t="s">
        <v>2054</v>
      </c>
      <c r="P1372" s="25" t="str">
        <f>IFERROR(
IF(OR(O1372="anulado",O1372="stand by"),CONCATENATE(O1372,": ",H1372),
IF(OR(YEAR(M1372)=2022,YEAR(M1372)=2023),CONCATENATE("Se activó en ",YEAR(M1372)),
IF(AND(OR(O1372="En proceso",O1372="facturando"),AND(J1372="-",M1372="")),"Por revisar",
IF(M1372="",IF(J1372="NUEVAS",CONCATENATE("Estado: ",O1372,", ",J1372),
IF(L1372=Meses!$A$3,"Por revisar",
IF(H1372="","Sin registro","En programación Frcst."))),"En programación")))),
"Error")</f>
        <v>En programación Frcst.</v>
      </c>
      <c r="Q1372" s="9" t="str">
        <f t="shared" si="63"/>
        <v/>
      </c>
      <c r="R1372" s="25">
        <f>IF(P1372="En programación Frcst.",VLOOKUP(L1372,Meses!$A$1:$H$14,3+HLOOKUP(Cronograma!J1372,Meses!$D$1:$G$2,2,FALSE),FALSE),
IF(P1372="En programación",M1372,""))</f>
        <v>45295</v>
      </c>
      <c r="S1372" s="25" t="str">
        <f t="shared" si="65"/>
        <v>2024/1</v>
      </c>
      <c r="T1372" s="21">
        <f>IFERROR(
(VLOOKUP(MONTH(R1372),Meses!$B$3:$C$14,2,FALSE)-DAY(R1372))/VLOOKUP(MONTH(R1372),Meses!$B$3:$C$14,2,FALSE)*U1372,
"")</f>
        <v>220505.51612903227</v>
      </c>
      <c r="U1372" s="22">
        <f t="shared" si="64"/>
        <v>253173</v>
      </c>
    </row>
    <row r="1373" spans="1:21" ht="47.4" hidden="1" thickBot="1" x14ac:dyDescent="0.6">
      <c r="A1373" s="10" t="s">
        <v>1717</v>
      </c>
      <c r="B1373" s="10" t="s">
        <v>1718</v>
      </c>
      <c r="C1373" s="12"/>
      <c r="D1373" s="10" t="s">
        <v>74</v>
      </c>
      <c r="E1373" s="10" t="s">
        <v>74</v>
      </c>
      <c r="F1373" s="10">
        <v>11277</v>
      </c>
      <c r="G1373" s="10" t="s">
        <v>15</v>
      </c>
      <c r="H1373" s="10" t="s">
        <v>1050</v>
      </c>
      <c r="I1373" s="10" t="s">
        <v>43</v>
      </c>
      <c r="J1373" s="10" t="s">
        <v>143</v>
      </c>
      <c r="K1373" s="10" t="s">
        <v>2895</v>
      </c>
      <c r="L1373" s="10" t="s">
        <v>2292</v>
      </c>
      <c r="M1373" s="12">
        <v>45400</v>
      </c>
      <c r="N1373" s="10" t="s">
        <v>15</v>
      </c>
      <c r="O1373" s="10" t="s">
        <v>2057</v>
      </c>
      <c r="P1373" s="25" t="str">
        <f>IFERROR(
IF(OR(O1373="anulado",O1373="stand by"),CONCATENATE(O1373,": ",H1373),
IF(OR(YEAR(M1373)=2022,YEAR(M1373)=2023),CONCATENATE("Se activó en ",YEAR(M1373)),
IF(AND(OR(O1373="En proceso",O1373="facturando"),AND(J1373="-",M1373="")),"Por revisar",
IF(M1373="",IF(J1373="NUEVAS",CONCATENATE("Estado: ",O1373,", ",J1373),
IF(L1373=Meses!$A$3,"Por revisar",
IF(H1373="","Sin registro","En programación Frcst."))),"En programación")))),
"Error")</f>
        <v>En programación</v>
      </c>
      <c r="Q1373" s="9" t="str">
        <f t="shared" si="63"/>
        <v/>
      </c>
      <c r="R1373" s="25">
        <f>IF(P1373="En programación Frcst.",VLOOKUP(L1373,Meses!$A$1:$H$14,3+HLOOKUP(Cronograma!J1373,Meses!$D$1:$G$2,2,FALSE),FALSE),
IF(P1373="En programación",M1373,""))</f>
        <v>45400</v>
      </c>
      <c r="S1373" s="25" t="str">
        <f t="shared" si="65"/>
        <v>2024/4</v>
      </c>
      <c r="T1373" s="21">
        <f>IFERROR(
(VLOOKUP(MONTH(R1373),Meses!$B$3:$C$14,2,FALSE)-DAY(R1373))/VLOOKUP(MONTH(R1373),Meses!$B$3:$C$14,2,FALSE)*U1373,
"")</f>
        <v>4510.8</v>
      </c>
      <c r="U1373" s="22">
        <f t="shared" si="64"/>
        <v>11277</v>
      </c>
    </row>
    <row r="1374" spans="1:21" ht="31.8" hidden="1" thickBot="1" x14ac:dyDescent="0.6">
      <c r="A1374" s="10" t="s">
        <v>2412</v>
      </c>
      <c r="B1374" s="10" t="s">
        <v>1719</v>
      </c>
      <c r="C1374" s="12"/>
      <c r="D1374" s="10" t="s">
        <v>74</v>
      </c>
      <c r="E1374" s="10" t="s">
        <v>74</v>
      </c>
      <c r="F1374" s="10">
        <v>2404</v>
      </c>
      <c r="G1374" s="10" t="s">
        <v>15</v>
      </c>
      <c r="H1374" s="10" t="s">
        <v>2917</v>
      </c>
      <c r="I1374" s="10" t="s">
        <v>43</v>
      </c>
      <c r="J1374" s="10" t="s">
        <v>143</v>
      </c>
      <c r="K1374" s="10" t="s">
        <v>2895</v>
      </c>
      <c r="L1374" s="10" t="s">
        <v>2292</v>
      </c>
      <c r="M1374" s="12">
        <v>45400</v>
      </c>
      <c r="N1374" s="10" t="s">
        <v>15</v>
      </c>
      <c r="O1374" s="10" t="s">
        <v>2057</v>
      </c>
      <c r="P1374" s="25" t="str">
        <f>IFERROR(
IF(OR(O1374="anulado",O1374="stand by"),CONCATENATE(O1374,": ",H1374),
IF(OR(YEAR(M1374)=2022,YEAR(M1374)=2023),CONCATENATE("Se activó en ",YEAR(M1374)),
IF(AND(OR(O1374="En proceso",O1374="facturando"),AND(J1374="-",M1374="")),"Por revisar",
IF(M1374="",IF(J1374="NUEVAS",CONCATENATE("Estado: ",O1374,", ",J1374),
IF(L1374=Meses!$A$3,"Por revisar",
IF(H1374="","Sin registro","En programación Frcst."))),"En programación")))),
"Error")</f>
        <v>En programación</v>
      </c>
      <c r="Q1374" s="9" t="str">
        <f t="shared" si="63"/>
        <v/>
      </c>
      <c r="R1374" s="25">
        <f>IF(P1374="En programación Frcst.",VLOOKUP(L1374,Meses!$A$1:$H$14,3+HLOOKUP(Cronograma!J1374,Meses!$D$1:$G$2,2,FALSE),FALSE),
IF(P1374="En programación",M1374,""))</f>
        <v>45400</v>
      </c>
      <c r="S1374" s="25" t="str">
        <f t="shared" si="65"/>
        <v>2024/4</v>
      </c>
      <c r="T1374" s="21">
        <f>IFERROR(
(VLOOKUP(MONTH(R1374),Meses!$B$3:$C$14,2,FALSE)-DAY(R1374))/VLOOKUP(MONTH(R1374),Meses!$B$3:$C$14,2,FALSE)*U1374,
"")</f>
        <v>961.6</v>
      </c>
      <c r="U1374" s="22">
        <f t="shared" si="64"/>
        <v>2404</v>
      </c>
    </row>
    <row r="1375" spans="1:21" ht="47.4" hidden="1" thickBot="1" x14ac:dyDescent="0.6">
      <c r="A1375" s="10" t="s">
        <v>1720</v>
      </c>
      <c r="B1375" s="10" t="s">
        <v>1721</v>
      </c>
      <c r="C1375" s="12">
        <v>45302</v>
      </c>
      <c r="D1375" s="10" t="s">
        <v>289</v>
      </c>
      <c r="E1375" s="10" t="s">
        <v>289</v>
      </c>
      <c r="F1375" s="10">
        <v>4600</v>
      </c>
      <c r="G1375" s="10" t="s">
        <v>15</v>
      </c>
      <c r="H1375" s="10" t="s">
        <v>2406</v>
      </c>
      <c r="I1375" s="10" t="s">
        <v>18</v>
      </c>
      <c r="J1375" s="10" t="s">
        <v>282</v>
      </c>
      <c r="K1375" s="10" t="s">
        <v>283</v>
      </c>
      <c r="L1375" s="10" t="s">
        <v>279</v>
      </c>
      <c r="M1375" s="12"/>
      <c r="N1375" s="10" t="s">
        <v>15</v>
      </c>
      <c r="O1375" s="10" t="s">
        <v>2054</v>
      </c>
      <c r="P1375" s="25" t="str">
        <f>IFERROR(
IF(OR(O1375="anulado",O1375="stand by"),CONCATENATE(O1375,": ",H1375),
IF(OR(YEAR(M1375)=2022,YEAR(M1375)=2023),CONCATENATE("Se activó en ",YEAR(M1375)),
IF(AND(OR(O1375="En proceso",O1375="facturando"),AND(J1375="-",M1375="")),"Por revisar",
IF(M1375="",IF(J1375="NUEVAS",CONCATENATE("Estado: ",O1375,", ",J1375),
IF(L1375=Meses!$A$3,"Por revisar",
IF(H1375="","Sin registro","En programación Frcst."))),"En programación")))),
"Error")</f>
        <v>En programación Frcst.</v>
      </c>
      <c r="Q1375" s="9" t="str">
        <f t="shared" si="63"/>
        <v/>
      </c>
      <c r="R1375" s="25">
        <f>IF(P1375="En programación Frcst.",VLOOKUP(L1375,Meses!$A$1:$H$14,3+HLOOKUP(Cronograma!J1375,Meses!$D$1:$G$2,2,FALSE),FALSE),
IF(P1375="En programación",M1375,""))</f>
        <v>45295</v>
      </c>
      <c r="S1375" s="25" t="str">
        <f t="shared" si="65"/>
        <v>2024/1</v>
      </c>
      <c r="T1375" s="21">
        <f>IFERROR(
(VLOOKUP(MONTH(R1375),Meses!$B$3:$C$14,2,FALSE)-DAY(R1375))/VLOOKUP(MONTH(R1375),Meses!$B$3:$C$14,2,FALSE)*U1375,
"")</f>
        <v>4006.4516129032259</v>
      </c>
      <c r="U1375" s="22">
        <f t="shared" si="64"/>
        <v>4600</v>
      </c>
    </row>
    <row r="1376" spans="1:21" ht="47.4" hidden="1" thickBot="1" x14ac:dyDescent="0.6">
      <c r="A1376" s="10" t="s">
        <v>1720</v>
      </c>
      <c r="B1376" s="10" t="s">
        <v>1722</v>
      </c>
      <c r="C1376" s="12">
        <v>45302</v>
      </c>
      <c r="D1376" s="10" t="s">
        <v>289</v>
      </c>
      <c r="E1376" s="10" t="s">
        <v>289</v>
      </c>
      <c r="F1376" s="10">
        <v>800</v>
      </c>
      <c r="G1376" s="10" t="s">
        <v>15</v>
      </c>
      <c r="H1376" s="10" t="s">
        <v>2406</v>
      </c>
      <c r="I1376" s="10" t="s">
        <v>18</v>
      </c>
      <c r="J1376" s="10" t="s">
        <v>282</v>
      </c>
      <c r="K1376" s="10" t="s">
        <v>283</v>
      </c>
      <c r="L1376" s="10" t="s">
        <v>279</v>
      </c>
      <c r="M1376" s="12"/>
      <c r="N1376" s="10" t="s">
        <v>15</v>
      </c>
      <c r="O1376" s="10" t="s">
        <v>2054</v>
      </c>
      <c r="P1376" s="25" t="str">
        <f>IFERROR(
IF(OR(O1376="anulado",O1376="stand by"),CONCATENATE(O1376,": ",H1376),
IF(OR(YEAR(M1376)=2022,YEAR(M1376)=2023),CONCATENATE("Se activó en ",YEAR(M1376)),
IF(AND(OR(O1376="En proceso",O1376="facturando"),AND(J1376="-",M1376="")),"Por revisar",
IF(M1376="",IF(J1376="NUEVAS",CONCATENATE("Estado: ",O1376,", ",J1376),
IF(L1376=Meses!$A$3,"Por revisar",
IF(H1376="","Sin registro","En programación Frcst."))),"En programación")))),
"Error")</f>
        <v>En programación Frcst.</v>
      </c>
      <c r="Q1376" s="9" t="str">
        <f t="shared" si="63"/>
        <v/>
      </c>
      <c r="R1376" s="25">
        <f>IF(P1376="En programación Frcst.",VLOOKUP(L1376,Meses!$A$1:$H$14,3+HLOOKUP(Cronograma!J1376,Meses!$D$1:$G$2,2,FALSE),FALSE),
IF(P1376="En programación",M1376,""))</f>
        <v>45295</v>
      </c>
      <c r="S1376" s="25" t="str">
        <f t="shared" si="65"/>
        <v>2024/1</v>
      </c>
      <c r="T1376" s="21">
        <f>IFERROR(
(VLOOKUP(MONTH(R1376),Meses!$B$3:$C$14,2,FALSE)-DAY(R1376))/VLOOKUP(MONTH(R1376),Meses!$B$3:$C$14,2,FALSE)*U1376,
"")</f>
        <v>696.77419354838707</v>
      </c>
      <c r="U1376" s="22">
        <f t="shared" si="64"/>
        <v>800</v>
      </c>
    </row>
    <row r="1377" spans="1:21" ht="47.4" hidden="1" thickBot="1" x14ac:dyDescent="0.6">
      <c r="A1377" s="10" t="s">
        <v>1720</v>
      </c>
      <c r="B1377" s="10" t="s">
        <v>1723</v>
      </c>
      <c r="C1377" s="12">
        <v>45302</v>
      </c>
      <c r="D1377" s="10" t="s">
        <v>289</v>
      </c>
      <c r="E1377" s="10" t="s">
        <v>289</v>
      </c>
      <c r="F1377" s="10">
        <v>700</v>
      </c>
      <c r="G1377" s="10" t="s">
        <v>15</v>
      </c>
      <c r="H1377" s="10" t="s">
        <v>2406</v>
      </c>
      <c r="I1377" s="10" t="s">
        <v>18</v>
      </c>
      <c r="J1377" s="10" t="s">
        <v>282</v>
      </c>
      <c r="K1377" s="10" t="s">
        <v>283</v>
      </c>
      <c r="L1377" s="10" t="s">
        <v>279</v>
      </c>
      <c r="M1377" s="12"/>
      <c r="N1377" s="10" t="s">
        <v>15</v>
      </c>
      <c r="O1377" s="10" t="s">
        <v>2054</v>
      </c>
      <c r="P1377" s="25" t="str">
        <f>IFERROR(
IF(OR(O1377="anulado",O1377="stand by"),CONCATENATE(O1377,": ",H1377),
IF(OR(YEAR(M1377)=2022,YEAR(M1377)=2023),CONCATENATE("Se activó en ",YEAR(M1377)),
IF(AND(OR(O1377="En proceso",O1377="facturando"),AND(J1377="-",M1377="")),"Por revisar",
IF(M1377="",IF(J1377="NUEVAS",CONCATENATE("Estado: ",O1377,", ",J1377),
IF(L1377=Meses!$A$3,"Por revisar",
IF(H1377="","Sin registro","En programación Frcst."))),"En programación")))),
"Error")</f>
        <v>En programación Frcst.</v>
      </c>
      <c r="Q1377" s="9" t="str">
        <f t="shared" si="63"/>
        <v/>
      </c>
      <c r="R1377" s="25">
        <f>IF(P1377="En programación Frcst.",VLOOKUP(L1377,Meses!$A$1:$H$14,3+HLOOKUP(Cronograma!J1377,Meses!$D$1:$G$2,2,FALSE),FALSE),
IF(P1377="En programación",M1377,""))</f>
        <v>45295</v>
      </c>
      <c r="S1377" s="25" t="str">
        <f t="shared" si="65"/>
        <v>2024/1</v>
      </c>
      <c r="T1377" s="21">
        <f>IFERROR(
(VLOOKUP(MONTH(R1377),Meses!$B$3:$C$14,2,FALSE)-DAY(R1377))/VLOOKUP(MONTH(R1377),Meses!$B$3:$C$14,2,FALSE)*U1377,
"")</f>
        <v>609.67741935483866</v>
      </c>
      <c r="U1377" s="22">
        <f t="shared" si="64"/>
        <v>700</v>
      </c>
    </row>
    <row r="1378" spans="1:21" ht="31.8" hidden="1" thickBot="1" x14ac:dyDescent="0.6">
      <c r="A1378" s="10" t="s">
        <v>1724</v>
      </c>
      <c r="B1378" s="10" t="s">
        <v>1725</v>
      </c>
      <c r="C1378" s="12"/>
      <c r="D1378" s="10" t="s">
        <v>654</v>
      </c>
      <c r="E1378" s="10" t="s">
        <v>14</v>
      </c>
      <c r="F1378" s="10">
        <v>80000</v>
      </c>
      <c r="G1378" s="10" t="s">
        <v>15</v>
      </c>
      <c r="H1378" s="10" t="s">
        <v>140</v>
      </c>
      <c r="I1378" s="10" t="s">
        <v>66</v>
      </c>
      <c r="J1378" s="10" t="s">
        <v>19</v>
      </c>
      <c r="K1378" s="10" t="s">
        <v>19</v>
      </c>
      <c r="L1378" s="10" t="s">
        <v>19</v>
      </c>
      <c r="M1378" s="12"/>
      <c r="N1378" s="10" t="s">
        <v>15</v>
      </c>
      <c r="O1378" s="10" t="s">
        <v>2056</v>
      </c>
      <c r="P1378" s="25" t="str">
        <f>IFERROR(
IF(OR(O1378="anulado",O1378="stand by"),CONCATENATE(O1378,": ",H1378),
IF(OR(YEAR(M1378)=2022,YEAR(M1378)=2023),CONCATENATE("Se activó en ",YEAR(M1378)),
IF(AND(OR(O1378="En proceso",O1378="facturando"),AND(J1378="-",M1378="")),"Por revisar",
IF(M1378="",IF(J1378="NUEVAS",CONCATENATE("Estado: ",O1378,", ",J1378),
IF(L1378=Meses!$A$3,"Por revisar",
IF(H1378="","Sin registro","En programación Frcst."))),"En programación")))),
"Error")</f>
        <v>anulado: Desistido</v>
      </c>
      <c r="Q1378" s="9" t="str">
        <f t="shared" si="63"/>
        <v/>
      </c>
      <c r="R1378" s="25" t="str">
        <f>IF(P1378="En programación Frcst.",VLOOKUP(L1378,Meses!$A$1:$H$14,3+HLOOKUP(Cronograma!J1378,Meses!$D$1:$G$2,2,FALSE),FALSE),
IF(P1378="En programación",M1378,""))</f>
        <v/>
      </c>
      <c r="S1378" s="25" t="str">
        <f t="shared" si="65"/>
        <v/>
      </c>
      <c r="T1378" s="21" t="str">
        <f>IFERROR(
(VLOOKUP(MONTH(R1378),Meses!$B$3:$C$14,2,FALSE)-DAY(R1378))/VLOOKUP(MONTH(R1378),Meses!$B$3:$C$14,2,FALSE)*U1378,
"")</f>
        <v/>
      </c>
      <c r="U1378" s="22">
        <f t="shared" si="64"/>
        <v>80000</v>
      </c>
    </row>
    <row r="1379" spans="1:21" ht="47.4" hidden="1" thickBot="1" x14ac:dyDescent="0.6">
      <c r="A1379" s="10" t="s">
        <v>1726</v>
      </c>
      <c r="B1379" s="10" t="s">
        <v>1727</v>
      </c>
      <c r="C1379" s="12">
        <v>45316</v>
      </c>
      <c r="D1379" s="10" t="s">
        <v>1207</v>
      </c>
      <c r="E1379" s="10" t="s">
        <v>23</v>
      </c>
      <c r="F1379" s="10">
        <v>13500</v>
      </c>
      <c r="G1379" s="10" t="s">
        <v>15</v>
      </c>
      <c r="H1379" s="10" t="s">
        <v>2406</v>
      </c>
      <c r="I1379" s="10" t="s">
        <v>66</v>
      </c>
      <c r="J1379" s="10" t="s">
        <v>292</v>
      </c>
      <c r="K1379" s="10" t="s">
        <v>945</v>
      </c>
      <c r="L1379" s="10" t="s">
        <v>145</v>
      </c>
      <c r="M1379" s="12"/>
      <c r="N1379" s="10" t="s">
        <v>15</v>
      </c>
      <c r="O1379" s="10" t="s">
        <v>2054</v>
      </c>
      <c r="P1379" s="25" t="str">
        <f>IFERROR(
IF(OR(O1379="anulado",O1379="stand by"),CONCATENATE(O1379,": ",H1379),
IF(OR(YEAR(M1379)=2022,YEAR(M1379)=2023),CONCATENATE("Se activó en ",YEAR(M1379)),
IF(AND(OR(O1379="En proceso",O1379="facturando"),AND(J1379="-",M1379="")),"Por revisar",
IF(M1379="",IF(J1379="NUEVAS",CONCATENATE("Estado: ",O1379,", ",J1379),
IF(L1379=Meses!$A$3,"Por revisar",
IF(H1379="","Sin registro","En programación Frcst."))),"En programación")))),
"Error")</f>
        <v>Por revisar</v>
      </c>
      <c r="Q1379" s="9" t="str">
        <f t="shared" si="63"/>
        <v>programación de act. SI, estado: Facturando, Comercializador: ENERTOTAL, Etapa:  Activo Pendiente Instalación</v>
      </c>
      <c r="R1379" s="25" t="str">
        <f>IF(P1379="En programación Frcst.",VLOOKUP(L1379,Meses!$A$1:$H$14,3+HLOOKUP(Cronograma!J1379,Meses!$D$1:$G$2,2,FALSE),FALSE),
IF(P1379="En programación",M1379,""))</f>
        <v/>
      </c>
      <c r="S1379" s="25" t="str">
        <f t="shared" si="65"/>
        <v/>
      </c>
      <c r="T1379" s="21" t="str">
        <f>IFERROR(
(VLOOKUP(MONTH(R1379),Meses!$B$3:$C$14,2,FALSE)-DAY(R1379))/VLOOKUP(MONTH(R1379),Meses!$B$3:$C$14,2,FALSE)*U1379,
"")</f>
        <v/>
      </c>
      <c r="U1379" s="22">
        <f t="shared" si="64"/>
        <v>13500</v>
      </c>
    </row>
    <row r="1380" spans="1:21" ht="31.8" hidden="1" thickBot="1" x14ac:dyDescent="0.6">
      <c r="A1380" s="10" t="s">
        <v>1728</v>
      </c>
      <c r="B1380" s="10" t="s">
        <v>1729</v>
      </c>
      <c r="C1380" s="12">
        <v>45292</v>
      </c>
      <c r="D1380" s="10" t="s">
        <v>181</v>
      </c>
      <c r="E1380" s="10" t="s">
        <v>14</v>
      </c>
      <c r="F1380" s="10">
        <v>116000</v>
      </c>
      <c r="G1380" s="10" t="s">
        <v>20</v>
      </c>
      <c r="H1380" s="10" t="s">
        <v>17</v>
      </c>
      <c r="I1380" s="10" t="s">
        <v>66</v>
      </c>
      <c r="J1380" s="10" t="s">
        <v>282</v>
      </c>
      <c r="K1380" s="10" t="s">
        <v>283</v>
      </c>
      <c r="L1380" s="10" t="s">
        <v>279</v>
      </c>
      <c r="M1380" s="12"/>
      <c r="N1380" s="10" t="s">
        <v>15</v>
      </c>
      <c r="O1380" s="10" t="s">
        <v>2054</v>
      </c>
      <c r="P1380" s="25" t="str">
        <f>IFERROR(
IF(OR(O1380="anulado",O1380="stand by"),CONCATENATE(O1380,": ",H1380),
IF(OR(YEAR(M1380)=2022,YEAR(M1380)=2023),CONCATENATE("Se activó en ",YEAR(M1380)),
IF(AND(OR(O1380="En proceso",O1380="facturando"),AND(J1380="-",M1380="")),"Por revisar",
IF(M1380="",IF(J1380="NUEVAS",CONCATENATE("Estado: ",O1380,", ",J1380),
IF(L1380=Meses!$A$3,"Por revisar",
IF(H1380="","Sin registro","En programación Frcst."))),"En programación")))),
"Error")</f>
        <v>En programación Frcst.</v>
      </c>
      <c r="Q1380" s="9" t="str">
        <f t="shared" si="63"/>
        <v/>
      </c>
      <c r="R1380" s="25">
        <f>IF(P1380="En programación Frcst.",VLOOKUP(L1380,Meses!$A$1:$H$14,3+HLOOKUP(Cronograma!J1380,Meses!$D$1:$G$2,2,FALSE),FALSE),
IF(P1380="En programación",M1380,""))</f>
        <v>45295</v>
      </c>
      <c r="S1380" s="25" t="str">
        <f t="shared" si="65"/>
        <v>2024/1</v>
      </c>
      <c r="T1380" s="21">
        <f>IFERROR(
(VLOOKUP(MONTH(R1380),Meses!$B$3:$C$14,2,FALSE)-DAY(R1380))/VLOOKUP(MONTH(R1380),Meses!$B$3:$C$14,2,FALSE)*U1380,
"")</f>
        <v>101032.25806451614</v>
      </c>
      <c r="U1380" s="22">
        <f t="shared" si="64"/>
        <v>116000</v>
      </c>
    </row>
    <row r="1381" spans="1:21" ht="31.8" hidden="1" thickBot="1" x14ac:dyDescent="0.6">
      <c r="A1381" s="10" t="s">
        <v>1730</v>
      </c>
      <c r="B1381" s="10" t="s">
        <v>1731</v>
      </c>
      <c r="C1381" s="12"/>
      <c r="D1381" s="10" t="s">
        <v>23</v>
      </c>
      <c r="E1381" s="10" t="s">
        <v>23</v>
      </c>
      <c r="F1381" s="10">
        <v>5064</v>
      </c>
      <c r="G1381" s="10" t="s">
        <v>15</v>
      </c>
      <c r="H1381" s="10" t="s">
        <v>2917</v>
      </c>
      <c r="I1381" s="10" t="s">
        <v>43</v>
      </c>
      <c r="J1381" s="10" t="s">
        <v>143</v>
      </c>
      <c r="K1381" s="10" t="s">
        <v>2895</v>
      </c>
      <c r="L1381" s="10" t="s">
        <v>2292</v>
      </c>
      <c r="M1381" s="12">
        <v>45400</v>
      </c>
      <c r="N1381" s="10" t="s">
        <v>15</v>
      </c>
      <c r="O1381" s="10" t="s">
        <v>2057</v>
      </c>
      <c r="P1381" s="25" t="str">
        <f>IFERROR(
IF(OR(O1381="anulado",O1381="stand by"),CONCATENATE(O1381,": ",H1381),
IF(OR(YEAR(M1381)=2022,YEAR(M1381)=2023),CONCATENATE("Se activó en ",YEAR(M1381)),
IF(AND(OR(O1381="En proceso",O1381="facturando"),AND(J1381="-",M1381="")),"Por revisar",
IF(M1381="",IF(J1381="NUEVAS",CONCATENATE("Estado: ",O1381,", ",J1381),
IF(L1381=Meses!$A$3,"Por revisar",
IF(H1381="","Sin registro","En programación Frcst."))),"En programación")))),
"Error")</f>
        <v>En programación</v>
      </c>
      <c r="Q1381" s="9" t="str">
        <f t="shared" si="63"/>
        <v/>
      </c>
      <c r="R1381" s="25">
        <f>IF(P1381="En programación Frcst.",VLOOKUP(L1381,Meses!$A$1:$H$14,3+HLOOKUP(Cronograma!J1381,Meses!$D$1:$G$2,2,FALSE),FALSE),
IF(P1381="En programación",M1381,""))</f>
        <v>45400</v>
      </c>
      <c r="S1381" s="25" t="str">
        <f t="shared" si="65"/>
        <v>2024/4</v>
      </c>
      <c r="T1381" s="21">
        <f>IFERROR(
(VLOOKUP(MONTH(R1381),Meses!$B$3:$C$14,2,FALSE)-DAY(R1381))/VLOOKUP(MONTH(R1381),Meses!$B$3:$C$14,2,FALSE)*U1381,
"")</f>
        <v>2025.6000000000001</v>
      </c>
      <c r="U1381" s="22">
        <f t="shared" si="64"/>
        <v>5064</v>
      </c>
    </row>
    <row r="1382" spans="1:21" ht="47.4" hidden="1" thickBot="1" x14ac:dyDescent="0.6">
      <c r="A1382" s="10" t="s">
        <v>1732</v>
      </c>
      <c r="B1382" s="10" t="s">
        <v>1733</v>
      </c>
      <c r="C1382" s="12">
        <v>45292</v>
      </c>
      <c r="D1382" s="10" t="s">
        <v>181</v>
      </c>
      <c r="E1382" s="10" t="s">
        <v>74</v>
      </c>
      <c r="F1382" s="10">
        <v>59484</v>
      </c>
      <c r="G1382" s="10" t="s">
        <v>20</v>
      </c>
      <c r="H1382" s="10" t="s">
        <v>2406</v>
      </c>
      <c r="I1382" s="10" t="s">
        <v>66</v>
      </c>
      <c r="J1382" s="10" t="s">
        <v>282</v>
      </c>
      <c r="K1382" s="10" t="s">
        <v>283</v>
      </c>
      <c r="L1382" s="10" t="s">
        <v>279</v>
      </c>
      <c r="M1382" s="12"/>
      <c r="N1382" s="10" t="s">
        <v>15</v>
      </c>
      <c r="O1382" s="10" t="s">
        <v>2054</v>
      </c>
      <c r="P1382" s="25" t="str">
        <f>IFERROR(
IF(OR(O1382="anulado",O1382="stand by"),CONCATENATE(O1382,": ",H1382),
IF(OR(YEAR(M1382)=2022,YEAR(M1382)=2023),CONCATENATE("Se activó en ",YEAR(M1382)),
IF(AND(OR(O1382="En proceso",O1382="facturando"),AND(J1382="-",M1382="")),"Por revisar",
IF(M1382="",IF(J1382="NUEVAS",CONCATENATE("Estado: ",O1382,", ",J1382),
IF(L1382=Meses!$A$3,"Por revisar",
IF(H1382="","Sin registro","En programación Frcst."))),"En programación")))),
"Error")</f>
        <v>En programación Frcst.</v>
      </c>
      <c r="Q1382" s="9" t="str">
        <f t="shared" si="63"/>
        <v/>
      </c>
      <c r="R1382" s="25">
        <f>IF(P1382="En programación Frcst.",VLOOKUP(L1382,Meses!$A$1:$H$14,3+HLOOKUP(Cronograma!J1382,Meses!$D$1:$G$2,2,FALSE),FALSE),
IF(P1382="En programación",M1382,""))</f>
        <v>45295</v>
      </c>
      <c r="S1382" s="25" t="str">
        <f t="shared" si="65"/>
        <v>2024/1</v>
      </c>
      <c r="T1382" s="21">
        <f>IFERROR(
(VLOOKUP(MONTH(R1382),Meses!$B$3:$C$14,2,FALSE)-DAY(R1382))/VLOOKUP(MONTH(R1382),Meses!$B$3:$C$14,2,FALSE)*U1382,
"")</f>
        <v>51808.645161290326</v>
      </c>
      <c r="U1382" s="22">
        <f t="shared" si="64"/>
        <v>59484</v>
      </c>
    </row>
    <row r="1383" spans="1:21" ht="63" hidden="1" thickBot="1" x14ac:dyDescent="0.6">
      <c r="A1383" s="10" t="s">
        <v>1734</v>
      </c>
      <c r="B1383" s="10" t="s">
        <v>1735</v>
      </c>
      <c r="C1383" s="12"/>
      <c r="D1383" s="10" t="s">
        <v>74</v>
      </c>
      <c r="E1383" s="10" t="s">
        <v>74</v>
      </c>
      <c r="F1383" s="10">
        <v>5440</v>
      </c>
      <c r="G1383" s="10" t="s">
        <v>15</v>
      </c>
      <c r="H1383" s="10" t="s">
        <v>2917</v>
      </c>
      <c r="I1383" s="10" t="s">
        <v>43</v>
      </c>
      <c r="J1383" s="10" t="s">
        <v>143</v>
      </c>
      <c r="K1383" s="10" t="s">
        <v>2895</v>
      </c>
      <c r="L1383" s="10" t="s">
        <v>2292</v>
      </c>
      <c r="M1383" s="12">
        <v>45400</v>
      </c>
      <c r="N1383" s="10" t="s">
        <v>15</v>
      </c>
      <c r="O1383" s="10" t="s">
        <v>2057</v>
      </c>
      <c r="P1383" s="25" t="str">
        <f>IFERROR(
IF(OR(O1383="anulado",O1383="stand by"),CONCATENATE(O1383,": ",H1383),
IF(OR(YEAR(M1383)=2022,YEAR(M1383)=2023),CONCATENATE("Se activó en ",YEAR(M1383)),
IF(AND(OR(O1383="En proceso",O1383="facturando"),AND(J1383="-",M1383="")),"Por revisar",
IF(M1383="",IF(J1383="NUEVAS",CONCATENATE("Estado: ",O1383,", ",J1383),
IF(L1383=Meses!$A$3,"Por revisar",
IF(H1383="","Sin registro","En programación Frcst."))),"En programación")))),
"Error")</f>
        <v>En programación</v>
      </c>
      <c r="Q1383" s="9" t="str">
        <f t="shared" si="63"/>
        <v/>
      </c>
      <c r="R1383" s="25">
        <f>IF(P1383="En programación Frcst.",VLOOKUP(L1383,Meses!$A$1:$H$14,3+HLOOKUP(Cronograma!J1383,Meses!$D$1:$G$2,2,FALSE),FALSE),
IF(P1383="En programación",M1383,""))</f>
        <v>45400</v>
      </c>
      <c r="S1383" s="25" t="str">
        <f t="shared" si="65"/>
        <v>2024/4</v>
      </c>
      <c r="T1383" s="21">
        <f>IFERROR(
(VLOOKUP(MONTH(R1383),Meses!$B$3:$C$14,2,FALSE)-DAY(R1383))/VLOOKUP(MONTH(R1383),Meses!$B$3:$C$14,2,FALSE)*U1383,
"")</f>
        <v>2176</v>
      </c>
      <c r="U1383" s="22">
        <f t="shared" si="64"/>
        <v>5440</v>
      </c>
    </row>
    <row r="1384" spans="1:21" ht="63" hidden="1" thickBot="1" x14ac:dyDescent="0.6">
      <c r="A1384" s="10" t="s">
        <v>1736</v>
      </c>
      <c r="B1384" s="10" t="s">
        <v>1737</v>
      </c>
      <c r="C1384" s="12"/>
      <c r="D1384" s="10" t="s">
        <v>23</v>
      </c>
      <c r="E1384" s="10" t="s">
        <v>23</v>
      </c>
      <c r="F1384" s="10">
        <v>0</v>
      </c>
      <c r="G1384" s="10" t="s">
        <v>15</v>
      </c>
      <c r="H1384" s="10" t="s">
        <v>140</v>
      </c>
      <c r="I1384" s="10" t="s">
        <v>43</v>
      </c>
      <c r="J1384" s="10" t="s">
        <v>19</v>
      </c>
      <c r="K1384" s="10" t="s">
        <v>19</v>
      </c>
      <c r="L1384" s="10" t="s">
        <v>19</v>
      </c>
      <c r="M1384" s="12"/>
      <c r="N1384" s="10" t="s">
        <v>20</v>
      </c>
      <c r="O1384" s="10" t="s">
        <v>2056</v>
      </c>
      <c r="P1384" s="25" t="str">
        <f>IFERROR(
IF(OR(O1384="anulado",O1384="stand by"),CONCATENATE(O1384,": ",H1384),
IF(OR(YEAR(M1384)=2022,YEAR(M1384)=2023),CONCATENATE("Se activó en ",YEAR(M1384)),
IF(AND(OR(O1384="En proceso",O1384="facturando"),AND(J1384="-",M1384="")),"Por revisar",
IF(M1384="",IF(J1384="NUEVAS",CONCATENATE("Estado: ",O1384,", ",J1384),
IF(L1384=Meses!$A$3,"Por revisar",
IF(H1384="","Sin registro","En programación Frcst."))),"En programación")))),
"Error")</f>
        <v>anulado: Desistido</v>
      </c>
      <c r="Q1384" s="9" t="str">
        <f t="shared" si="63"/>
        <v/>
      </c>
      <c r="R1384" s="25" t="str">
        <f>IF(P1384="En programación Frcst.",VLOOKUP(L1384,Meses!$A$1:$H$14,3+HLOOKUP(Cronograma!J1384,Meses!$D$1:$G$2,2,FALSE),FALSE),
IF(P1384="En programación",M1384,""))</f>
        <v/>
      </c>
      <c r="S1384" s="25" t="str">
        <f t="shared" si="65"/>
        <v/>
      </c>
      <c r="T1384" s="21" t="str">
        <f>IFERROR(
(VLOOKUP(MONTH(R1384),Meses!$B$3:$C$14,2,FALSE)-DAY(R1384))/VLOOKUP(MONTH(R1384),Meses!$B$3:$C$14,2,FALSE)*U1384,
"")</f>
        <v/>
      </c>
      <c r="U1384" s="22">
        <f t="shared" si="64"/>
        <v>0</v>
      </c>
    </row>
    <row r="1385" spans="1:21" ht="31.8" hidden="1" thickBot="1" x14ac:dyDescent="0.6">
      <c r="A1385" s="10" t="s">
        <v>1738</v>
      </c>
      <c r="B1385" s="10" t="s">
        <v>1739</v>
      </c>
      <c r="C1385" s="12"/>
      <c r="D1385" s="10" t="s">
        <v>654</v>
      </c>
      <c r="E1385" s="10" t="s">
        <v>14</v>
      </c>
      <c r="F1385" s="10">
        <v>11291</v>
      </c>
      <c r="G1385" s="10" t="s">
        <v>15</v>
      </c>
      <c r="H1385" s="10" t="s">
        <v>2916</v>
      </c>
      <c r="I1385" s="10" t="s">
        <v>66</v>
      </c>
      <c r="J1385" s="10" t="s">
        <v>292</v>
      </c>
      <c r="K1385" s="10" t="s">
        <v>1697</v>
      </c>
      <c r="L1385" s="10" t="s">
        <v>1120</v>
      </c>
      <c r="M1385" s="12">
        <v>45379</v>
      </c>
      <c r="N1385" s="10" t="s">
        <v>15</v>
      </c>
      <c r="O1385" s="10" t="s">
        <v>2057</v>
      </c>
      <c r="P1385" s="25" t="str">
        <f>IFERROR(
IF(OR(O1385="anulado",O1385="stand by"),CONCATENATE(O1385,": ",H1385),
IF(OR(YEAR(M1385)=2022,YEAR(M1385)=2023),CONCATENATE("Se activó en ",YEAR(M1385)),
IF(AND(OR(O1385="En proceso",O1385="facturando"),AND(J1385="-",M1385="")),"Por revisar",
IF(M1385="",IF(J1385="NUEVAS",CONCATENATE("Estado: ",O1385,", ",J1385),
IF(L1385=Meses!$A$3,"Por revisar",
IF(H1385="","Sin registro","En programación Frcst."))),"En programación")))),
"Error")</f>
        <v>En programación</v>
      </c>
      <c r="Q1385" s="9" t="str">
        <f t="shared" si="63"/>
        <v/>
      </c>
      <c r="R1385" s="25">
        <f>IF(P1385="En programación Frcst.",VLOOKUP(L1385,Meses!$A$1:$H$14,3+HLOOKUP(Cronograma!J1385,Meses!$D$1:$G$2,2,FALSE),FALSE),
IF(P1385="En programación",M1385,""))</f>
        <v>45379</v>
      </c>
      <c r="S1385" s="25" t="str">
        <f t="shared" si="65"/>
        <v>2024/3</v>
      </c>
      <c r="T1385" s="21">
        <f>IFERROR(
(VLOOKUP(MONTH(R1385),Meses!$B$3:$C$14,2,FALSE)-DAY(R1385))/VLOOKUP(MONTH(R1385),Meses!$B$3:$C$14,2,FALSE)*U1385,
"")</f>
        <v>1092.6774193548388</v>
      </c>
      <c r="U1385" s="22">
        <f t="shared" si="64"/>
        <v>11291</v>
      </c>
    </row>
    <row r="1386" spans="1:21" ht="31.8" hidden="1" thickBot="1" x14ac:dyDescent="0.6">
      <c r="A1386" s="10" t="s">
        <v>1740</v>
      </c>
      <c r="B1386" s="10" t="s">
        <v>1741</v>
      </c>
      <c r="C1386" s="12"/>
      <c r="D1386" s="10" t="s">
        <v>287</v>
      </c>
      <c r="E1386" s="10" t="s">
        <v>287</v>
      </c>
      <c r="F1386" s="10">
        <v>4633</v>
      </c>
      <c r="G1386" s="10" t="s">
        <v>15</v>
      </c>
      <c r="H1386" s="10" t="s">
        <v>2917</v>
      </c>
      <c r="I1386" s="10" t="s">
        <v>43</v>
      </c>
      <c r="J1386" s="10" t="s">
        <v>143</v>
      </c>
      <c r="K1386" s="10" t="s">
        <v>2895</v>
      </c>
      <c r="L1386" s="10" t="s">
        <v>2292</v>
      </c>
      <c r="M1386" s="12">
        <v>45400</v>
      </c>
      <c r="N1386" s="10" t="s">
        <v>15</v>
      </c>
      <c r="O1386" s="10" t="s">
        <v>2057</v>
      </c>
      <c r="P1386" s="25" t="str">
        <f>IFERROR(
IF(OR(O1386="anulado",O1386="stand by"),CONCATENATE(O1386,": ",H1386),
IF(OR(YEAR(M1386)=2022,YEAR(M1386)=2023),CONCATENATE("Se activó en ",YEAR(M1386)),
IF(AND(OR(O1386="En proceso",O1386="facturando"),AND(J1386="-",M1386="")),"Por revisar",
IF(M1386="",IF(J1386="NUEVAS",CONCATENATE("Estado: ",O1386,", ",J1386),
IF(L1386=Meses!$A$3,"Por revisar",
IF(H1386="","Sin registro","En programación Frcst."))),"En programación")))),
"Error")</f>
        <v>En programación</v>
      </c>
      <c r="Q1386" s="9" t="str">
        <f t="shared" si="63"/>
        <v/>
      </c>
      <c r="R1386" s="25">
        <f>IF(P1386="En programación Frcst.",VLOOKUP(L1386,Meses!$A$1:$H$14,3+HLOOKUP(Cronograma!J1386,Meses!$D$1:$G$2,2,FALSE),FALSE),
IF(P1386="En programación",M1386,""))</f>
        <v>45400</v>
      </c>
      <c r="S1386" s="25" t="str">
        <f t="shared" si="65"/>
        <v>2024/4</v>
      </c>
      <c r="T1386" s="21">
        <f>IFERROR(
(VLOOKUP(MONTH(R1386),Meses!$B$3:$C$14,2,FALSE)-DAY(R1386))/VLOOKUP(MONTH(R1386),Meses!$B$3:$C$14,2,FALSE)*U1386,
"")</f>
        <v>1853.2</v>
      </c>
      <c r="U1386" s="22">
        <f t="shared" si="64"/>
        <v>4633</v>
      </c>
    </row>
    <row r="1387" spans="1:21" ht="31.8" hidden="1" thickBot="1" x14ac:dyDescent="0.6">
      <c r="A1387" s="10" t="s">
        <v>1686</v>
      </c>
      <c r="B1387" s="10" t="s">
        <v>1742</v>
      </c>
      <c r="C1387" s="12"/>
      <c r="D1387" s="10" t="s">
        <v>654</v>
      </c>
      <c r="E1387" s="10" t="s">
        <v>44</v>
      </c>
      <c r="F1387" s="10">
        <v>6768</v>
      </c>
      <c r="G1387" s="10" t="s">
        <v>15</v>
      </c>
      <c r="H1387" s="10" t="s">
        <v>140</v>
      </c>
      <c r="I1387" s="10" t="s">
        <v>66</v>
      </c>
      <c r="J1387" s="10" t="s">
        <v>19</v>
      </c>
      <c r="K1387" s="10" t="s">
        <v>19</v>
      </c>
      <c r="L1387" s="10" t="s">
        <v>19</v>
      </c>
      <c r="M1387" s="12"/>
      <c r="N1387" s="10" t="s">
        <v>20</v>
      </c>
      <c r="O1387" s="10" t="s">
        <v>2056</v>
      </c>
      <c r="P1387" s="25" t="str">
        <f>IFERROR(
IF(OR(O1387="anulado",O1387="stand by"),CONCATENATE(O1387,": ",H1387),
IF(OR(YEAR(M1387)=2022,YEAR(M1387)=2023),CONCATENATE("Se activó en ",YEAR(M1387)),
IF(AND(OR(O1387="En proceso",O1387="facturando"),AND(J1387="-",M1387="")),"Por revisar",
IF(M1387="",IF(J1387="NUEVAS",CONCATENATE("Estado: ",O1387,", ",J1387),
IF(L1387=Meses!$A$3,"Por revisar",
IF(H1387="","Sin registro","En programación Frcst."))),"En programación")))),
"Error")</f>
        <v>anulado: Desistido</v>
      </c>
      <c r="Q1387" s="9" t="str">
        <f t="shared" si="63"/>
        <v/>
      </c>
      <c r="R1387" s="25" t="str">
        <f>IF(P1387="En programación Frcst.",VLOOKUP(L1387,Meses!$A$1:$H$14,3+HLOOKUP(Cronograma!J1387,Meses!$D$1:$G$2,2,FALSE),FALSE),
IF(P1387="En programación",M1387,""))</f>
        <v/>
      </c>
      <c r="S1387" s="25" t="str">
        <f t="shared" si="65"/>
        <v/>
      </c>
      <c r="T1387" s="21" t="str">
        <f>IFERROR(
(VLOOKUP(MONTH(R1387),Meses!$B$3:$C$14,2,FALSE)-DAY(R1387))/VLOOKUP(MONTH(R1387),Meses!$B$3:$C$14,2,FALSE)*U1387,
"")</f>
        <v/>
      </c>
      <c r="U1387" s="22">
        <f t="shared" si="64"/>
        <v>6768</v>
      </c>
    </row>
    <row r="1388" spans="1:21" ht="31.8" hidden="1" thickBot="1" x14ac:dyDescent="0.6">
      <c r="A1388" s="10" t="s">
        <v>1740</v>
      </c>
      <c r="B1388" s="10" t="s">
        <v>1743</v>
      </c>
      <c r="C1388" s="12">
        <v>45295</v>
      </c>
      <c r="D1388" s="10" t="s">
        <v>14</v>
      </c>
      <c r="E1388" s="10" t="s">
        <v>14</v>
      </c>
      <c r="F1388" s="10">
        <v>294</v>
      </c>
      <c r="G1388" s="10" t="s">
        <v>15</v>
      </c>
      <c r="H1388" s="10" t="s">
        <v>17</v>
      </c>
      <c r="I1388" s="10" t="s">
        <v>18</v>
      </c>
      <c r="J1388" s="10" t="s">
        <v>282</v>
      </c>
      <c r="K1388" s="10" t="s">
        <v>283</v>
      </c>
      <c r="L1388" s="10" t="s">
        <v>279</v>
      </c>
      <c r="M1388" s="12"/>
      <c r="N1388" s="10" t="s">
        <v>15</v>
      </c>
      <c r="O1388" s="10" t="s">
        <v>2054</v>
      </c>
      <c r="P1388" s="25" t="str">
        <f>IFERROR(
IF(OR(O1388="anulado",O1388="stand by"),CONCATENATE(O1388,": ",H1388),
IF(OR(YEAR(M1388)=2022,YEAR(M1388)=2023),CONCATENATE("Se activó en ",YEAR(M1388)),
IF(AND(OR(O1388="En proceso",O1388="facturando"),AND(J1388="-",M1388="")),"Por revisar",
IF(M1388="",IF(J1388="NUEVAS",CONCATENATE("Estado: ",O1388,", ",J1388),
IF(L1388=Meses!$A$3,"Por revisar",
IF(H1388="","Sin registro","En programación Frcst."))),"En programación")))),
"Error")</f>
        <v>En programación Frcst.</v>
      </c>
      <c r="Q1388" s="9" t="str">
        <f t="shared" si="63"/>
        <v/>
      </c>
      <c r="R1388" s="25">
        <f>IF(P1388="En programación Frcst.",VLOOKUP(L1388,Meses!$A$1:$H$14,3+HLOOKUP(Cronograma!J1388,Meses!$D$1:$G$2,2,FALSE),FALSE),
IF(P1388="En programación",M1388,""))</f>
        <v>45295</v>
      </c>
      <c r="S1388" s="25" t="str">
        <f t="shared" si="65"/>
        <v>2024/1</v>
      </c>
      <c r="T1388" s="21">
        <f>IFERROR(
(VLOOKUP(MONTH(R1388),Meses!$B$3:$C$14,2,FALSE)-DAY(R1388))/VLOOKUP(MONTH(R1388),Meses!$B$3:$C$14,2,FALSE)*U1388,
"")</f>
        <v>256.06451612903226</v>
      </c>
      <c r="U1388" s="22">
        <f t="shared" si="64"/>
        <v>294</v>
      </c>
    </row>
    <row r="1389" spans="1:21" ht="31.8" hidden="1" thickBot="1" x14ac:dyDescent="0.6">
      <c r="A1389" s="10" t="s">
        <v>1740</v>
      </c>
      <c r="B1389" s="10" t="s">
        <v>1744</v>
      </c>
      <c r="C1389" s="12">
        <v>45295</v>
      </c>
      <c r="D1389" s="10" t="s">
        <v>14</v>
      </c>
      <c r="E1389" s="10" t="s">
        <v>14</v>
      </c>
      <c r="F1389" s="10">
        <v>768</v>
      </c>
      <c r="G1389" s="10" t="s">
        <v>15</v>
      </c>
      <c r="H1389" s="10" t="s">
        <v>17</v>
      </c>
      <c r="I1389" s="10" t="s">
        <v>18</v>
      </c>
      <c r="J1389" s="10" t="s">
        <v>282</v>
      </c>
      <c r="K1389" s="10" t="s">
        <v>283</v>
      </c>
      <c r="L1389" s="10" t="s">
        <v>279</v>
      </c>
      <c r="M1389" s="12"/>
      <c r="N1389" s="10" t="s">
        <v>15</v>
      </c>
      <c r="O1389" s="10" t="s">
        <v>2054</v>
      </c>
      <c r="P1389" s="25" t="str">
        <f>IFERROR(
IF(OR(O1389="anulado",O1389="stand by"),CONCATENATE(O1389,": ",H1389),
IF(OR(YEAR(M1389)=2022,YEAR(M1389)=2023),CONCATENATE("Se activó en ",YEAR(M1389)),
IF(AND(OR(O1389="En proceso",O1389="facturando"),AND(J1389="-",M1389="")),"Por revisar",
IF(M1389="",IF(J1389="NUEVAS",CONCATENATE("Estado: ",O1389,", ",J1389),
IF(L1389=Meses!$A$3,"Por revisar",
IF(H1389="","Sin registro","En programación Frcst."))),"En programación")))),
"Error")</f>
        <v>En programación Frcst.</v>
      </c>
      <c r="Q1389" s="9" t="str">
        <f t="shared" si="63"/>
        <v/>
      </c>
      <c r="R1389" s="25">
        <f>IF(P1389="En programación Frcst.",VLOOKUP(L1389,Meses!$A$1:$H$14,3+HLOOKUP(Cronograma!J1389,Meses!$D$1:$G$2,2,FALSE),FALSE),
IF(P1389="En programación",M1389,""))</f>
        <v>45295</v>
      </c>
      <c r="S1389" s="25" t="str">
        <f t="shared" si="65"/>
        <v>2024/1</v>
      </c>
      <c r="T1389" s="21">
        <f>IFERROR(
(VLOOKUP(MONTH(R1389),Meses!$B$3:$C$14,2,FALSE)-DAY(R1389))/VLOOKUP(MONTH(R1389),Meses!$B$3:$C$14,2,FALSE)*U1389,
"")</f>
        <v>668.90322580645159</v>
      </c>
      <c r="U1389" s="22">
        <f t="shared" si="64"/>
        <v>768</v>
      </c>
    </row>
    <row r="1390" spans="1:21" ht="31.8" hidden="1" thickBot="1" x14ac:dyDescent="0.6">
      <c r="A1390" s="10" t="s">
        <v>1738</v>
      </c>
      <c r="B1390" s="10" t="s">
        <v>1745</v>
      </c>
      <c r="C1390" s="12"/>
      <c r="D1390" s="10" t="s">
        <v>654</v>
      </c>
      <c r="E1390" s="10" t="s">
        <v>14</v>
      </c>
      <c r="F1390" s="10">
        <v>16677</v>
      </c>
      <c r="G1390" s="10" t="s">
        <v>15</v>
      </c>
      <c r="H1390" s="10" t="s">
        <v>2916</v>
      </c>
      <c r="I1390" s="10" t="s">
        <v>66</v>
      </c>
      <c r="J1390" s="10" t="s">
        <v>292</v>
      </c>
      <c r="K1390" s="10" t="s">
        <v>1697</v>
      </c>
      <c r="L1390" s="10" t="s">
        <v>1120</v>
      </c>
      <c r="M1390" s="12">
        <v>45379</v>
      </c>
      <c r="N1390" s="10" t="s">
        <v>15</v>
      </c>
      <c r="O1390" s="10" t="s">
        <v>2057</v>
      </c>
      <c r="P1390" s="25" t="str">
        <f>IFERROR(
IF(OR(O1390="anulado",O1390="stand by"),CONCATENATE(O1390,": ",H1390),
IF(OR(YEAR(M1390)=2022,YEAR(M1390)=2023),CONCATENATE("Se activó en ",YEAR(M1390)),
IF(AND(OR(O1390="En proceso",O1390="facturando"),AND(J1390="-",M1390="")),"Por revisar",
IF(M1390="",IF(J1390="NUEVAS",CONCATENATE("Estado: ",O1390,", ",J1390),
IF(L1390=Meses!$A$3,"Por revisar",
IF(H1390="","Sin registro","En programación Frcst."))),"En programación")))),
"Error")</f>
        <v>En programación</v>
      </c>
      <c r="Q1390" s="9" t="str">
        <f t="shared" si="63"/>
        <v/>
      </c>
      <c r="R1390" s="25">
        <f>IF(P1390="En programación Frcst.",VLOOKUP(L1390,Meses!$A$1:$H$14,3+HLOOKUP(Cronograma!J1390,Meses!$D$1:$G$2,2,FALSE),FALSE),
IF(P1390="En programación",M1390,""))</f>
        <v>45379</v>
      </c>
      <c r="S1390" s="25" t="str">
        <f t="shared" si="65"/>
        <v>2024/3</v>
      </c>
      <c r="T1390" s="21">
        <f>IFERROR(
(VLOOKUP(MONTH(R1390),Meses!$B$3:$C$14,2,FALSE)-DAY(R1390))/VLOOKUP(MONTH(R1390),Meses!$B$3:$C$14,2,FALSE)*U1390,
"")</f>
        <v>1613.9032258064515</v>
      </c>
      <c r="U1390" s="22">
        <f t="shared" si="64"/>
        <v>16677</v>
      </c>
    </row>
    <row r="1391" spans="1:21" ht="31.8" hidden="1" thickBot="1" x14ac:dyDescent="0.6">
      <c r="A1391" s="10" t="s">
        <v>1740</v>
      </c>
      <c r="B1391" s="10" t="s">
        <v>1746</v>
      </c>
      <c r="C1391" s="12">
        <v>45295</v>
      </c>
      <c r="D1391" s="10" t="s">
        <v>14</v>
      </c>
      <c r="E1391" s="10" t="s">
        <v>14</v>
      </c>
      <c r="F1391" s="10">
        <v>1030</v>
      </c>
      <c r="G1391" s="10" t="s">
        <v>15</v>
      </c>
      <c r="H1391" s="10" t="s">
        <v>17</v>
      </c>
      <c r="I1391" s="10" t="s">
        <v>18</v>
      </c>
      <c r="J1391" s="10" t="s">
        <v>282</v>
      </c>
      <c r="K1391" s="10" t="s">
        <v>283</v>
      </c>
      <c r="L1391" s="10" t="s">
        <v>279</v>
      </c>
      <c r="M1391" s="12"/>
      <c r="N1391" s="10" t="s">
        <v>15</v>
      </c>
      <c r="O1391" s="10" t="s">
        <v>2054</v>
      </c>
      <c r="P1391" s="25" t="str">
        <f>IFERROR(
IF(OR(O1391="anulado",O1391="stand by"),CONCATENATE(O1391,": ",H1391),
IF(OR(YEAR(M1391)=2022,YEAR(M1391)=2023),CONCATENATE("Se activó en ",YEAR(M1391)),
IF(AND(OR(O1391="En proceso",O1391="facturando"),AND(J1391="-",M1391="")),"Por revisar",
IF(M1391="",IF(J1391="NUEVAS",CONCATENATE("Estado: ",O1391,", ",J1391),
IF(L1391=Meses!$A$3,"Por revisar",
IF(H1391="","Sin registro","En programación Frcst."))),"En programación")))),
"Error")</f>
        <v>En programación Frcst.</v>
      </c>
      <c r="Q1391" s="9" t="str">
        <f t="shared" si="63"/>
        <v/>
      </c>
      <c r="R1391" s="25">
        <f>IF(P1391="En programación Frcst.",VLOOKUP(L1391,Meses!$A$1:$H$14,3+HLOOKUP(Cronograma!J1391,Meses!$D$1:$G$2,2,FALSE),FALSE),
IF(P1391="En programación",M1391,""))</f>
        <v>45295</v>
      </c>
      <c r="S1391" s="25" t="str">
        <f t="shared" si="65"/>
        <v>2024/1</v>
      </c>
      <c r="T1391" s="21">
        <f>IFERROR(
(VLOOKUP(MONTH(R1391),Meses!$B$3:$C$14,2,FALSE)-DAY(R1391))/VLOOKUP(MONTH(R1391),Meses!$B$3:$C$14,2,FALSE)*U1391,
"")</f>
        <v>897.09677419354841</v>
      </c>
      <c r="U1391" s="22">
        <f t="shared" si="64"/>
        <v>1030</v>
      </c>
    </row>
    <row r="1392" spans="1:21" ht="31.8" hidden="1" thickBot="1" x14ac:dyDescent="0.6">
      <c r="A1392" s="10" t="s">
        <v>1740</v>
      </c>
      <c r="B1392" s="10" t="s">
        <v>1747</v>
      </c>
      <c r="C1392" s="12"/>
      <c r="D1392" s="10" t="s">
        <v>671</v>
      </c>
      <c r="E1392" s="10" t="s">
        <v>289</v>
      </c>
      <c r="F1392" s="10">
        <v>3705</v>
      </c>
      <c r="G1392" s="10" t="s">
        <v>15</v>
      </c>
      <c r="H1392" s="10" t="s">
        <v>2917</v>
      </c>
      <c r="I1392" s="10" t="s">
        <v>18</v>
      </c>
      <c r="J1392" s="10" t="s">
        <v>277</v>
      </c>
      <c r="K1392" s="10" t="s">
        <v>3327</v>
      </c>
      <c r="L1392" s="10" t="s">
        <v>2292</v>
      </c>
      <c r="M1392" s="12">
        <v>45400</v>
      </c>
      <c r="N1392" s="10" t="s">
        <v>15</v>
      </c>
      <c r="O1392" s="10" t="s">
        <v>2057</v>
      </c>
      <c r="P1392" s="25" t="str">
        <f>IFERROR(
IF(OR(O1392="anulado",O1392="stand by"),CONCATENATE(O1392,": ",H1392),
IF(OR(YEAR(M1392)=2022,YEAR(M1392)=2023),CONCATENATE("Se activó en ",YEAR(M1392)),
IF(AND(OR(O1392="En proceso",O1392="facturando"),AND(J1392="-",M1392="")),"Por revisar",
IF(M1392="",IF(J1392="NUEVAS",CONCATENATE("Estado: ",O1392,", ",J1392),
IF(L1392=Meses!$A$3,"Por revisar",
IF(H1392="","Sin registro","En programación Frcst."))),"En programación")))),
"Error")</f>
        <v>En programación</v>
      </c>
      <c r="Q1392" s="9" t="str">
        <f t="shared" si="63"/>
        <v/>
      </c>
      <c r="R1392" s="25">
        <f>IF(P1392="En programación Frcst.",VLOOKUP(L1392,Meses!$A$1:$H$14,3+HLOOKUP(Cronograma!J1392,Meses!$D$1:$G$2,2,FALSE),FALSE),
IF(P1392="En programación",M1392,""))</f>
        <v>45400</v>
      </c>
      <c r="S1392" s="25" t="str">
        <f t="shared" si="65"/>
        <v>2024/4</v>
      </c>
      <c r="T1392" s="21">
        <f>IFERROR(
(VLOOKUP(MONTH(R1392),Meses!$B$3:$C$14,2,FALSE)-DAY(R1392))/VLOOKUP(MONTH(R1392),Meses!$B$3:$C$14,2,FALSE)*U1392,
"")</f>
        <v>1482</v>
      </c>
      <c r="U1392" s="22">
        <f t="shared" si="64"/>
        <v>3705</v>
      </c>
    </row>
    <row r="1393" spans="1:21" ht="31.8" hidden="1" thickBot="1" x14ac:dyDescent="0.6">
      <c r="A1393" s="10" t="s">
        <v>1740</v>
      </c>
      <c r="B1393" s="10" t="s">
        <v>1748</v>
      </c>
      <c r="C1393" s="12">
        <v>45337</v>
      </c>
      <c r="D1393" s="10" t="s">
        <v>14</v>
      </c>
      <c r="E1393" s="10" t="s">
        <v>14</v>
      </c>
      <c r="F1393" s="10">
        <v>4785</v>
      </c>
      <c r="G1393" s="10" t="s">
        <v>15</v>
      </c>
      <c r="H1393" s="10" t="s">
        <v>17</v>
      </c>
      <c r="I1393" s="10" t="s">
        <v>18</v>
      </c>
      <c r="J1393" s="10" t="s">
        <v>282</v>
      </c>
      <c r="K1393" s="10" t="s">
        <v>283</v>
      </c>
      <c r="L1393" s="10" t="s">
        <v>279</v>
      </c>
      <c r="M1393" s="12"/>
      <c r="N1393" s="10" t="s">
        <v>15</v>
      </c>
      <c r="O1393" s="10" t="s">
        <v>2054</v>
      </c>
      <c r="P1393" s="25" t="str">
        <f>IFERROR(
IF(OR(O1393="anulado",O1393="stand by"),CONCATENATE(O1393,": ",H1393),
IF(OR(YEAR(M1393)=2022,YEAR(M1393)=2023),CONCATENATE("Se activó en ",YEAR(M1393)),
IF(AND(OR(O1393="En proceso",O1393="facturando"),AND(J1393="-",M1393="")),"Por revisar",
IF(M1393="",IF(J1393="NUEVAS",CONCATENATE("Estado: ",O1393,", ",J1393),
IF(L1393=Meses!$A$3,"Por revisar",
IF(H1393="","Sin registro","En programación Frcst."))),"En programación")))),
"Error")</f>
        <v>En programación Frcst.</v>
      </c>
      <c r="Q1393" s="9" t="str">
        <f t="shared" si="63"/>
        <v/>
      </c>
      <c r="R1393" s="25">
        <f>IF(P1393="En programación Frcst.",VLOOKUP(L1393,Meses!$A$1:$H$14,3+HLOOKUP(Cronograma!J1393,Meses!$D$1:$G$2,2,FALSE),FALSE),
IF(P1393="En programación",M1393,""))</f>
        <v>45295</v>
      </c>
      <c r="S1393" s="25" t="str">
        <f t="shared" si="65"/>
        <v>2024/1</v>
      </c>
      <c r="T1393" s="21">
        <f>IFERROR(
(VLOOKUP(MONTH(R1393),Meses!$B$3:$C$14,2,FALSE)-DAY(R1393))/VLOOKUP(MONTH(R1393),Meses!$B$3:$C$14,2,FALSE)*U1393,
"")</f>
        <v>4167.5806451612907</v>
      </c>
      <c r="U1393" s="22">
        <f t="shared" si="64"/>
        <v>4785</v>
      </c>
    </row>
    <row r="1394" spans="1:21" ht="31.8" hidden="1" thickBot="1" x14ac:dyDescent="0.6">
      <c r="A1394" s="10" t="s">
        <v>1740</v>
      </c>
      <c r="B1394" s="10" t="s">
        <v>1749</v>
      </c>
      <c r="C1394" s="12">
        <v>45295</v>
      </c>
      <c r="D1394" s="10" t="s">
        <v>14</v>
      </c>
      <c r="E1394" s="10" t="s">
        <v>14</v>
      </c>
      <c r="F1394" s="10">
        <v>290</v>
      </c>
      <c r="G1394" s="10" t="s">
        <v>15</v>
      </c>
      <c r="H1394" s="10" t="s">
        <v>17</v>
      </c>
      <c r="I1394" s="10" t="s">
        <v>18</v>
      </c>
      <c r="J1394" s="10" t="s">
        <v>282</v>
      </c>
      <c r="K1394" s="10" t="s">
        <v>283</v>
      </c>
      <c r="L1394" s="10" t="s">
        <v>279</v>
      </c>
      <c r="M1394" s="12"/>
      <c r="N1394" s="10" t="s">
        <v>15</v>
      </c>
      <c r="O1394" s="10" t="s">
        <v>2054</v>
      </c>
      <c r="P1394" s="25" t="str">
        <f>IFERROR(
IF(OR(O1394="anulado",O1394="stand by"),CONCATENATE(O1394,": ",H1394),
IF(OR(YEAR(M1394)=2022,YEAR(M1394)=2023),CONCATENATE("Se activó en ",YEAR(M1394)),
IF(AND(OR(O1394="En proceso",O1394="facturando"),AND(J1394="-",M1394="")),"Por revisar",
IF(M1394="",IF(J1394="NUEVAS",CONCATENATE("Estado: ",O1394,", ",J1394),
IF(L1394=Meses!$A$3,"Por revisar",
IF(H1394="","Sin registro","En programación Frcst."))),"En programación")))),
"Error")</f>
        <v>En programación Frcst.</v>
      </c>
      <c r="Q1394" s="9" t="str">
        <f t="shared" si="63"/>
        <v/>
      </c>
      <c r="R1394" s="25">
        <f>IF(P1394="En programación Frcst.",VLOOKUP(L1394,Meses!$A$1:$H$14,3+HLOOKUP(Cronograma!J1394,Meses!$D$1:$G$2,2,FALSE),FALSE),
IF(P1394="En programación",M1394,""))</f>
        <v>45295</v>
      </c>
      <c r="S1394" s="25" t="str">
        <f t="shared" si="65"/>
        <v>2024/1</v>
      </c>
      <c r="T1394" s="21">
        <f>IFERROR(
(VLOOKUP(MONTH(R1394),Meses!$B$3:$C$14,2,FALSE)-DAY(R1394))/VLOOKUP(MONTH(R1394),Meses!$B$3:$C$14,2,FALSE)*U1394,
"")</f>
        <v>252.58064516129033</v>
      </c>
      <c r="U1394" s="22">
        <f t="shared" si="64"/>
        <v>290</v>
      </c>
    </row>
    <row r="1395" spans="1:21" ht="31.8" hidden="1" thickBot="1" x14ac:dyDescent="0.6">
      <c r="A1395" s="10" t="s">
        <v>1740</v>
      </c>
      <c r="B1395" s="10" t="s">
        <v>1750</v>
      </c>
      <c r="C1395" s="12"/>
      <c r="D1395" s="10" t="s">
        <v>300</v>
      </c>
      <c r="E1395" s="10" t="s">
        <v>300</v>
      </c>
      <c r="F1395" s="10">
        <v>5412</v>
      </c>
      <c r="G1395" s="10" t="s">
        <v>15</v>
      </c>
      <c r="H1395" s="10" t="s">
        <v>2917</v>
      </c>
      <c r="I1395" s="10" t="s">
        <v>43</v>
      </c>
      <c r="J1395" s="10" t="s">
        <v>292</v>
      </c>
      <c r="K1395" s="10" t="s">
        <v>3325</v>
      </c>
      <c r="L1395" s="10" t="s">
        <v>2292</v>
      </c>
      <c r="M1395" s="12">
        <v>45407</v>
      </c>
      <c r="N1395" s="10" t="s">
        <v>15</v>
      </c>
      <c r="O1395" s="10" t="s">
        <v>2057</v>
      </c>
      <c r="P1395" s="25" t="str">
        <f>IFERROR(
IF(OR(O1395="anulado",O1395="stand by"),CONCATENATE(O1395,": ",H1395),
IF(OR(YEAR(M1395)=2022,YEAR(M1395)=2023),CONCATENATE("Se activó en ",YEAR(M1395)),
IF(AND(OR(O1395="En proceso",O1395="facturando"),AND(J1395="-",M1395="")),"Por revisar",
IF(M1395="",IF(J1395="NUEVAS",CONCATENATE("Estado: ",O1395,", ",J1395),
IF(L1395=Meses!$A$3,"Por revisar",
IF(H1395="","Sin registro","En programación Frcst."))),"En programación")))),
"Error")</f>
        <v>En programación</v>
      </c>
      <c r="Q1395" s="9" t="str">
        <f t="shared" si="63"/>
        <v/>
      </c>
      <c r="R1395" s="25">
        <f>IF(P1395="En programación Frcst.",VLOOKUP(L1395,Meses!$A$1:$H$14,3+HLOOKUP(Cronograma!J1395,Meses!$D$1:$G$2,2,FALSE),FALSE),
IF(P1395="En programación",M1395,""))</f>
        <v>45407</v>
      </c>
      <c r="S1395" s="25" t="str">
        <f t="shared" si="65"/>
        <v>2024/4</v>
      </c>
      <c r="T1395" s="21">
        <f>IFERROR(
(VLOOKUP(MONTH(R1395),Meses!$B$3:$C$14,2,FALSE)-DAY(R1395))/VLOOKUP(MONTH(R1395),Meses!$B$3:$C$14,2,FALSE)*U1395,
"")</f>
        <v>902</v>
      </c>
      <c r="U1395" s="22">
        <f t="shared" si="64"/>
        <v>5412</v>
      </c>
    </row>
    <row r="1396" spans="1:21" ht="31.8" hidden="1" thickBot="1" x14ac:dyDescent="0.6">
      <c r="A1396" s="10" t="s">
        <v>1740</v>
      </c>
      <c r="B1396" s="10" t="s">
        <v>1751</v>
      </c>
      <c r="C1396" s="12"/>
      <c r="D1396" s="10" t="s">
        <v>300</v>
      </c>
      <c r="E1396" s="10" t="s">
        <v>300</v>
      </c>
      <c r="F1396" s="10">
        <v>5101</v>
      </c>
      <c r="G1396" s="10" t="s">
        <v>15</v>
      </c>
      <c r="H1396" s="10" t="s">
        <v>2917</v>
      </c>
      <c r="I1396" s="10" t="s">
        <v>43</v>
      </c>
      <c r="J1396" s="10" t="s">
        <v>292</v>
      </c>
      <c r="K1396" s="10" t="s">
        <v>3325</v>
      </c>
      <c r="L1396" s="10" t="s">
        <v>2292</v>
      </c>
      <c r="M1396" s="12">
        <v>45407</v>
      </c>
      <c r="N1396" s="10" t="s">
        <v>15</v>
      </c>
      <c r="O1396" s="10" t="s">
        <v>2057</v>
      </c>
      <c r="P1396" s="25" t="str">
        <f>IFERROR(
IF(OR(O1396="anulado",O1396="stand by"),CONCATENATE(O1396,": ",H1396),
IF(OR(YEAR(M1396)=2022,YEAR(M1396)=2023),CONCATENATE("Se activó en ",YEAR(M1396)),
IF(AND(OR(O1396="En proceso",O1396="facturando"),AND(J1396="-",M1396="")),"Por revisar",
IF(M1396="",IF(J1396="NUEVAS",CONCATENATE("Estado: ",O1396,", ",J1396),
IF(L1396=Meses!$A$3,"Por revisar",
IF(H1396="","Sin registro","En programación Frcst."))),"En programación")))),
"Error")</f>
        <v>En programación</v>
      </c>
      <c r="Q1396" s="9" t="str">
        <f t="shared" si="63"/>
        <v/>
      </c>
      <c r="R1396" s="25">
        <f>IF(P1396="En programación Frcst.",VLOOKUP(L1396,Meses!$A$1:$H$14,3+HLOOKUP(Cronograma!J1396,Meses!$D$1:$G$2,2,FALSE),FALSE),
IF(P1396="En programación",M1396,""))</f>
        <v>45407</v>
      </c>
      <c r="S1396" s="25" t="str">
        <f t="shared" si="65"/>
        <v>2024/4</v>
      </c>
      <c r="T1396" s="21">
        <f>IFERROR(
(VLOOKUP(MONTH(R1396),Meses!$B$3:$C$14,2,FALSE)-DAY(R1396))/VLOOKUP(MONTH(R1396),Meses!$B$3:$C$14,2,FALSE)*U1396,
"")</f>
        <v>850.16666666666663</v>
      </c>
      <c r="U1396" s="22">
        <f t="shared" si="64"/>
        <v>5101</v>
      </c>
    </row>
    <row r="1397" spans="1:21" ht="31.8" hidden="1" thickBot="1" x14ac:dyDescent="0.6">
      <c r="A1397" s="10" t="s">
        <v>1740</v>
      </c>
      <c r="B1397" s="10" t="s">
        <v>1752</v>
      </c>
      <c r="C1397" s="12"/>
      <c r="D1397" s="10" t="s">
        <v>300</v>
      </c>
      <c r="E1397" s="10" t="s">
        <v>300</v>
      </c>
      <c r="F1397" s="10">
        <v>619</v>
      </c>
      <c r="G1397" s="10" t="s">
        <v>15</v>
      </c>
      <c r="H1397" s="10" t="s">
        <v>2917</v>
      </c>
      <c r="I1397" s="10" t="s">
        <v>43</v>
      </c>
      <c r="J1397" s="10" t="s">
        <v>292</v>
      </c>
      <c r="K1397" s="10" t="s">
        <v>3325</v>
      </c>
      <c r="L1397" s="10" t="s">
        <v>2292</v>
      </c>
      <c r="M1397" s="12">
        <v>45407</v>
      </c>
      <c r="N1397" s="10" t="s">
        <v>15</v>
      </c>
      <c r="O1397" s="10" t="s">
        <v>2057</v>
      </c>
      <c r="P1397" s="25" t="str">
        <f>IFERROR(
IF(OR(O1397="anulado",O1397="stand by"),CONCATENATE(O1397,": ",H1397),
IF(OR(YEAR(M1397)=2022,YEAR(M1397)=2023),CONCATENATE("Se activó en ",YEAR(M1397)),
IF(AND(OR(O1397="En proceso",O1397="facturando"),AND(J1397="-",M1397="")),"Por revisar",
IF(M1397="",IF(J1397="NUEVAS",CONCATENATE("Estado: ",O1397,", ",J1397),
IF(L1397=Meses!$A$3,"Por revisar",
IF(H1397="","Sin registro","En programación Frcst."))),"En programación")))),
"Error")</f>
        <v>En programación</v>
      </c>
      <c r="Q1397" s="9" t="str">
        <f t="shared" si="63"/>
        <v/>
      </c>
      <c r="R1397" s="25">
        <f>IF(P1397="En programación Frcst.",VLOOKUP(L1397,Meses!$A$1:$H$14,3+HLOOKUP(Cronograma!J1397,Meses!$D$1:$G$2,2,FALSE),FALSE),
IF(P1397="En programación",M1397,""))</f>
        <v>45407</v>
      </c>
      <c r="S1397" s="25" t="str">
        <f t="shared" si="65"/>
        <v>2024/4</v>
      </c>
      <c r="T1397" s="21">
        <f>IFERROR(
(VLOOKUP(MONTH(R1397),Meses!$B$3:$C$14,2,FALSE)-DAY(R1397))/VLOOKUP(MONTH(R1397),Meses!$B$3:$C$14,2,FALSE)*U1397,
"")</f>
        <v>103.16666666666666</v>
      </c>
      <c r="U1397" s="22">
        <f t="shared" si="64"/>
        <v>619</v>
      </c>
    </row>
    <row r="1398" spans="1:21" ht="31.8" hidden="1" thickBot="1" x14ac:dyDescent="0.6">
      <c r="A1398" s="10" t="s">
        <v>1753</v>
      </c>
      <c r="B1398" s="10" t="s">
        <v>1754</v>
      </c>
      <c r="C1398" s="12"/>
      <c r="D1398" s="10" t="s">
        <v>74</v>
      </c>
      <c r="E1398" s="10" t="s">
        <v>74</v>
      </c>
      <c r="F1398" s="10">
        <v>7072</v>
      </c>
      <c r="G1398" s="10" t="s">
        <v>15</v>
      </c>
      <c r="H1398" s="10" t="s">
        <v>2917</v>
      </c>
      <c r="I1398" s="10" t="s">
        <v>43</v>
      </c>
      <c r="J1398" s="10" t="s">
        <v>143</v>
      </c>
      <c r="K1398" s="10" t="s">
        <v>2895</v>
      </c>
      <c r="L1398" s="10" t="s">
        <v>2292</v>
      </c>
      <c r="M1398" s="12">
        <v>45400</v>
      </c>
      <c r="N1398" s="10" t="s">
        <v>15</v>
      </c>
      <c r="O1398" s="10" t="s">
        <v>2057</v>
      </c>
      <c r="P1398" s="25" t="str">
        <f>IFERROR(
IF(OR(O1398="anulado",O1398="stand by"),CONCATENATE(O1398,": ",H1398),
IF(OR(YEAR(M1398)=2022,YEAR(M1398)=2023),CONCATENATE("Se activó en ",YEAR(M1398)),
IF(AND(OR(O1398="En proceso",O1398="facturando"),AND(J1398="-",M1398="")),"Por revisar",
IF(M1398="",IF(J1398="NUEVAS",CONCATENATE("Estado: ",O1398,", ",J1398),
IF(L1398=Meses!$A$3,"Por revisar",
IF(H1398="","Sin registro","En programación Frcst."))),"En programación")))),
"Error")</f>
        <v>En programación</v>
      </c>
      <c r="Q1398" s="9" t="str">
        <f t="shared" si="63"/>
        <v/>
      </c>
      <c r="R1398" s="25">
        <f>IF(P1398="En programación Frcst.",VLOOKUP(L1398,Meses!$A$1:$H$14,3+HLOOKUP(Cronograma!J1398,Meses!$D$1:$G$2,2,FALSE),FALSE),
IF(P1398="En programación",M1398,""))</f>
        <v>45400</v>
      </c>
      <c r="S1398" s="25" t="str">
        <f t="shared" si="65"/>
        <v>2024/4</v>
      </c>
      <c r="T1398" s="21">
        <f>IFERROR(
(VLOOKUP(MONTH(R1398),Meses!$B$3:$C$14,2,FALSE)-DAY(R1398))/VLOOKUP(MONTH(R1398),Meses!$B$3:$C$14,2,FALSE)*U1398,
"")</f>
        <v>2828.8</v>
      </c>
      <c r="U1398" s="22">
        <f t="shared" si="64"/>
        <v>7072</v>
      </c>
    </row>
    <row r="1399" spans="1:21" ht="31.8" hidden="1" thickBot="1" x14ac:dyDescent="0.6">
      <c r="A1399" s="10" t="s">
        <v>1755</v>
      </c>
      <c r="B1399" s="10" t="s">
        <v>1756</v>
      </c>
      <c r="C1399" s="12"/>
      <c r="D1399" s="10" t="s">
        <v>14</v>
      </c>
      <c r="E1399" s="10" t="s">
        <v>14</v>
      </c>
      <c r="F1399" s="10">
        <v>4120</v>
      </c>
      <c r="G1399" s="10" t="s">
        <v>15</v>
      </c>
      <c r="H1399" s="10" t="s">
        <v>1050</v>
      </c>
      <c r="I1399" s="10" t="s">
        <v>18</v>
      </c>
      <c r="J1399" s="10" t="s">
        <v>277</v>
      </c>
      <c r="K1399" s="10" t="s">
        <v>3327</v>
      </c>
      <c r="L1399" s="10" t="s">
        <v>2292</v>
      </c>
      <c r="M1399" s="12">
        <v>45400</v>
      </c>
      <c r="N1399" s="10" t="s">
        <v>15</v>
      </c>
      <c r="O1399" s="10" t="s">
        <v>2057</v>
      </c>
      <c r="P1399" s="25" t="str">
        <f>IFERROR(
IF(OR(O1399="anulado",O1399="stand by"),CONCATENATE(O1399,": ",H1399),
IF(OR(YEAR(M1399)=2022,YEAR(M1399)=2023),CONCATENATE("Se activó en ",YEAR(M1399)),
IF(AND(OR(O1399="En proceso",O1399="facturando"),AND(J1399="-",M1399="")),"Por revisar",
IF(M1399="",IF(J1399="NUEVAS",CONCATENATE("Estado: ",O1399,", ",J1399),
IF(L1399=Meses!$A$3,"Por revisar",
IF(H1399="","Sin registro","En programación Frcst."))),"En programación")))),
"Error")</f>
        <v>En programación</v>
      </c>
      <c r="Q1399" s="9" t="str">
        <f t="shared" si="63"/>
        <v/>
      </c>
      <c r="R1399" s="25">
        <f>IF(P1399="En programación Frcst.",VLOOKUP(L1399,Meses!$A$1:$H$14,3+HLOOKUP(Cronograma!J1399,Meses!$D$1:$G$2,2,FALSE),FALSE),
IF(P1399="En programación",M1399,""))</f>
        <v>45400</v>
      </c>
      <c r="S1399" s="25" t="str">
        <f t="shared" si="65"/>
        <v>2024/4</v>
      </c>
      <c r="T1399" s="21">
        <f>IFERROR(
(VLOOKUP(MONTH(R1399),Meses!$B$3:$C$14,2,FALSE)-DAY(R1399))/VLOOKUP(MONTH(R1399),Meses!$B$3:$C$14,2,FALSE)*U1399,
"")</f>
        <v>1648</v>
      </c>
      <c r="U1399" s="22">
        <f t="shared" si="64"/>
        <v>4120</v>
      </c>
    </row>
    <row r="1400" spans="1:21" ht="31.8" hidden="1" thickBot="1" x14ac:dyDescent="0.6">
      <c r="A1400" s="10" t="s">
        <v>1757</v>
      </c>
      <c r="B1400" s="10" t="s">
        <v>1758</v>
      </c>
      <c r="C1400" s="12">
        <v>45292</v>
      </c>
      <c r="D1400" s="10" t="s">
        <v>14</v>
      </c>
      <c r="E1400" s="10" t="s">
        <v>14</v>
      </c>
      <c r="F1400" s="10">
        <v>68272</v>
      </c>
      <c r="G1400" s="10" t="s">
        <v>20</v>
      </c>
      <c r="H1400" s="10" t="s">
        <v>17</v>
      </c>
      <c r="I1400" s="10" t="s">
        <v>66</v>
      </c>
      <c r="J1400" s="10" t="s">
        <v>282</v>
      </c>
      <c r="K1400" s="10" t="s">
        <v>283</v>
      </c>
      <c r="L1400" s="10" t="s">
        <v>279</v>
      </c>
      <c r="M1400" s="12"/>
      <c r="N1400" s="10" t="s">
        <v>15</v>
      </c>
      <c r="O1400" s="10" t="s">
        <v>2054</v>
      </c>
      <c r="P1400" s="25" t="str">
        <f>IFERROR(
IF(OR(O1400="anulado",O1400="stand by"),CONCATENATE(O1400,": ",H1400),
IF(OR(YEAR(M1400)=2022,YEAR(M1400)=2023),CONCATENATE("Se activó en ",YEAR(M1400)),
IF(AND(OR(O1400="En proceso",O1400="facturando"),AND(J1400="-",M1400="")),"Por revisar",
IF(M1400="",IF(J1400="NUEVAS",CONCATENATE("Estado: ",O1400,", ",J1400),
IF(L1400=Meses!$A$3,"Por revisar",
IF(H1400="","Sin registro","En programación Frcst."))),"En programación")))),
"Error")</f>
        <v>En programación Frcst.</v>
      </c>
      <c r="Q1400" s="9" t="str">
        <f t="shared" si="63"/>
        <v/>
      </c>
      <c r="R1400" s="25">
        <f>IF(P1400="En programación Frcst.",VLOOKUP(L1400,Meses!$A$1:$H$14,3+HLOOKUP(Cronograma!J1400,Meses!$D$1:$G$2,2,FALSE),FALSE),
IF(P1400="En programación",M1400,""))</f>
        <v>45295</v>
      </c>
      <c r="S1400" s="25" t="str">
        <f t="shared" si="65"/>
        <v>2024/1</v>
      </c>
      <c r="T1400" s="21">
        <f>IFERROR(
(VLOOKUP(MONTH(R1400),Meses!$B$3:$C$14,2,FALSE)-DAY(R1400))/VLOOKUP(MONTH(R1400),Meses!$B$3:$C$14,2,FALSE)*U1400,
"")</f>
        <v>59462.709677419356</v>
      </c>
      <c r="U1400" s="22">
        <f t="shared" si="64"/>
        <v>68272</v>
      </c>
    </row>
    <row r="1401" spans="1:21" ht="31.8" hidden="1" thickBot="1" x14ac:dyDescent="0.6">
      <c r="A1401" s="10" t="s">
        <v>1757</v>
      </c>
      <c r="B1401" s="10" t="s">
        <v>1759</v>
      </c>
      <c r="C1401" s="12">
        <v>45292</v>
      </c>
      <c r="D1401" s="10" t="s">
        <v>14</v>
      </c>
      <c r="E1401" s="10" t="s">
        <v>14</v>
      </c>
      <c r="F1401" s="10">
        <v>221728</v>
      </c>
      <c r="G1401" s="10" t="s">
        <v>20</v>
      </c>
      <c r="H1401" s="10" t="s">
        <v>17</v>
      </c>
      <c r="I1401" s="10" t="s">
        <v>66</v>
      </c>
      <c r="J1401" s="10" t="s">
        <v>282</v>
      </c>
      <c r="K1401" s="10" t="s">
        <v>283</v>
      </c>
      <c r="L1401" s="10" t="s">
        <v>279</v>
      </c>
      <c r="M1401" s="12"/>
      <c r="N1401" s="10" t="s">
        <v>15</v>
      </c>
      <c r="O1401" s="10" t="s">
        <v>2054</v>
      </c>
      <c r="P1401" s="25" t="str">
        <f>IFERROR(
IF(OR(O1401="anulado",O1401="stand by"),CONCATENATE(O1401,": ",H1401),
IF(OR(YEAR(M1401)=2022,YEAR(M1401)=2023),CONCATENATE("Se activó en ",YEAR(M1401)),
IF(AND(OR(O1401="En proceso",O1401="facturando"),AND(J1401="-",M1401="")),"Por revisar",
IF(M1401="",IF(J1401="NUEVAS",CONCATENATE("Estado: ",O1401,", ",J1401),
IF(L1401=Meses!$A$3,"Por revisar",
IF(H1401="","Sin registro","En programación Frcst."))),"En programación")))),
"Error")</f>
        <v>En programación Frcst.</v>
      </c>
      <c r="Q1401" s="9" t="str">
        <f t="shared" si="63"/>
        <v/>
      </c>
      <c r="R1401" s="25">
        <f>IF(P1401="En programación Frcst.",VLOOKUP(L1401,Meses!$A$1:$H$14,3+HLOOKUP(Cronograma!J1401,Meses!$D$1:$G$2,2,FALSE),FALSE),
IF(P1401="En programación",M1401,""))</f>
        <v>45295</v>
      </c>
      <c r="S1401" s="25" t="str">
        <f t="shared" si="65"/>
        <v>2024/1</v>
      </c>
      <c r="T1401" s="21">
        <f>IFERROR(
(VLOOKUP(MONTH(R1401),Meses!$B$3:$C$14,2,FALSE)-DAY(R1401))/VLOOKUP(MONTH(R1401),Meses!$B$3:$C$14,2,FALSE)*U1401,
"")</f>
        <v>193117.93548387097</v>
      </c>
      <c r="U1401" s="22">
        <f t="shared" si="64"/>
        <v>221728</v>
      </c>
    </row>
    <row r="1402" spans="1:21" ht="31.8" hidden="1" thickBot="1" x14ac:dyDescent="0.6">
      <c r="A1402" s="10" t="s">
        <v>1760</v>
      </c>
      <c r="B1402" s="10" t="s">
        <v>1761</v>
      </c>
      <c r="C1402" s="12"/>
      <c r="D1402" s="10" t="s">
        <v>74</v>
      </c>
      <c r="E1402" s="10" t="s">
        <v>74</v>
      </c>
      <c r="F1402" s="10">
        <v>7500</v>
      </c>
      <c r="G1402" s="10" t="s">
        <v>15</v>
      </c>
      <c r="H1402" s="10" t="s">
        <v>2917</v>
      </c>
      <c r="I1402" s="10" t="s">
        <v>43</v>
      </c>
      <c r="J1402" s="10" t="s">
        <v>292</v>
      </c>
      <c r="K1402" s="10" t="s">
        <v>3325</v>
      </c>
      <c r="L1402" s="10" t="s">
        <v>2292</v>
      </c>
      <c r="M1402" s="12">
        <v>45407</v>
      </c>
      <c r="N1402" s="10" t="s">
        <v>15</v>
      </c>
      <c r="O1402" s="10" t="s">
        <v>2057</v>
      </c>
      <c r="P1402" s="25" t="str">
        <f>IFERROR(
IF(OR(O1402="anulado",O1402="stand by"),CONCATENATE(O1402,": ",H1402),
IF(OR(YEAR(M1402)=2022,YEAR(M1402)=2023),CONCATENATE("Se activó en ",YEAR(M1402)),
IF(AND(OR(O1402="En proceso",O1402="facturando"),AND(J1402="-",M1402="")),"Por revisar",
IF(M1402="",IF(J1402="NUEVAS",CONCATENATE("Estado: ",O1402,", ",J1402),
IF(L1402=Meses!$A$3,"Por revisar",
IF(H1402="","Sin registro","En programación Frcst."))),"En programación")))),
"Error")</f>
        <v>En programación</v>
      </c>
      <c r="Q1402" s="9" t="str">
        <f t="shared" si="63"/>
        <v/>
      </c>
      <c r="R1402" s="25">
        <f>IF(P1402="En programación Frcst.",VLOOKUP(L1402,Meses!$A$1:$H$14,3+HLOOKUP(Cronograma!J1402,Meses!$D$1:$G$2,2,FALSE),FALSE),
IF(P1402="En programación",M1402,""))</f>
        <v>45407</v>
      </c>
      <c r="S1402" s="25" t="str">
        <f t="shared" si="65"/>
        <v>2024/4</v>
      </c>
      <c r="T1402" s="21">
        <f>IFERROR(
(VLOOKUP(MONTH(R1402),Meses!$B$3:$C$14,2,FALSE)-DAY(R1402))/VLOOKUP(MONTH(R1402),Meses!$B$3:$C$14,2,FALSE)*U1402,
"")</f>
        <v>1250</v>
      </c>
      <c r="U1402" s="22">
        <f t="shared" si="64"/>
        <v>7500</v>
      </c>
    </row>
    <row r="1403" spans="1:21" ht="47.4" hidden="1" thickBot="1" x14ac:dyDescent="0.6">
      <c r="A1403" s="10" t="s">
        <v>1762</v>
      </c>
      <c r="B1403" s="10" t="s">
        <v>1763</v>
      </c>
      <c r="C1403" s="12"/>
      <c r="D1403" s="10" t="s">
        <v>74</v>
      </c>
      <c r="E1403" s="10" t="s">
        <v>74</v>
      </c>
      <c r="F1403" s="10">
        <v>5920</v>
      </c>
      <c r="G1403" s="10" t="s">
        <v>15</v>
      </c>
      <c r="H1403" s="10" t="s">
        <v>2917</v>
      </c>
      <c r="I1403" s="10" t="s">
        <v>43</v>
      </c>
      <c r="J1403" s="10" t="s">
        <v>143</v>
      </c>
      <c r="K1403" s="10" t="s">
        <v>2895</v>
      </c>
      <c r="L1403" s="10" t="s">
        <v>2292</v>
      </c>
      <c r="M1403" s="12">
        <v>45400</v>
      </c>
      <c r="N1403" s="10" t="s">
        <v>15</v>
      </c>
      <c r="O1403" s="10" t="s">
        <v>2057</v>
      </c>
      <c r="P1403" s="25" t="str">
        <f>IFERROR(
IF(OR(O1403="anulado",O1403="stand by"),CONCATENATE(O1403,": ",H1403),
IF(OR(YEAR(M1403)=2022,YEAR(M1403)=2023),CONCATENATE("Se activó en ",YEAR(M1403)),
IF(AND(OR(O1403="En proceso",O1403="facturando"),AND(J1403="-",M1403="")),"Por revisar",
IF(M1403="",IF(J1403="NUEVAS",CONCATENATE("Estado: ",O1403,", ",J1403),
IF(L1403=Meses!$A$3,"Por revisar",
IF(H1403="","Sin registro","En programación Frcst."))),"En programación")))),
"Error")</f>
        <v>En programación</v>
      </c>
      <c r="Q1403" s="9" t="str">
        <f t="shared" si="63"/>
        <v/>
      </c>
      <c r="R1403" s="25">
        <f>IF(P1403="En programación Frcst.",VLOOKUP(L1403,Meses!$A$1:$H$14,3+HLOOKUP(Cronograma!J1403,Meses!$D$1:$G$2,2,FALSE),FALSE),
IF(P1403="En programación",M1403,""))</f>
        <v>45400</v>
      </c>
      <c r="S1403" s="25" t="str">
        <f t="shared" si="65"/>
        <v>2024/4</v>
      </c>
      <c r="T1403" s="21">
        <f>IFERROR(
(VLOOKUP(MONTH(R1403),Meses!$B$3:$C$14,2,FALSE)-DAY(R1403))/VLOOKUP(MONTH(R1403),Meses!$B$3:$C$14,2,FALSE)*U1403,
"")</f>
        <v>2368</v>
      </c>
      <c r="U1403" s="22">
        <f t="shared" si="64"/>
        <v>5920</v>
      </c>
    </row>
    <row r="1404" spans="1:21" ht="63" hidden="1" thickBot="1" x14ac:dyDescent="0.6">
      <c r="A1404" s="10" t="s">
        <v>1764</v>
      </c>
      <c r="B1404" s="10" t="s">
        <v>1765</v>
      </c>
      <c r="C1404" s="12"/>
      <c r="D1404" s="10" t="s">
        <v>44</v>
      </c>
      <c r="E1404" s="10" t="s">
        <v>44</v>
      </c>
      <c r="F1404" s="10">
        <v>3360</v>
      </c>
      <c r="G1404" s="10" t="s">
        <v>15</v>
      </c>
      <c r="H1404" s="10" t="s">
        <v>140</v>
      </c>
      <c r="I1404" s="10" t="s">
        <v>43</v>
      </c>
      <c r="J1404" s="10" t="s">
        <v>143</v>
      </c>
      <c r="K1404" s="10" t="s">
        <v>2895</v>
      </c>
      <c r="L1404" s="10" t="s">
        <v>2292</v>
      </c>
      <c r="M1404" s="12">
        <v>45393</v>
      </c>
      <c r="N1404" s="10" t="s">
        <v>15</v>
      </c>
      <c r="O1404" s="10" t="s">
        <v>2056</v>
      </c>
      <c r="P1404" s="25" t="str">
        <f>IFERROR(
IF(OR(O1404="anulado",O1404="stand by"),CONCATENATE(O1404,": ",H1404),
IF(OR(YEAR(M1404)=2022,YEAR(M1404)=2023),CONCATENATE("Se activó en ",YEAR(M1404)),
IF(AND(OR(O1404="En proceso",O1404="facturando"),AND(J1404="-",M1404="")),"Por revisar",
IF(M1404="",IF(J1404="NUEVAS",CONCATENATE("Estado: ",O1404,", ",J1404),
IF(L1404=Meses!$A$3,"Por revisar",
IF(H1404="","Sin registro","En programación Frcst."))),"En programación")))),
"Error")</f>
        <v>anulado: Desistido</v>
      </c>
      <c r="Q1404" s="9" t="str">
        <f t="shared" si="63"/>
        <v/>
      </c>
      <c r="R1404" s="25" t="str">
        <f>IF(P1404="En programación Frcst.",VLOOKUP(L1404,Meses!$A$1:$H$14,3+HLOOKUP(Cronograma!J1404,Meses!$D$1:$G$2,2,FALSE),FALSE),
IF(P1404="En programación",M1404,""))</f>
        <v/>
      </c>
      <c r="S1404" s="25" t="str">
        <f t="shared" si="65"/>
        <v/>
      </c>
      <c r="T1404" s="21" t="str">
        <f>IFERROR(
(VLOOKUP(MONTH(R1404),Meses!$B$3:$C$14,2,FALSE)-DAY(R1404))/VLOOKUP(MONTH(R1404),Meses!$B$3:$C$14,2,FALSE)*U1404,
"")</f>
        <v/>
      </c>
      <c r="U1404" s="22">
        <f t="shared" si="64"/>
        <v>3360</v>
      </c>
    </row>
    <row r="1405" spans="1:21" ht="31.8" hidden="1" thickBot="1" x14ac:dyDescent="0.6">
      <c r="A1405" s="10" t="s">
        <v>1177</v>
      </c>
      <c r="B1405" s="10" t="s">
        <v>1766</v>
      </c>
      <c r="C1405" s="12"/>
      <c r="D1405" s="10" t="s">
        <v>74</v>
      </c>
      <c r="E1405" s="10" t="s">
        <v>74</v>
      </c>
      <c r="F1405" s="10">
        <v>4305</v>
      </c>
      <c r="G1405" s="10" t="s">
        <v>15</v>
      </c>
      <c r="H1405" s="10" t="s">
        <v>2917</v>
      </c>
      <c r="I1405" s="10" t="s">
        <v>43</v>
      </c>
      <c r="J1405" s="10" t="s">
        <v>143</v>
      </c>
      <c r="K1405" s="10" t="s">
        <v>2895</v>
      </c>
      <c r="L1405" s="10" t="s">
        <v>2292</v>
      </c>
      <c r="M1405" s="12">
        <v>45400</v>
      </c>
      <c r="N1405" s="10" t="s">
        <v>15</v>
      </c>
      <c r="O1405" s="10" t="s">
        <v>2057</v>
      </c>
      <c r="P1405" s="25" t="str">
        <f>IFERROR(
IF(OR(O1405="anulado",O1405="stand by"),CONCATENATE(O1405,": ",H1405),
IF(OR(YEAR(M1405)=2022,YEAR(M1405)=2023),CONCATENATE("Se activó en ",YEAR(M1405)),
IF(AND(OR(O1405="En proceso",O1405="facturando"),AND(J1405="-",M1405="")),"Por revisar",
IF(M1405="",IF(J1405="NUEVAS",CONCATENATE("Estado: ",O1405,", ",J1405),
IF(L1405=Meses!$A$3,"Por revisar",
IF(H1405="","Sin registro","En programación Frcst."))),"En programación")))),
"Error")</f>
        <v>En programación</v>
      </c>
      <c r="Q1405" s="9" t="str">
        <f t="shared" si="63"/>
        <v/>
      </c>
      <c r="R1405" s="25">
        <f>IF(P1405="En programación Frcst.",VLOOKUP(L1405,Meses!$A$1:$H$14,3+HLOOKUP(Cronograma!J1405,Meses!$D$1:$G$2,2,FALSE),FALSE),
IF(P1405="En programación",M1405,""))</f>
        <v>45400</v>
      </c>
      <c r="S1405" s="25" t="str">
        <f t="shared" si="65"/>
        <v>2024/4</v>
      </c>
      <c r="T1405" s="21">
        <f>IFERROR(
(VLOOKUP(MONTH(R1405),Meses!$B$3:$C$14,2,FALSE)-DAY(R1405))/VLOOKUP(MONTH(R1405),Meses!$B$3:$C$14,2,FALSE)*U1405,
"")</f>
        <v>1722</v>
      </c>
      <c r="U1405" s="22">
        <f t="shared" si="64"/>
        <v>4305</v>
      </c>
    </row>
    <row r="1406" spans="1:21" ht="47.4" hidden="1" thickBot="1" x14ac:dyDescent="0.6">
      <c r="A1406" s="10" t="s">
        <v>1762</v>
      </c>
      <c r="B1406" s="10" t="s">
        <v>1767</v>
      </c>
      <c r="C1406" s="12"/>
      <c r="D1406" s="10" t="s">
        <v>74</v>
      </c>
      <c r="E1406" s="10" t="s">
        <v>74</v>
      </c>
      <c r="F1406" s="10">
        <v>5760</v>
      </c>
      <c r="G1406" s="10" t="s">
        <v>15</v>
      </c>
      <c r="H1406" s="10" t="s">
        <v>140</v>
      </c>
      <c r="I1406" s="10" t="s">
        <v>43</v>
      </c>
      <c r="J1406" s="10" t="s">
        <v>19</v>
      </c>
      <c r="K1406" s="10" t="s">
        <v>19</v>
      </c>
      <c r="L1406" s="10" t="s">
        <v>19</v>
      </c>
      <c r="M1406" s="12"/>
      <c r="N1406" s="10" t="s">
        <v>15</v>
      </c>
      <c r="O1406" s="10" t="s">
        <v>2056</v>
      </c>
      <c r="P1406" s="25" t="str">
        <f>IFERROR(
IF(OR(O1406="anulado",O1406="stand by"),CONCATENATE(O1406,": ",H1406),
IF(OR(YEAR(M1406)=2022,YEAR(M1406)=2023),CONCATENATE("Se activó en ",YEAR(M1406)),
IF(AND(OR(O1406="En proceso",O1406="facturando"),AND(J1406="-",M1406="")),"Por revisar",
IF(M1406="",IF(J1406="NUEVAS",CONCATENATE("Estado: ",O1406,", ",J1406),
IF(L1406=Meses!$A$3,"Por revisar",
IF(H1406="","Sin registro","En programación Frcst."))),"En programación")))),
"Error")</f>
        <v>anulado: Desistido</v>
      </c>
      <c r="Q1406" s="9" t="str">
        <f t="shared" si="63"/>
        <v/>
      </c>
      <c r="R1406" s="25" t="str">
        <f>IF(P1406="En programación Frcst.",VLOOKUP(L1406,Meses!$A$1:$H$14,3+HLOOKUP(Cronograma!J1406,Meses!$D$1:$G$2,2,FALSE),FALSE),
IF(P1406="En programación",M1406,""))</f>
        <v/>
      </c>
      <c r="S1406" s="25" t="str">
        <f t="shared" si="65"/>
        <v/>
      </c>
      <c r="T1406" s="21" t="str">
        <f>IFERROR(
(VLOOKUP(MONTH(R1406),Meses!$B$3:$C$14,2,FALSE)-DAY(R1406))/VLOOKUP(MONTH(R1406),Meses!$B$3:$C$14,2,FALSE)*U1406,
"")</f>
        <v/>
      </c>
      <c r="U1406" s="22">
        <f t="shared" si="64"/>
        <v>5760</v>
      </c>
    </row>
    <row r="1407" spans="1:21" ht="47.4" hidden="1" thickBot="1" x14ac:dyDescent="0.6">
      <c r="A1407" s="10" t="s">
        <v>1762</v>
      </c>
      <c r="B1407" s="10" t="s">
        <v>1768</v>
      </c>
      <c r="C1407" s="12"/>
      <c r="D1407" s="10" t="s">
        <v>74</v>
      </c>
      <c r="E1407" s="10" t="s">
        <v>74</v>
      </c>
      <c r="F1407" s="10">
        <v>12372</v>
      </c>
      <c r="G1407" s="10" t="s">
        <v>15</v>
      </c>
      <c r="H1407" s="10" t="s">
        <v>2917</v>
      </c>
      <c r="I1407" s="10" t="s">
        <v>43</v>
      </c>
      <c r="J1407" s="10" t="s">
        <v>143</v>
      </c>
      <c r="K1407" s="10" t="s">
        <v>2895</v>
      </c>
      <c r="L1407" s="10" t="s">
        <v>2292</v>
      </c>
      <c r="M1407" s="12">
        <v>45400</v>
      </c>
      <c r="N1407" s="10" t="s">
        <v>15</v>
      </c>
      <c r="O1407" s="10" t="s">
        <v>2057</v>
      </c>
      <c r="P1407" s="25" t="str">
        <f>IFERROR(
IF(OR(O1407="anulado",O1407="stand by"),CONCATENATE(O1407,": ",H1407),
IF(OR(YEAR(M1407)=2022,YEAR(M1407)=2023),CONCATENATE("Se activó en ",YEAR(M1407)),
IF(AND(OR(O1407="En proceso",O1407="facturando"),AND(J1407="-",M1407="")),"Por revisar",
IF(M1407="",IF(J1407="NUEVAS",CONCATENATE("Estado: ",O1407,", ",J1407),
IF(L1407=Meses!$A$3,"Por revisar",
IF(H1407="","Sin registro","En programación Frcst."))),"En programación")))),
"Error")</f>
        <v>En programación</v>
      </c>
      <c r="Q1407" s="9" t="str">
        <f t="shared" si="63"/>
        <v/>
      </c>
      <c r="R1407" s="25">
        <f>IF(P1407="En programación Frcst.",VLOOKUP(L1407,Meses!$A$1:$H$14,3+HLOOKUP(Cronograma!J1407,Meses!$D$1:$G$2,2,FALSE),FALSE),
IF(P1407="En programación",M1407,""))</f>
        <v>45400</v>
      </c>
      <c r="S1407" s="25" t="str">
        <f t="shared" si="65"/>
        <v>2024/4</v>
      </c>
      <c r="T1407" s="21">
        <f>IFERROR(
(VLOOKUP(MONTH(R1407),Meses!$B$3:$C$14,2,FALSE)-DAY(R1407))/VLOOKUP(MONTH(R1407),Meses!$B$3:$C$14,2,FALSE)*U1407,
"")</f>
        <v>4948.8</v>
      </c>
      <c r="U1407" s="22">
        <f t="shared" si="64"/>
        <v>12372</v>
      </c>
    </row>
    <row r="1408" spans="1:21" ht="31.8" hidden="1" thickBot="1" x14ac:dyDescent="0.6">
      <c r="A1408" s="10" t="s">
        <v>1177</v>
      </c>
      <c r="B1408" s="10" t="s">
        <v>1769</v>
      </c>
      <c r="C1408" s="12"/>
      <c r="D1408" s="10" t="s">
        <v>44</v>
      </c>
      <c r="E1408" s="10" t="s">
        <v>44</v>
      </c>
      <c r="F1408" s="10">
        <v>14042</v>
      </c>
      <c r="G1408" s="10" t="s">
        <v>15</v>
      </c>
      <c r="H1408" s="10" t="s">
        <v>2917</v>
      </c>
      <c r="I1408" s="10" t="s">
        <v>43</v>
      </c>
      <c r="J1408" s="10" t="s">
        <v>143</v>
      </c>
      <c r="K1408" s="10" t="s">
        <v>2895</v>
      </c>
      <c r="L1408" s="10" t="s">
        <v>2292</v>
      </c>
      <c r="M1408" s="12">
        <v>45400</v>
      </c>
      <c r="N1408" s="10" t="s">
        <v>15</v>
      </c>
      <c r="O1408" s="10" t="s">
        <v>2057</v>
      </c>
      <c r="P1408" s="25" t="str">
        <f>IFERROR(
IF(OR(O1408="anulado",O1408="stand by"),CONCATENATE(O1408,": ",H1408),
IF(OR(YEAR(M1408)=2022,YEAR(M1408)=2023),CONCATENATE("Se activó en ",YEAR(M1408)),
IF(AND(OR(O1408="En proceso",O1408="facturando"),AND(J1408="-",M1408="")),"Por revisar",
IF(M1408="",IF(J1408="NUEVAS",CONCATENATE("Estado: ",O1408,", ",J1408),
IF(L1408=Meses!$A$3,"Por revisar",
IF(H1408="","Sin registro","En programación Frcst."))),"En programación")))),
"Error")</f>
        <v>En programación</v>
      </c>
      <c r="Q1408" s="9" t="str">
        <f t="shared" si="63"/>
        <v/>
      </c>
      <c r="R1408" s="25">
        <f>IF(P1408="En programación Frcst.",VLOOKUP(L1408,Meses!$A$1:$H$14,3+HLOOKUP(Cronograma!J1408,Meses!$D$1:$G$2,2,FALSE),FALSE),
IF(P1408="En programación",M1408,""))</f>
        <v>45400</v>
      </c>
      <c r="S1408" s="25" t="str">
        <f t="shared" si="65"/>
        <v>2024/4</v>
      </c>
      <c r="T1408" s="21">
        <f>IFERROR(
(VLOOKUP(MONTH(R1408),Meses!$B$3:$C$14,2,FALSE)-DAY(R1408))/VLOOKUP(MONTH(R1408),Meses!$B$3:$C$14,2,FALSE)*U1408,
"")</f>
        <v>5616.8</v>
      </c>
      <c r="U1408" s="22">
        <f t="shared" si="64"/>
        <v>14042</v>
      </c>
    </row>
    <row r="1409" spans="1:21" ht="31.8" hidden="1" thickBot="1" x14ac:dyDescent="0.6">
      <c r="A1409" s="10" t="s">
        <v>1177</v>
      </c>
      <c r="B1409" s="10" t="s">
        <v>1770</v>
      </c>
      <c r="C1409" s="12"/>
      <c r="D1409" s="10" t="s">
        <v>44</v>
      </c>
      <c r="E1409" s="10" t="s">
        <v>44</v>
      </c>
      <c r="F1409" s="10">
        <v>5040</v>
      </c>
      <c r="G1409" s="10" t="s">
        <v>15</v>
      </c>
      <c r="H1409" s="10" t="s">
        <v>2917</v>
      </c>
      <c r="I1409" s="10" t="s">
        <v>43</v>
      </c>
      <c r="J1409" s="10" t="s">
        <v>143</v>
      </c>
      <c r="K1409" s="10" t="s">
        <v>2895</v>
      </c>
      <c r="L1409" s="10" t="s">
        <v>2292</v>
      </c>
      <c r="M1409" s="12">
        <v>45400</v>
      </c>
      <c r="N1409" s="10" t="s">
        <v>15</v>
      </c>
      <c r="O1409" s="10" t="s">
        <v>2057</v>
      </c>
      <c r="P1409" s="25" t="str">
        <f>IFERROR(
IF(OR(O1409="anulado",O1409="stand by"),CONCATENATE(O1409,": ",H1409),
IF(OR(YEAR(M1409)=2022,YEAR(M1409)=2023),CONCATENATE("Se activó en ",YEAR(M1409)),
IF(AND(OR(O1409="En proceso",O1409="facturando"),AND(J1409="-",M1409="")),"Por revisar",
IF(M1409="",IF(J1409="NUEVAS",CONCATENATE("Estado: ",O1409,", ",J1409),
IF(L1409=Meses!$A$3,"Por revisar",
IF(H1409="","Sin registro","En programación Frcst."))),"En programación")))),
"Error")</f>
        <v>En programación</v>
      </c>
      <c r="Q1409" s="9" t="str">
        <f t="shared" si="63"/>
        <v/>
      </c>
      <c r="R1409" s="25">
        <f>IF(P1409="En programación Frcst.",VLOOKUP(L1409,Meses!$A$1:$H$14,3+HLOOKUP(Cronograma!J1409,Meses!$D$1:$G$2,2,FALSE),FALSE),
IF(P1409="En programación",M1409,""))</f>
        <v>45400</v>
      </c>
      <c r="S1409" s="25" t="str">
        <f t="shared" si="65"/>
        <v>2024/4</v>
      </c>
      <c r="T1409" s="21">
        <f>IFERROR(
(VLOOKUP(MONTH(R1409),Meses!$B$3:$C$14,2,FALSE)-DAY(R1409))/VLOOKUP(MONTH(R1409),Meses!$B$3:$C$14,2,FALSE)*U1409,
"")</f>
        <v>2016</v>
      </c>
      <c r="U1409" s="22">
        <f t="shared" si="64"/>
        <v>5040</v>
      </c>
    </row>
    <row r="1410" spans="1:21" ht="31.8" hidden="1" thickBot="1" x14ac:dyDescent="0.6">
      <c r="A1410" s="10" t="s">
        <v>1177</v>
      </c>
      <c r="B1410" s="10" t="s">
        <v>1771</v>
      </c>
      <c r="C1410" s="12"/>
      <c r="D1410" s="10" t="s">
        <v>74</v>
      </c>
      <c r="E1410" s="10" t="s">
        <v>74</v>
      </c>
      <c r="F1410" s="10">
        <v>20</v>
      </c>
      <c r="G1410" s="10" t="s">
        <v>15</v>
      </c>
      <c r="H1410" s="10" t="s">
        <v>2917</v>
      </c>
      <c r="I1410" s="10" t="s">
        <v>43</v>
      </c>
      <c r="J1410" s="10" t="s">
        <v>143</v>
      </c>
      <c r="K1410" s="10" t="s">
        <v>2895</v>
      </c>
      <c r="L1410" s="10" t="s">
        <v>2292</v>
      </c>
      <c r="M1410" s="12">
        <v>45400</v>
      </c>
      <c r="N1410" s="10" t="s">
        <v>15</v>
      </c>
      <c r="O1410" s="10" t="s">
        <v>2057</v>
      </c>
      <c r="P1410" s="25" t="str">
        <f>IFERROR(
IF(OR(O1410="anulado",O1410="stand by"),CONCATENATE(O1410,": ",H1410),
IF(OR(YEAR(M1410)=2022,YEAR(M1410)=2023),CONCATENATE("Se activó en ",YEAR(M1410)),
IF(AND(OR(O1410="En proceso",O1410="facturando"),AND(J1410="-",M1410="")),"Por revisar",
IF(M1410="",IF(J1410="NUEVAS",CONCATENATE("Estado: ",O1410,", ",J1410),
IF(L1410=Meses!$A$3,"Por revisar",
IF(H1410="","Sin registro","En programación Frcst."))),"En programación")))),
"Error")</f>
        <v>En programación</v>
      </c>
      <c r="Q1410" s="9" t="str">
        <f t="shared" ref="Q1410:Q1473" si="66">IF(P1410="Por revisar",CONCATENATE("programación de act. ",N1410,", estado: ",O1410,", Comercializador: ",D1410,", Etapa: ",H1410),"")</f>
        <v/>
      </c>
      <c r="R1410" s="25">
        <f>IF(P1410="En programación Frcst.",VLOOKUP(L1410,Meses!$A$1:$H$14,3+HLOOKUP(Cronograma!J1410,Meses!$D$1:$G$2,2,FALSE),FALSE),
IF(P1410="En programación",M1410,""))</f>
        <v>45400</v>
      </c>
      <c r="S1410" s="25" t="str">
        <f t="shared" si="65"/>
        <v>2024/4</v>
      </c>
      <c r="T1410" s="21">
        <f>IFERROR(
(VLOOKUP(MONTH(R1410),Meses!$B$3:$C$14,2,FALSE)-DAY(R1410))/VLOOKUP(MONTH(R1410),Meses!$B$3:$C$14,2,FALSE)*U1410,
"")</f>
        <v>8</v>
      </c>
      <c r="U1410" s="22">
        <f t="shared" ref="U1410:U1473" si="67">F1410</f>
        <v>20</v>
      </c>
    </row>
    <row r="1411" spans="1:21" ht="31.8" hidden="1" thickBot="1" x14ac:dyDescent="0.6">
      <c r="A1411" s="10" t="s">
        <v>1772</v>
      </c>
      <c r="B1411" s="10" t="s">
        <v>1773</v>
      </c>
      <c r="C1411" s="12"/>
      <c r="D1411" s="10" t="s">
        <v>74</v>
      </c>
      <c r="E1411" s="10" t="s">
        <v>74</v>
      </c>
      <c r="F1411" s="10">
        <v>6240</v>
      </c>
      <c r="G1411" s="10" t="s">
        <v>15</v>
      </c>
      <c r="H1411" s="10" t="s">
        <v>2917</v>
      </c>
      <c r="I1411" s="10" t="s">
        <v>43</v>
      </c>
      <c r="J1411" s="10" t="s">
        <v>143</v>
      </c>
      <c r="K1411" s="10" t="s">
        <v>2895</v>
      </c>
      <c r="L1411" s="10" t="s">
        <v>2292</v>
      </c>
      <c r="M1411" s="12">
        <v>45400</v>
      </c>
      <c r="N1411" s="10" t="s">
        <v>15</v>
      </c>
      <c r="O1411" s="10" t="s">
        <v>2057</v>
      </c>
      <c r="P1411" s="25" t="str">
        <f>IFERROR(
IF(OR(O1411="anulado",O1411="stand by"),CONCATENATE(O1411,": ",H1411),
IF(OR(YEAR(M1411)=2022,YEAR(M1411)=2023),CONCATENATE("Se activó en ",YEAR(M1411)),
IF(AND(OR(O1411="En proceso",O1411="facturando"),AND(J1411="-",M1411="")),"Por revisar",
IF(M1411="",IF(J1411="NUEVAS",CONCATENATE("Estado: ",O1411,", ",J1411),
IF(L1411=Meses!$A$3,"Por revisar",
IF(H1411="","Sin registro","En programación Frcst."))),"En programación")))),
"Error")</f>
        <v>En programación</v>
      </c>
      <c r="Q1411" s="9" t="str">
        <f t="shared" si="66"/>
        <v/>
      </c>
      <c r="R1411" s="25">
        <f>IF(P1411="En programación Frcst.",VLOOKUP(L1411,Meses!$A$1:$H$14,3+HLOOKUP(Cronograma!J1411,Meses!$D$1:$G$2,2,FALSE),FALSE),
IF(P1411="En programación",M1411,""))</f>
        <v>45400</v>
      </c>
      <c r="S1411" s="25" t="str">
        <f t="shared" ref="S1411:S1474" si="68">IFERROR(CONCATENATE(YEAR(R1411),"/",MONTH(R1411)),"")</f>
        <v>2024/4</v>
      </c>
      <c r="T1411" s="21">
        <f>IFERROR(
(VLOOKUP(MONTH(R1411),Meses!$B$3:$C$14,2,FALSE)-DAY(R1411))/VLOOKUP(MONTH(R1411),Meses!$B$3:$C$14,2,FALSE)*U1411,
"")</f>
        <v>2496</v>
      </c>
      <c r="U1411" s="22">
        <f t="shared" si="67"/>
        <v>6240</v>
      </c>
    </row>
    <row r="1412" spans="1:21" ht="47.4" hidden="1" thickBot="1" x14ac:dyDescent="0.6">
      <c r="A1412" s="10" t="s">
        <v>1774</v>
      </c>
      <c r="B1412" s="10" t="s">
        <v>1775</v>
      </c>
      <c r="C1412" s="12"/>
      <c r="D1412" s="10" t="s">
        <v>1207</v>
      </c>
      <c r="E1412" s="10" t="s">
        <v>289</v>
      </c>
      <c r="F1412" s="10">
        <v>45000</v>
      </c>
      <c r="G1412" s="10" t="s">
        <v>15</v>
      </c>
      <c r="H1412" s="10" t="s">
        <v>140</v>
      </c>
      <c r="I1412" s="10" t="s">
        <v>66</v>
      </c>
      <c r="J1412" s="10" t="s">
        <v>292</v>
      </c>
      <c r="K1412" s="10" t="s">
        <v>1697</v>
      </c>
      <c r="L1412" s="10" t="s">
        <v>1120</v>
      </c>
      <c r="M1412" s="12">
        <v>45379</v>
      </c>
      <c r="N1412" s="10" t="s">
        <v>15</v>
      </c>
      <c r="O1412" s="10" t="s">
        <v>2056</v>
      </c>
      <c r="P1412" s="25" t="str">
        <f>IFERROR(
IF(OR(O1412="anulado",O1412="stand by"),CONCATENATE(O1412,": ",H1412),
IF(OR(YEAR(M1412)=2022,YEAR(M1412)=2023),CONCATENATE("Se activó en ",YEAR(M1412)),
IF(AND(OR(O1412="En proceso",O1412="facturando"),AND(J1412="-",M1412="")),"Por revisar",
IF(M1412="",IF(J1412="NUEVAS",CONCATENATE("Estado: ",O1412,", ",J1412),
IF(L1412=Meses!$A$3,"Por revisar",
IF(H1412="","Sin registro","En programación Frcst."))),"En programación")))),
"Error")</f>
        <v>anulado: Desistido</v>
      </c>
      <c r="Q1412" s="9" t="str">
        <f t="shared" si="66"/>
        <v/>
      </c>
      <c r="R1412" s="25" t="str">
        <f>IF(P1412="En programación Frcst.",VLOOKUP(L1412,Meses!$A$1:$H$14,3+HLOOKUP(Cronograma!J1412,Meses!$D$1:$G$2,2,FALSE),FALSE),
IF(P1412="En programación",M1412,""))</f>
        <v/>
      </c>
      <c r="S1412" s="25" t="str">
        <f t="shared" si="68"/>
        <v/>
      </c>
      <c r="T1412" s="21" t="str">
        <f>IFERROR(
(VLOOKUP(MONTH(R1412),Meses!$B$3:$C$14,2,FALSE)-DAY(R1412))/VLOOKUP(MONTH(R1412),Meses!$B$3:$C$14,2,FALSE)*U1412,
"")</f>
        <v/>
      </c>
      <c r="U1412" s="22">
        <f t="shared" si="67"/>
        <v>45000</v>
      </c>
    </row>
    <row r="1413" spans="1:21" ht="63" hidden="1" thickBot="1" x14ac:dyDescent="0.6">
      <c r="A1413" s="10" t="s">
        <v>1776</v>
      </c>
      <c r="B1413" s="10" t="s">
        <v>1777</v>
      </c>
      <c r="C1413" s="12">
        <v>45302</v>
      </c>
      <c r="D1413" s="10" t="s">
        <v>654</v>
      </c>
      <c r="E1413" s="10" t="s">
        <v>74</v>
      </c>
      <c r="F1413" s="10">
        <v>15389</v>
      </c>
      <c r="G1413" s="10" t="s">
        <v>15</v>
      </c>
      <c r="H1413" s="10" t="s">
        <v>140</v>
      </c>
      <c r="I1413" s="10" t="s">
        <v>66</v>
      </c>
      <c r="J1413" s="10" t="s">
        <v>292</v>
      </c>
      <c r="K1413" s="10" t="s">
        <v>945</v>
      </c>
      <c r="L1413" s="10" t="s">
        <v>145</v>
      </c>
      <c r="M1413" s="12"/>
      <c r="N1413" s="10" t="s">
        <v>15</v>
      </c>
      <c r="O1413" s="10" t="s">
        <v>2056</v>
      </c>
      <c r="P1413" s="25" t="str">
        <f>IFERROR(
IF(OR(O1413="anulado",O1413="stand by"),CONCATENATE(O1413,": ",H1413),
IF(OR(YEAR(M1413)=2022,YEAR(M1413)=2023),CONCATENATE("Se activó en ",YEAR(M1413)),
IF(AND(OR(O1413="En proceso",O1413="facturando"),AND(J1413="-",M1413="")),"Por revisar",
IF(M1413="",IF(J1413="NUEVAS",CONCATENATE("Estado: ",O1413,", ",J1413),
IF(L1413=Meses!$A$3,"Por revisar",
IF(H1413="","Sin registro","En programación Frcst."))),"En programación")))),
"Error")</f>
        <v>anulado: Desistido</v>
      </c>
      <c r="Q1413" s="9" t="str">
        <f t="shared" si="66"/>
        <v/>
      </c>
      <c r="R1413" s="25" t="str">
        <f>IF(P1413="En programación Frcst.",VLOOKUP(L1413,Meses!$A$1:$H$14,3+HLOOKUP(Cronograma!J1413,Meses!$D$1:$G$2,2,FALSE),FALSE),
IF(P1413="En programación",M1413,""))</f>
        <v/>
      </c>
      <c r="S1413" s="25" t="str">
        <f t="shared" si="68"/>
        <v/>
      </c>
      <c r="T1413" s="21" t="str">
        <f>IFERROR(
(VLOOKUP(MONTH(R1413),Meses!$B$3:$C$14,2,FALSE)-DAY(R1413))/VLOOKUP(MONTH(R1413),Meses!$B$3:$C$14,2,FALSE)*U1413,
"")</f>
        <v/>
      </c>
      <c r="U1413" s="22">
        <f t="shared" si="67"/>
        <v>15389</v>
      </c>
    </row>
    <row r="1414" spans="1:21" ht="63" hidden="1" thickBot="1" x14ac:dyDescent="0.6">
      <c r="A1414" s="10" t="s">
        <v>1778</v>
      </c>
      <c r="B1414" s="10" t="s">
        <v>1779</v>
      </c>
      <c r="C1414" s="12"/>
      <c r="D1414" s="10" t="s">
        <v>14</v>
      </c>
      <c r="E1414" s="10" t="s">
        <v>14</v>
      </c>
      <c r="F1414" s="10">
        <v>1568</v>
      </c>
      <c r="G1414" s="10" t="s">
        <v>15</v>
      </c>
      <c r="H1414" s="10" t="s">
        <v>2916</v>
      </c>
      <c r="I1414" s="10" t="s">
        <v>18</v>
      </c>
      <c r="J1414" s="10" t="s">
        <v>277</v>
      </c>
      <c r="K1414" s="10" t="s">
        <v>3327</v>
      </c>
      <c r="L1414" s="10" t="s">
        <v>2292</v>
      </c>
      <c r="M1414" s="12">
        <v>45400</v>
      </c>
      <c r="N1414" s="10" t="s">
        <v>15</v>
      </c>
      <c r="O1414" s="10" t="s">
        <v>2057</v>
      </c>
      <c r="P1414" s="25" t="str">
        <f>IFERROR(
IF(OR(O1414="anulado",O1414="stand by"),CONCATENATE(O1414,": ",H1414),
IF(OR(YEAR(M1414)=2022,YEAR(M1414)=2023),CONCATENATE("Se activó en ",YEAR(M1414)),
IF(AND(OR(O1414="En proceso",O1414="facturando"),AND(J1414="-",M1414="")),"Por revisar",
IF(M1414="",IF(J1414="NUEVAS",CONCATENATE("Estado: ",O1414,", ",J1414),
IF(L1414=Meses!$A$3,"Por revisar",
IF(H1414="","Sin registro","En programación Frcst."))),"En programación")))),
"Error")</f>
        <v>En programación</v>
      </c>
      <c r="Q1414" s="9" t="str">
        <f t="shared" si="66"/>
        <v/>
      </c>
      <c r="R1414" s="25">
        <f>IF(P1414="En programación Frcst.",VLOOKUP(L1414,Meses!$A$1:$H$14,3+HLOOKUP(Cronograma!J1414,Meses!$D$1:$G$2,2,FALSE),FALSE),
IF(P1414="En programación",M1414,""))</f>
        <v>45400</v>
      </c>
      <c r="S1414" s="25" t="str">
        <f t="shared" si="68"/>
        <v>2024/4</v>
      </c>
      <c r="T1414" s="21">
        <f>IFERROR(
(VLOOKUP(MONTH(R1414),Meses!$B$3:$C$14,2,FALSE)-DAY(R1414))/VLOOKUP(MONTH(R1414),Meses!$B$3:$C$14,2,FALSE)*U1414,
"")</f>
        <v>627.20000000000005</v>
      </c>
      <c r="U1414" s="22">
        <f t="shared" si="67"/>
        <v>1568</v>
      </c>
    </row>
    <row r="1415" spans="1:21" ht="63" hidden="1" thickBot="1" x14ac:dyDescent="0.6">
      <c r="A1415" s="10" t="s">
        <v>1778</v>
      </c>
      <c r="B1415" s="10" t="s">
        <v>1780</v>
      </c>
      <c r="C1415" s="12"/>
      <c r="D1415" s="10" t="s">
        <v>14</v>
      </c>
      <c r="E1415" s="10" t="s">
        <v>14</v>
      </c>
      <c r="F1415" s="10">
        <v>1766</v>
      </c>
      <c r="G1415" s="10" t="s">
        <v>15</v>
      </c>
      <c r="H1415" s="10" t="s">
        <v>2916</v>
      </c>
      <c r="I1415" s="10" t="s">
        <v>18</v>
      </c>
      <c r="J1415" s="10" t="s">
        <v>277</v>
      </c>
      <c r="K1415" s="10" t="s">
        <v>3327</v>
      </c>
      <c r="L1415" s="10" t="s">
        <v>2292</v>
      </c>
      <c r="M1415" s="12">
        <v>45400</v>
      </c>
      <c r="N1415" s="10" t="s">
        <v>15</v>
      </c>
      <c r="O1415" s="10" t="s">
        <v>2057</v>
      </c>
      <c r="P1415" s="25" t="str">
        <f>IFERROR(
IF(OR(O1415="anulado",O1415="stand by"),CONCATENATE(O1415,": ",H1415),
IF(OR(YEAR(M1415)=2022,YEAR(M1415)=2023),CONCATENATE("Se activó en ",YEAR(M1415)),
IF(AND(OR(O1415="En proceso",O1415="facturando"),AND(J1415="-",M1415="")),"Por revisar",
IF(M1415="",IF(J1415="NUEVAS",CONCATENATE("Estado: ",O1415,", ",J1415),
IF(L1415=Meses!$A$3,"Por revisar",
IF(H1415="","Sin registro","En programación Frcst."))),"En programación")))),
"Error")</f>
        <v>En programación</v>
      </c>
      <c r="Q1415" s="9" t="str">
        <f t="shared" si="66"/>
        <v/>
      </c>
      <c r="R1415" s="25">
        <f>IF(P1415="En programación Frcst.",VLOOKUP(L1415,Meses!$A$1:$H$14,3+HLOOKUP(Cronograma!J1415,Meses!$D$1:$G$2,2,FALSE),FALSE),
IF(P1415="En programación",M1415,""))</f>
        <v>45400</v>
      </c>
      <c r="S1415" s="25" t="str">
        <f t="shared" si="68"/>
        <v>2024/4</v>
      </c>
      <c r="T1415" s="21">
        <f>IFERROR(
(VLOOKUP(MONTH(R1415),Meses!$B$3:$C$14,2,FALSE)-DAY(R1415))/VLOOKUP(MONTH(R1415),Meses!$B$3:$C$14,2,FALSE)*U1415,
"")</f>
        <v>706.40000000000009</v>
      </c>
      <c r="U1415" s="22">
        <f t="shared" si="67"/>
        <v>1766</v>
      </c>
    </row>
    <row r="1416" spans="1:21" ht="47.4" hidden="1" thickBot="1" x14ac:dyDescent="0.6">
      <c r="A1416" s="10" t="s">
        <v>1781</v>
      </c>
      <c r="B1416" s="10" t="s">
        <v>1782</v>
      </c>
      <c r="C1416" s="12">
        <v>45302</v>
      </c>
      <c r="D1416" s="10" t="s">
        <v>654</v>
      </c>
      <c r="E1416" s="10" t="s">
        <v>74</v>
      </c>
      <c r="F1416" s="10">
        <v>61716</v>
      </c>
      <c r="G1416" s="10" t="s">
        <v>15</v>
      </c>
      <c r="H1416" s="10" t="s">
        <v>140</v>
      </c>
      <c r="I1416" s="10" t="s">
        <v>66</v>
      </c>
      <c r="J1416" s="10" t="s">
        <v>292</v>
      </c>
      <c r="K1416" s="10" t="s">
        <v>945</v>
      </c>
      <c r="L1416" s="10" t="s">
        <v>145</v>
      </c>
      <c r="M1416" s="12"/>
      <c r="N1416" s="10" t="s">
        <v>15</v>
      </c>
      <c r="O1416" s="10" t="s">
        <v>2056</v>
      </c>
      <c r="P1416" s="25" t="str">
        <f>IFERROR(
IF(OR(O1416="anulado",O1416="stand by"),CONCATENATE(O1416,": ",H1416),
IF(OR(YEAR(M1416)=2022,YEAR(M1416)=2023),CONCATENATE("Se activó en ",YEAR(M1416)),
IF(AND(OR(O1416="En proceso",O1416="facturando"),AND(J1416="-",M1416="")),"Por revisar",
IF(M1416="",IF(J1416="NUEVAS",CONCATENATE("Estado: ",O1416,", ",J1416),
IF(L1416=Meses!$A$3,"Por revisar",
IF(H1416="","Sin registro","En programación Frcst."))),"En programación")))),
"Error")</f>
        <v>anulado: Desistido</v>
      </c>
      <c r="Q1416" s="9" t="str">
        <f t="shared" si="66"/>
        <v/>
      </c>
      <c r="R1416" s="25" t="str">
        <f>IF(P1416="En programación Frcst.",VLOOKUP(L1416,Meses!$A$1:$H$14,3+HLOOKUP(Cronograma!J1416,Meses!$D$1:$G$2,2,FALSE),FALSE),
IF(P1416="En programación",M1416,""))</f>
        <v/>
      </c>
      <c r="S1416" s="25" t="str">
        <f t="shared" si="68"/>
        <v/>
      </c>
      <c r="T1416" s="21" t="str">
        <f>IFERROR(
(VLOOKUP(MONTH(R1416),Meses!$B$3:$C$14,2,FALSE)-DAY(R1416))/VLOOKUP(MONTH(R1416),Meses!$B$3:$C$14,2,FALSE)*U1416,
"")</f>
        <v/>
      </c>
      <c r="U1416" s="22">
        <f t="shared" si="67"/>
        <v>61716</v>
      </c>
    </row>
    <row r="1417" spans="1:21" ht="47.4" hidden="1" thickBot="1" x14ac:dyDescent="0.6">
      <c r="A1417" s="10" t="s">
        <v>1781</v>
      </c>
      <c r="B1417" s="10" t="s">
        <v>1783</v>
      </c>
      <c r="C1417" s="12"/>
      <c r="D1417" s="10" t="s">
        <v>654</v>
      </c>
      <c r="E1417" s="10" t="s">
        <v>74</v>
      </c>
      <c r="F1417" s="10">
        <v>3873</v>
      </c>
      <c r="G1417" s="10" t="s">
        <v>15</v>
      </c>
      <c r="H1417" s="10" t="s">
        <v>140</v>
      </c>
      <c r="I1417" s="10" t="s">
        <v>66</v>
      </c>
      <c r="J1417" s="10" t="s">
        <v>292</v>
      </c>
      <c r="K1417" s="10" t="s">
        <v>1697</v>
      </c>
      <c r="L1417" s="10" t="s">
        <v>1120</v>
      </c>
      <c r="M1417" s="12">
        <v>45379</v>
      </c>
      <c r="N1417" s="10" t="s">
        <v>15</v>
      </c>
      <c r="O1417" s="10" t="s">
        <v>2056</v>
      </c>
      <c r="P1417" s="25" t="str">
        <f>IFERROR(
IF(OR(O1417="anulado",O1417="stand by"),CONCATENATE(O1417,": ",H1417),
IF(OR(YEAR(M1417)=2022,YEAR(M1417)=2023),CONCATENATE("Se activó en ",YEAR(M1417)),
IF(AND(OR(O1417="En proceso",O1417="facturando"),AND(J1417="-",M1417="")),"Por revisar",
IF(M1417="",IF(J1417="NUEVAS",CONCATENATE("Estado: ",O1417,", ",J1417),
IF(L1417=Meses!$A$3,"Por revisar",
IF(H1417="","Sin registro","En programación Frcst."))),"En programación")))),
"Error")</f>
        <v>anulado: Desistido</v>
      </c>
      <c r="Q1417" s="9" t="str">
        <f t="shared" si="66"/>
        <v/>
      </c>
      <c r="R1417" s="25" t="str">
        <f>IF(P1417="En programación Frcst.",VLOOKUP(L1417,Meses!$A$1:$H$14,3+HLOOKUP(Cronograma!J1417,Meses!$D$1:$G$2,2,FALSE),FALSE),
IF(P1417="En programación",M1417,""))</f>
        <v/>
      </c>
      <c r="S1417" s="25" t="str">
        <f t="shared" si="68"/>
        <v/>
      </c>
      <c r="T1417" s="21" t="str">
        <f>IFERROR(
(VLOOKUP(MONTH(R1417),Meses!$B$3:$C$14,2,FALSE)-DAY(R1417))/VLOOKUP(MONTH(R1417),Meses!$B$3:$C$14,2,FALSE)*U1417,
"")</f>
        <v/>
      </c>
      <c r="U1417" s="22">
        <f t="shared" si="67"/>
        <v>3873</v>
      </c>
    </row>
    <row r="1418" spans="1:21" ht="47.4" hidden="1" thickBot="1" x14ac:dyDescent="0.6">
      <c r="A1418" s="10" t="s">
        <v>1781</v>
      </c>
      <c r="B1418" s="10" t="s">
        <v>1784</v>
      </c>
      <c r="C1418" s="12"/>
      <c r="D1418" s="10" t="s">
        <v>654</v>
      </c>
      <c r="E1418" s="10" t="s">
        <v>74</v>
      </c>
      <c r="F1418" s="10">
        <v>12880</v>
      </c>
      <c r="G1418" s="10" t="s">
        <v>15</v>
      </c>
      <c r="H1418" s="10" t="s">
        <v>140</v>
      </c>
      <c r="I1418" s="10" t="s">
        <v>66</v>
      </c>
      <c r="J1418" s="10" t="s">
        <v>292</v>
      </c>
      <c r="K1418" s="10" t="s">
        <v>1697</v>
      </c>
      <c r="L1418" s="10" t="s">
        <v>1120</v>
      </c>
      <c r="M1418" s="12">
        <v>45379</v>
      </c>
      <c r="N1418" s="10" t="s">
        <v>15</v>
      </c>
      <c r="O1418" s="10" t="s">
        <v>2056</v>
      </c>
      <c r="P1418" s="25" t="str">
        <f>IFERROR(
IF(OR(O1418="anulado",O1418="stand by"),CONCATENATE(O1418,": ",H1418),
IF(OR(YEAR(M1418)=2022,YEAR(M1418)=2023),CONCATENATE("Se activó en ",YEAR(M1418)),
IF(AND(OR(O1418="En proceso",O1418="facturando"),AND(J1418="-",M1418="")),"Por revisar",
IF(M1418="",IF(J1418="NUEVAS",CONCATENATE("Estado: ",O1418,", ",J1418),
IF(L1418=Meses!$A$3,"Por revisar",
IF(H1418="","Sin registro","En programación Frcst."))),"En programación")))),
"Error")</f>
        <v>anulado: Desistido</v>
      </c>
      <c r="Q1418" s="9" t="str">
        <f t="shared" si="66"/>
        <v/>
      </c>
      <c r="R1418" s="25" t="str">
        <f>IF(P1418="En programación Frcst.",VLOOKUP(L1418,Meses!$A$1:$H$14,3+HLOOKUP(Cronograma!J1418,Meses!$D$1:$G$2,2,FALSE),FALSE),
IF(P1418="En programación",M1418,""))</f>
        <v/>
      </c>
      <c r="S1418" s="25" t="str">
        <f t="shared" si="68"/>
        <v/>
      </c>
      <c r="T1418" s="21" t="str">
        <f>IFERROR(
(VLOOKUP(MONTH(R1418),Meses!$B$3:$C$14,2,FALSE)-DAY(R1418))/VLOOKUP(MONTH(R1418),Meses!$B$3:$C$14,2,FALSE)*U1418,
"")</f>
        <v/>
      </c>
      <c r="U1418" s="22">
        <f t="shared" si="67"/>
        <v>12880</v>
      </c>
    </row>
    <row r="1419" spans="1:21" ht="63" hidden="1" thickBot="1" x14ac:dyDescent="0.6">
      <c r="A1419" s="10" t="s">
        <v>1785</v>
      </c>
      <c r="B1419" s="10" t="s">
        <v>1786</v>
      </c>
      <c r="C1419" s="12">
        <v>45292</v>
      </c>
      <c r="D1419" s="10" t="s">
        <v>181</v>
      </c>
      <c r="E1419" s="10" t="s">
        <v>298</v>
      </c>
      <c r="F1419" s="10">
        <v>80000</v>
      </c>
      <c r="G1419" s="10" t="s">
        <v>20</v>
      </c>
      <c r="H1419" s="10" t="s">
        <v>17</v>
      </c>
      <c r="I1419" s="10" t="s">
        <v>66</v>
      </c>
      <c r="J1419" s="10" t="s">
        <v>282</v>
      </c>
      <c r="K1419" s="10" t="s">
        <v>283</v>
      </c>
      <c r="L1419" s="10" t="s">
        <v>279</v>
      </c>
      <c r="M1419" s="12"/>
      <c r="N1419" s="10" t="s">
        <v>15</v>
      </c>
      <c r="O1419" s="10" t="s">
        <v>2054</v>
      </c>
      <c r="P1419" s="25" t="str">
        <f>IFERROR(
IF(OR(O1419="anulado",O1419="stand by"),CONCATENATE(O1419,": ",H1419),
IF(OR(YEAR(M1419)=2022,YEAR(M1419)=2023),CONCATENATE("Se activó en ",YEAR(M1419)),
IF(AND(OR(O1419="En proceso",O1419="facturando"),AND(J1419="-",M1419="")),"Por revisar",
IF(M1419="",IF(J1419="NUEVAS",CONCATENATE("Estado: ",O1419,", ",J1419),
IF(L1419=Meses!$A$3,"Por revisar",
IF(H1419="","Sin registro","En programación Frcst."))),"En programación")))),
"Error")</f>
        <v>En programación Frcst.</v>
      </c>
      <c r="Q1419" s="9" t="str">
        <f t="shared" si="66"/>
        <v/>
      </c>
      <c r="R1419" s="25">
        <f>IF(P1419="En programación Frcst.",VLOOKUP(L1419,Meses!$A$1:$H$14,3+HLOOKUP(Cronograma!J1419,Meses!$D$1:$G$2,2,FALSE),FALSE),
IF(P1419="En programación",M1419,""))</f>
        <v>45295</v>
      </c>
      <c r="S1419" s="25" t="str">
        <f t="shared" si="68"/>
        <v>2024/1</v>
      </c>
      <c r="T1419" s="21">
        <f>IFERROR(
(VLOOKUP(MONTH(R1419),Meses!$B$3:$C$14,2,FALSE)-DAY(R1419))/VLOOKUP(MONTH(R1419),Meses!$B$3:$C$14,2,FALSE)*U1419,
"")</f>
        <v>69677.419354838712</v>
      </c>
      <c r="U1419" s="22">
        <f t="shared" si="67"/>
        <v>80000</v>
      </c>
    </row>
    <row r="1420" spans="1:21" ht="63" hidden="1" thickBot="1" x14ac:dyDescent="0.6">
      <c r="A1420" s="10" t="s">
        <v>1776</v>
      </c>
      <c r="B1420" s="10" t="s">
        <v>1787</v>
      </c>
      <c r="C1420" s="12">
        <v>45302</v>
      </c>
      <c r="D1420" s="10" t="s">
        <v>654</v>
      </c>
      <c r="E1420" s="10" t="s">
        <v>74</v>
      </c>
      <c r="F1420" s="10">
        <v>21323</v>
      </c>
      <c r="G1420" s="10" t="s">
        <v>15</v>
      </c>
      <c r="H1420" s="10" t="s">
        <v>140</v>
      </c>
      <c r="I1420" s="10" t="s">
        <v>66</v>
      </c>
      <c r="J1420" s="10" t="s">
        <v>292</v>
      </c>
      <c r="K1420" s="10" t="s">
        <v>945</v>
      </c>
      <c r="L1420" s="10" t="s">
        <v>145</v>
      </c>
      <c r="M1420" s="12"/>
      <c r="N1420" s="10" t="s">
        <v>15</v>
      </c>
      <c r="O1420" s="10" t="s">
        <v>2056</v>
      </c>
      <c r="P1420" s="25" t="str">
        <f>IFERROR(
IF(OR(O1420="anulado",O1420="stand by"),CONCATENATE(O1420,": ",H1420),
IF(OR(YEAR(M1420)=2022,YEAR(M1420)=2023),CONCATENATE("Se activó en ",YEAR(M1420)),
IF(AND(OR(O1420="En proceso",O1420="facturando"),AND(J1420="-",M1420="")),"Por revisar",
IF(M1420="",IF(J1420="NUEVAS",CONCATENATE("Estado: ",O1420,", ",J1420),
IF(L1420=Meses!$A$3,"Por revisar",
IF(H1420="","Sin registro","En programación Frcst."))),"En programación")))),
"Error")</f>
        <v>anulado: Desistido</v>
      </c>
      <c r="Q1420" s="9" t="str">
        <f t="shared" si="66"/>
        <v/>
      </c>
      <c r="R1420" s="25" t="str">
        <f>IF(P1420="En programación Frcst.",VLOOKUP(L1420,Meses!$A$1:$H$14,3+HLOOKUP(Cronograma!J1420,Meses!$D$1:$G$2,2,FALSE),FALSE),
IF(P1420="En programación",M1420,""))</f>
        <v/>
      </c>
      <c r="S1420" s="25" t="str">
        <f t="shared" si="68"/>
        <v/>
      </c>
      <c r="T1420" s="21" t="str">
        <f>IFERROR(
(VLOOKUP(MONTH(R1420),Meses!$B$3:$C$14,2,FALSE)-DAY(R1420))/VLOOKUP(MONTH(R1420),Meses!$B$3:$C$14,2,FALSE)*U1420,
"")</f>
        <v/>
      </c>
      <c r="U1420" s="22">
        <f t="shared" si="67"/>
        <v>21323</v>
      </c>
    </row>
    <row r="1421" spans="1:21" ht="63" hidden="1" thickBot="1" x14ac:dyDescent="0.6">
      <c r="A1421" s="10" t="s">
        <v>1776</v>
      </c>
      <c r="B1421" s="10" t="s">
        <v>1788</v>
      </c>
      <c r="C1421" s="12">
        <v>45302</v>
      </c>
      <c r="D1421" s="10" t="s">
        <v>654</v>
      </c>
      <c r="E1421" s="10" t="s">
        <v>74</v>
      </c>
      <c r="F1421" s="10">
        <v>1778</v>
      </c>
      <c r="G1421" s="10" t="s">
        <v>15</v>
      </c>
      <c r="H1421" s="10" t="s">
        <v>140</v>
      </c>
      <c r="I1421" s="10" t="s">
        <v>66</v>
      </c>
      <c r="J1421" s="10" t="s">
        <v>292</v>
      </c>
      <c r="K1421" s="10" t="s">
        <v>945</v>
      </c>
      <c r="L1421" s="10" t="s">
        <v>145</v>
      </c>
      <c r="M1421" s="12"/>
      <c r="N1421" s="10" t="s">
        <v>15</v>
      </c>
      <c r="O1421" s="10" t="s">
        <v>2056</v>
      </c>
      <c r="P1421" s="25" t="str">
        <f>IFERROR(
IF(OR(O1421="anulado",O1421="stand by"),CONCATENATE(O1421,": ",H1421),
IF(OR(YEAR(M1421)=2022,YEAR(M1421)=2023),CONCATENATE("Se activó en ",YEAR(M1421)),
IF(AND(OR(O1421="En proceso",O1421="facturando"),AND(J1421="-",M1421="")),"Por revisar",
IF(M1421="",IF(J1421="NUEVAS",CONCATENATE("Estado: ",O1421,", ",J1421),
IF(L1421=Meses!$A$3,"Por revisar",
IF(H1421="","Sin registro","En programación Frcst."))),"En programación")))),
"Error")</f>
        <v>anulado: Desistido</v>
      </c>
      <c r="Q1421" s="9" t="str">
        <f t="shared" si="66"/>
        <v/>
      </c>
      <c r="R1421" s="25" t="str">
        <f>IF(P1421="En programación Frcst.",VLOOKUP(L1421,Meses!$A$1:$H$14,3+HLOOKUP(Cronograma!J1421,Meses!$D$1:$G$2,2,FALSE),FALSE),
IF(P1421="En programación",M1421,""))</f>
        <v/>
      </c>
      <c r="S1421" s="25" t="str">
        <f t="shared" si="68"/>
        <v/>
      </c>
      <c r="T1421" s="21" t="str">
        <f>IFERROR(
(VLOOKUP(MONTH(R1421),Meses!$B$3:$C$14,2,FALSE)-DAY(R1421))/VLOOKUP(MONTH(R1421),Meses!$B$3:$C$14,2,FALSE)*U1421,
"")</f>
        <v/>
      </c>
      <c r="U1421" s="22">
        <f t="shared" si="67"/>
        <v>1778</v>
      </c>
    </row>
    <row r="1422" spans="1:21" ht="63" hidden="1" thickBot="1" x14ac:dyDescent="0.6">
      <c r="A1422" s="10" t="s">
        <v>1776</v>
      </c>
      <c r="B1422" s="10" t="s">
        <v>1789</v>
      </c>
      <c r="C1422" s="12">
        <v>45302</v>
      </c>
      <c r="D1422" s="10" t="s">
        <v>654</v>
      </c>
      <c r="E1422" s="10" t="s">
        <v>74</v>
      </c>
      <c r="F1422" s="10">
        <v>4067</v>
      </c>
      <c r="G1422" s="10" t="s">
        <v>15</v>
      </c>
      <c r="H1422" s="10" t="s">
        <v>140</v>
      </c>
      <c r="I1422" s="10" t="s">
        <v>66</v>
      </c>
      <c r="J1422" s="10" t="s">
        <v>292</v>
      </c>
      <c r="K1422" s="10" t="s">
        <v>945</v>
      </c>
      <c r="L1422" s="10" t="s">
        <v>145</v>
      </c>
      <c r="M1422" s="12"/>
      <c r="N1422" s="10" t="s">
        <v>15</v>
      </c>
      <c r="O1422" s="10" t="s">
        <v>2056</v>
      </c>
      <c r="P1422" s="25" t="str">
        <f>IFERROR(
IF(OR(O1422="anulado",O1422="stand by"),CONCATENATE(O1422,": ",H1422),
IF(OR(YEAR(M1422)=2022,YEAR(M1422)=2023),CONCATENATE("Se activó en ",YEAR(M1422)),
IF(AND(OR(O1422="En proceso",O1422="facturando"),AND(J1422="-",M1422="")),"Por revisar",
IF(M1422="",IF(J1422="NUEVAS",CONCATENATE("Estado: ",O1422,", ",J1422),
IF(L1422=Meses!$A$3,"Por revisar",
IF(H1422="","Sin registro","En programación Frcst."))),"En programación")))),
"Error")</f>
        <v>anulado: Desistido</v>
      </c>
      <c r="Q1422" s="9" t="str">
        <f t="shared" si="66"/>
        <v/>
      </c>
      <c r="R1422" s="25" t="str">
        <f>IF(P1422="En programación Frcst.",VLOOKUP(L1422,Meses!$A$1:$H$14,3+HLOOKUP(Cronograma!J1422,Meses!$D$1:$G$2,2,FALSE),FALSE),
IF(P1422="En programación",M1422,""))</f>
        <v/>
      </c>
      <c r="S1422" s="25" t="str">
        <f t="shared" si="68"/>
        <v/>
      </c>
      <c r="T1422" s="21" t="str">
        <f>IFERROR(
(VLOOKUP(MONTH(R1422),Meses!$B$3:$C$14,2,FALSE)-DAY(R1422))/VLOOKUP(MONTH(R1422),Meses!$B$3:$C$14,2,FALSE)*U1422,
"")</f>
        <v/>
      </c>
      <c r="U1422" s="22">
        <f t="shared" si="67"/>
        <v>4067</v>
      </c>
    </row>
    <row r="1423" spans="1:21" ht="63" hidden="1" thickBot="1" x14ac:dyDescent="0.6">
      <c r="A1423" s="10" t="s">
        <v>1776</v>
      </c>
      <c r="B1423" s="10" t="s">
        <v>1790</v>
      </c>
      <c r="C1423" s="12">
        <v>45302</v>
      </c>
      <c r="D1423" s="10" t="s">
        <v>654</v>
      </c>
      <c r="E1423" s="10" t="s">
        <v>74</v>
      </c>
      <c r="F1423" s="10">
        <v>6018</v>
      </c>
      <c r="G1423" s="10" t="s">
        <v>15</v>
      </c>
      <c r="H1423" s="10" t="s">
        <v>140</v>
      </c>
      <c r="I1423" s="10" t="s">
        <v>66</v>
      </c>
      <c r="J1423" s="10" t="s">
        <v>292</v>
      </c>
      <c r="K1423" s="10" t="s">
        <v>945</v>
      </c>
      <c r="L1423" s="10" t="s">
        <v>145</v>
      </c>
      <c r="M1423" s="12"/>
      <c r="N1423" s="10" t="s">
        <v>15</v>
      </c>
      <c r="O1423" s="10" t="s">
        <v>2056</v>
      </c>
      <c r="P1423" s="25" t="str">
        <f>IFERROR(
IF(OR(O1423="anulado",O1423="stand by"),CONCATENATE(O1423,": ",H1423),
IF(OR(YEAR(M1423)=2022,YEAR(M1423)=2023),CONCATENATE("Se activó en ",YEAR(M1423)),
IF(AND(OR(O1423="En proceso",O1423="facturando"),AND(J1423="-",M1423="")),"Por revisar",
IF(M1423="",IF(J1423="NUEVAS",CONCATENATE("Estado: ",O1423,", ",J1423),
IF(L1423=Meses!$A$3,"Por revisar",
IF(H1423="","Sin registro","En programación Frcst."))),"En programación")))),
"Error")</f>
        <v>anulado: Desistido</v>
      </c>
      <c r="Q1423" s="9" t="str">
        <f t="shared" si="66"/>
        <v/>
      </c>
      <c r="R1423" s="25" t="str">
        <f>IF(P1423="En programación Frcst.",VLOOKUP(L1423,Meses!$A$1:$H$14,3+HLOOKUP(Cronograma!J1423,Meses!$D$1:$G$2,2,FALSE),FALSE),
IF(P1423="En programación",M1423,""))</f>
        <v/>
      </c>
      <c r="S1423" s="25" t="str">
        <f t="shared" si="68"/>
        <v/>
      </c>
      <c r="T1423" s="21" t="str">
        <f>IFERROR(
(VLOOKUP(MONTH(R1423),Meses!$B$3:$C$14,2,FALSE)-DAY(R1423))/VLOOKUP(MONTH(R1423),Meses!$B$3:$C$14,2,FALSE)*U1423,
"")</f>
        <v/>
      </c>
      <c r="U1423" s="22">
        <f t="shared" si="67"/>
        <v>6018</v>
      </c>
    </row>
    <row r="1424" spans="1:21" ht="63" hidden="1" thickBot="1" x14ac:dyDescent="0.6">
      <c r="A1424" s="10" t="s">
        <v>1776</v>
      </c>
      <c r="B1424" s="10" t="s">
        <v>1791</v>
      </c>
      <c r="C1424" s="12">
        <v>45302</v>
      </c>
      <c r="D1424" s="10" t="s">
        <v>654</v>
      </c>
      <c r="E1424" s="10" t="s">
        <v>74</v>
      </c>
      <c r="F1424" s="10">
        <v>24385</v>
      </c>
      <c r="G1424" s="10" t="s">
        <v>15</v>
      </c>
      <c r="H1424" s="10" t="s">
        <v>140</v>
      </c>
      <c r="I1424" s="10" t="s">
        <v>66</v>
      </c>
      <c r="J1424" s="10" t="s">
        <v>292</v>
      </c>
      <c r="K1424" s="10" t="s">
        <v>945</v>
      </c>
      <c r="L1424" s="10" t="s">
        <v>145</v>
      </c>
      <c r="M1424" s="12"/>
      <c r="N1424" s="10" t="s">
        <v>15</v>
      </c>
      <c r="O1424" s="10" t="s">
        <v>2056</v>
      </c>
      <c r="P1424" s="25" t="str">
        <f>IFERROR(
IF(OR(O1424="anulado",O1424="stand by"),CONCATENATE(O1424,": ",H1424),
IF(OR(YEAR(M1424)=2022,YEAR(M1424)=2023),CONCATENATE("Se activó en ",YEAR(M1424)),
IF(AND(OR(O1424="En proceso",O1424="facturando"),AND(J1424="-",M1424="")),"Por revisar",
IF(M1424="",IF(J1424="NUEVAS",CONCATENATE("Estado: ",O1424,", ",J1424),
IF(L1424=Meses!$A$3,"Por revisar",
IF(H1424="","Sin registro","En programación Frcst."))),"En programación")))),
"Error")</f>
        <v>anulado: Desistido</v>
      </c>
      <c r="Q1424" s="9" t="str">
        <f t="shared" si="66"/>
        <v/>
      </c>
      <c r="R1424" s="25" t="str">
        <f>IF(P1424="En programación Frcst.",VLOOKUP(L1424,Meses!$A$1:$H$14,3+HLOOKUP(Cronograma!J1424,Meses!$D$1:$G$2,2,FALSE),FALSE),
IF(P1424="En programación",M1424,""))</f>
        <v/>
      </c>
      <c r="S1424" s="25" t="str">
        <f t="shared" si="68"/>
        <v/>
      </c>
      <c r="T1424" s="21" t="str">
        <f>IFERROR(
(VLOOKUP(MONTH(R1424),Meses!$B$3:$C$14,2,FALSE)-DAY(R1424))/VLOOKUP(MONTH(R1424),Meses!$B$3:$C$14,2,FALSE)*U1424,
"")</f>
        <v/>
      </c>
      <c r="U1424" s="22">
        <f t="shared" si="67"/>
        <v>24385</v>
      </c>
    </row>
    <row r="1425" spans="1:21" ht="47.4" hidden="1" thickBot="1" x14ac:dyDescent="0.6">
      <c r="A1425" s="10" t="s">
        <v>1781</v>
      </c>
      <c r="B1425" s="10" t="s">
        <v>1792</v>
      </c>
      <c r="C1425" s="12"/>
      <c r="D1425" s="10" t="s">
        <v>654</v>
      </c>
      <c r="E1425" s="10" t="s">
        <v>44</v>
      </c>
      <c r="F1425" s="10">
        <v>8491</v>
      </c>
      <c r="G1425" s="10" t="s">
        <v>15</v>
      </c>
      <c r="H1425" s="10" t="s">
        <v>140</v>
      </c>
      <c r="I1425" s="10" t="s">
        <v>66</v>
      </c>
      <c r="J1425" s="10" t="s">
        <v>292</v>
      </c>
      <c r="K1425" s="10" t="s">
        <v>1697</v>
      </c>
      <c r="L1425" s="10" t="s">
        <v>1120</v>
      </c>
      <c r="M1425" s="12">
        <v>45379</v>
      </c>
      <c r="N1425" s="10" t="s">
        <v>15</v>
      </c>
      <c r="O1425" s="10" t="s">
        <v>2056</v>
      </c>
      <c r="P1425" s="25" t="str">
        <f>IFERROR(
IF(OR(O1425="anulado",O1425="stand by"),CONCATENATE(O1425,": ",H1425),
IF(OR(YEAR(M1425)=2022,YEAR(M1425)=2023),CONCATENATE("Se activó en ",YEAR(M1425)),
IF(AND(OR(O1425="En proceso",O1425="facturando"),AND(J1425="-",M1425="")),"Por revisar",
IF(M1425="",IF(J1425="NUEVAS",CONCATENATE("Estado: ",O1425,", ",J1425),
IF(L1425=Meses!$A$3,"Por revisar",
IF(H1425="","Sin registro","En programación Frcst."))),"En programación")))),
"Error")</f>
        <v>anulado: Desistido</v>
      </c>
      <c r="Q1425" s="9" t="str">
        <f t="shared" si="66"/>
        <v/>
      </c>
      <c r="R1425" s="25" t="str">
        <f>IF(P1425="En programación Frcst.",VLOOKUP(L1425,Meses!$A$1:$H$14,3+HLOOKUP(Cronograma!J1425,Meses!$D$1:$G$2,2,FALSE),FALSE),
IF(P1425="En programación",M1425,""))</f>
        <v/>
      </c>
      <c r="S1425" s="25" t="str">
        <f t="shared" si="68"/>
        <v/>
      </c>
      <c r="T1425" s="21" t="str">
        <f>IFERROR(
(VLOOKUP(MONTH(R1425),Meses!$B$3:$C$14,2,FALSE)-DAY(R1425))/VLOOKUP(MONTH(R1425),Meses!$B$3:$C$14,2,FALSE)*U1425,
"")</f>
        <v/>
      </c>
      <c r="U1425" s="22">
        <f t="shared" si="67"/>
        <v>8491</v>
      </c>
    </row>
    <row r="1426" spans="1:21" ht="47.4" hidden="1" thickBot="1" x14ac:dyDescent="0.6">
      <c r="A1426" s="10" t="s">
        <v>1781</v>
      </c>
      <c r="B1426" s="10" t="s">
        <v>1793</v>
      </c>
      <c r="C1426" s="12">
        <v>45302</v>
      </c>
      <c r="D1426" s="10" t="s">
        <v>654</v>
      </c>
      <c r="E1426" s="10" t="s">
        <v>74</v>
      </c>
      <c r="F1426" s="10">
        <v>11857</v>
      </c>
      <c r="G1426" s="10" t="s">
        <v>15</v>
      </c>
      <c r="H1426" s="10" t="s">
        <v>140</v>
      </c>
      <c r="I1426" s="10" t="s">
        <v>66</v>
      </c>
      <c r="J1426" s="10" t="s">
        <v>292</v>
      </c>
      <c r="K1426" s="10" t="s">
        <v>945</v>
      </c>
      <c r="L1426" s="10" t="s">
        <v>145</v>
      </c>
      <c r="M1426" s="12"/>
      <c r="N1426" s="10" t="s">
        <v>15</v>
      </c>
      <c r="O1426" s="10" t="s">
        <v>2056</v>
      </c>
      <c r="P1426" s="25" t="str">
        <f>IFERROR(
IF(OR(O1426="anulado",O1426="stand by"),CONCATENATE(O1426,": ",H1426),
IF(OR(YEAR(M1426)=2022,YEAR(M1426)=2023),CONCATENATE("Se activó en ",YEAR(M1426)),
IF(AND(OR(O1426="En proceso",O1426="facturando"),AND(J1426="-",M1426="")),"Por revisar",
IF(M1426="",IF(J1426="NUEVAS",CONCATENATE("Estado: ",O1426,", ",J1426),
IF(L1426=Meses!$A$3,"Por revisar",
IF(H1426="","Sin registro","En programación Frcst."))),"En programación")))),
"Error")</f>
        <v>anulado: Desistido</v>
      </c>
      <c r="Q1426" s="9" t="str">
        <f t="shared" si="66"/>
        <v/>
      </c>
      <c r="R1426" s="25" t="str">
        <f>IF(P1426="En programación Frcst.",VLOOKUP(L1426,Meses!$A$1:$H$14,3+HLOOKUP(Cronograma!J1426,Meses!$D$1:$G$2,2,FALSE),FALSE),
IF(P1426="En programación",M1426,""))</f>
        <v/>
      </c>
      <c r="S1426" s="25" t="str">
        <f t="shared" si="68"/>
        <v/>
      </c>
      <c r="T1426" s="21" t="str">
        <f>IFERROR(
(VLOOKUP(MONTH(R1426),Meses!$B$3:$C$14,2,FALSE)-DAY(R1426))/VLOOKUP(MONTH(R1426),Meses!$B$3:$C$14,2,FALSE)*U1426,
"")</f>
        <v/>
      </c>
      <c r="U1426" s="22">
        <f t="shared" si="67"/>
        <v>11857</v>
      </c>
    </row>
    <row r="1427" spans="1:21" ht="32.4" hidden="1" thickBot="1" x14ac:dyDescent="0.6">
      <c r="A1427" s="10" t="s">
        <v>1794</v>
      </c>
      <c r="B1427" s="10" t="s">
        <v>1795</v>
      </c>
      <c r="C1427" s="12">
        <v>45292</v>
      </c>
      <c r="D1427" s="10" t="s">
        <v>14</v>
      </c>
      <c r="E1427" s="10" t="s">
        <v>14</v>
      </c>
      <c r="F1427" s="10">
        <v>254367</v>
      </c>
      <c r="G1427" s="10" t="s">
        <v>15</v>
      </c>
      <c r="H1427" s="10" t="s">
        <v>17</v>
      </c>
      <c r="I1427" s="10" t="s">
        <v>66</v>
      </c>
      <c r="J1427" s="10" t="s">
        <v>292</v>
      </c>
      <c r="K1427" s="10" t="s">
        <v>945</v>
      </c>
      <c r="L1427" s="10" t="s">
        <v>145</v>
      </c>
      <c r="M1427" s="12"/>
      <c r="N1427" s="10" t="s">
        <v>15</v>
      </c>
      <c r="O1427" s="10" t="s">
        <v>2054</v>
      </c>
      <c r="P1427" s="25" t="str">
        <f>IFERROR(
IF(OR(O1427="anulado",O1427="stand by"),CONCATENATE(O1427,": ",H1427),
IF(OR(YEAR(M1427)=2022,YEAR(M1427)=2023),CONCATENATE("Se activó en ",YEAR(M1427)),
IF(AND(OR(O1427="En proceso",O1427="facturando"),AND(J1427="-",M1427="")),"Por revisar",
IF(M1427="",IF(J1427="NUEVAS",CONCATENATE("Estado: ",O1427,", ",J1427),
IF(L1427=Meses!$A$3,"Por revisar",
IF(H1427="","Sin registro","En programación Frcst."))),"En programación")))),
"Error")</f>
        <v>Por revisar</v>
      </c>
      <c r="Q1427" s="9" t="str">
        <f t="shared" si="66"/>
        <v>programación de act. SI, estado: Facturando, Comercializador: ENEL, Etapa: Instalado y Activado</v>
      </c>
      <c r="R1427" s="25" t="str">
        <f>IF(P1427="En programación Frcst.",VLOOKUP(L1427,Meses!$A$1:$H$14,3+HLOOKUP(Cronograma!J1427,Meses!$D$1:$G$2,2,FALSE),FALSE),
IF(P1427="En programación",M1427,""))</f>
        <v/>
      </c>
      <c r="S1427" s="25" t="str">
        <f t="shared" si="68"/>
        <v/>
      </c>
      <c r="T1427" s="21" t="str">
        <f>IFERROR(
(VLOOKUP(MONTH(R1427),Meses!$B$3:$C$14,2,FALSE)-DAY(R1427))/VLOOKUP(MONTH(R1427),Meses!$B$3:$C$14,2,FALSE)*U1427,
"")</f>
        <v/>
      </c>
      <c r="U1427" s="22">
        <f t="shared" si="67"/>
        <v>254367</v>
      </c>
    </row>
    <row r="1428" spans="1:21" ht="47.4" hidden="1" thickBot="1" x14ac:dyDescent="0.6">
      <c r="A1428" s="10" t="s">
        <v>1796</v>
      </c>
      <c r="B1428" s="10" t="s">
        <v>1797</v>
      </c>
      <c r="C1428" s="12">
        <v>45292</v>
      </c>
      <c r="D1428" s="10" t="s">
        <v>171</v>
      </c>
      <c r="E1428" s="10" t="s">
        <v>41</v>
      </c>
      <c r="F1428" s="10">
        <v>47178</v>
      </c>
      <c r="G1428" s="10" t="s">
        <v>20</v>
      </c>
      <c r="H1428" s="10" t="s">
        <v>17</v>
      </c>
      <c r="I1428" s="10" t="s">
        <v>66</v>
      </c>
      <c r="J1428" s="10" t="s">
        <v>282</v>
      </c>
      <c r="K1428" s="10" t="s">
        <v>283</v>
      </c>
      <c r="L1428" s="10" t="s">
        <v>279</v>
      </c>
      <c r="M1428" s="12"/>
      <c r="N1428" s="10" t="s">
        <v>15</v>
      </c>
      <c r="O1428" s="10" t="s">
        <v>2054</v>
      </c>
      <c r="P1428" s="25" t="str">
        <f>IFERROR(
IF(OR(O1428="anulado",O1428="stand by"),CONCATENATE(O1428,": ",H1428),
IF(OR(YEAR(M1428)=2022,YEAR(M1428)=2023),CONCATENATE("Se activó en ",YEAR(M1428)),
IF(AND(OR(O1428="En proceso",O1428="facturando"),AND(J1428="-",M1428="")),"Por revisar",
IF(M1428="",IF(J1428="NUEVAS",CONCATENATE("Estado: ",O1428,", ",J1428),
IF(L1428=Meses!$A$3,"Por revisar",
IF(H1428="","Sin registro","En programación Frcst."))),"En programación")))),
"Error")</f>
        <v>En programación Frcst.</v>
      </c>
      <c r="Q1428" s="9" t="str">
        <f t="shared" si="66"/>
        <v/>
      </c>
      <c r="R1428" s="25">
        <f>IF(P1428="En programación Frcst.",VLOOKUP(L1428,Meses!$A$1:$H$14,3+HLOOKUP(Cronograma!J1428,Meses!$D$1:$G$2,2,FALSE),FALSE),
IF(P1428="En programación",M1428,""))</f>
        <v>45295</v>
      </c>
      <c r="S1428" s="25" t="str">
        <f t="shared" si="68"/>
        <v>2024/1</v>
      </c>
      <c r="T1428" s="21">
        <f>IFERROR(
(VLOOKUP(MONTH(R1428),Meses!$B$3:$C$14,2,FALSE)-DAY(R1428))/VLOOKUP(MONTH(R1428),Meses!$B$3:$C$14,2,FALSE)*U1428,
"")</f>
        <v>41090.516129032258</v>
      </c>
      <c r="U1428" s="22">
        <f t="shared" si="67"/>
        <v>47178</v>
      </c>
    </row>
    <row r="1429" spans="1:21" ht="47.4" hidden="1" thickBot="1" x14ac:dyDescent="0.6">
      <c r="A1429" s="10" t="s">
        <v>1798</v>
      </c>
      <c r="B1429" s="10" t="s">
        <v>1799</v>
      </c>
      <c r="C1429" s="12">
        <v>45295</v>
      </c>
      <c r="D1429" s="10" t="s">
        <v>654</v>
      </c>
      <c r="E1429" s="10" t="s">
        <v>14</v>
      </c>
      <c r="F1429" s="10">
        <v>8769</v>
      </c>
      <c r="G1429" s="10" t="s">
        <v>15</v>
      </c>
      <c r="H1429" s="10" t="s">
        <v>17</v>
      </c>
      <c r="I1429" s="10" t="s">
        <v>66</v>
      </c>
      <c r="J1429" s="10" t="s">
        <v>292</v>
      </c>
      <c r="K1429" s="10" t="s">
        <v>945</v>
      </c>
      <c r="L1429" s="10" t="s">
        <v>145</v>
      </c>
      <c r="M1429" s="12"/>
      <c r="N1429" s="10" t="s">
        <v>15</v>
      </c>
      <c r="O1429" s="10" t="s">
        <v>2054</v>
      </c>
      <c r="P1429" s="25" t="str">
        <f>IFERROR(
IF(OR(O1429="anulado",O1429="stand by"),CONCATENATE(O1429,": ",H1429),
IF(OR(YEAR(M1429)=2022,YEAR(M1429)=2023),CONCATENATE("Se activó en ",YEAR(M1429)),
IF(AND(OR(O1429="En proceso",O1429="facturando"),AND(J1429="-",M1429="")),"Por revisar",
IF(M1429="",IF(J1429="NUEVAS",CONCATENATE("Estado: ",O1429,", ",J1429),
IF(L1429=Meses!$A$3,"Por revisar",
IF(H1429="","Sin registro","En programación Frcst."))),"En programación")))),
"Error")</f>
        <v>Por revisar</v>
      </c>
      <c r="Q1429" s="9" t="str">
        <f t="shared" si="66"/>
        <v>programación de act. SI, estado: Facturando, Comercializador: QI ENERGY, Etapa: Instalado y Activado</v>
      </c>
      <c r="R1429" s="25" t="str">
        <f>IF(P1429="En programación Frcst.",VLOOKUP(L1429,Meses!$A$1:$H$14,3+HLOOKUP(Cronograma!J1429,Meses!$D$1:$G$2,2,FALSE),FALSE),
IF(P1429="En programación",M1429,""))</f>
        <v/>
      </c>
      <c r="S1429" s="25" t="str">
        <f t="shared" si="68"/>
        <v/>
      </c>
      <c r="T1429" s="21" t="str">
        <f>IFERROR(
(VLOOKUP(MONTH(R1429),Meses!$B$3:$C$14,2,FALSE)-DAY(R1429))/VLOOKUP(MONTH(R1429),Meses!$B$3:$C$14,2,FALSE)*U1429,
"")</f>
        <v/>
      </c>
      <c r="U1429" s="22">
        <f t="shared" si="67"/>
        <v>8769</v>
      </c>
    </row>
    <row r="1430" spans="1:21" ht="47.4" hidden="1" thickBot="1" x14ac:dyDescent="0.6">
      <c r="A1430" s="10" t="s">
        <v>1798</v>
      </c>
      <c r="B1430" s="10" t="s">
        <v>1800</v>
      </c>
      <c r="C1430" s="12"/>
      <c r="D1430" s="10" t="s">
        <v>654</v>
      </c>
      <c r="E1430" s="10" t="s">
        <v>14</v>
      </c>
      <c r="F1430" s="10">
        <v>29795</v>
      </c>
      <c r="G1430" s="10" t="s">
        <v>15</v>
      </c>
      <c r="H1430" s="10" t="s">
        <v>2916</v>
      </c>
      <c r="I1430" s="10" t="s">
        <v>66</v>
      </c>
      <c r="J1430" s="10" t="s">
        <v>292</v>
      </c>
      <c r="K1430" s="10" t="s">
        <v>1697</v>
      </c>
      <c r="L1430" s="10" t="s">
        <v>1120</v>
      </c>
      <c r="M1430" s="12">
        <v>45379</v>
      </c>
      <c r="N1430" s="10" t="s">
        <v>15</v>
      </c>
      <c r="O1430" s="10" t="s">
        <v>2057</v>
      </c>
      <c r="P1430" s="25" t="str">
        <f>IFERROR(
IF(OR(O1430="anulado",O1430="stand by"),CONCATENATE(O1430,": ",H1430),
IF(OR(YEAR(M1430)=2022,YEAR(M1430)=2023),CONCATENATE("Se activó en ",YEAR(M1430)),
IF(AND(OR(O1430="En proceso",O1430="facturando"),AND(J1430="-",M1430="")),"Por revisar",
IF(M1430="",IF(J1430="NUEVAS",CONCATENATE("Estado: ",O1430,", ",J1430),
IF(L1430=Meses!$A$3,"Por revisar",
IF(H1430="","Sin registro","En programación Frcst."))),"En programación")))),
"Error")</f>
        <v>En programación</v>
      </c>
      <c r="Q1430" s="9" t="str">
        <f t="shared" si="66"/>
        <v/>
      </c>
      <c r="R1430" s="25">
        <f>IF(P1430="En programación Frcst.",VLOOKUP(L1430,Meses!$A$1:$H$14,3+HLOOKUP(Cronograma!J1430,Meses!$D$1:$G$2,2,FALSE),FALSE),
IF(P1430="En programación",M1430,""))</f>
        <v>45379</v>
      </c>
      <c r="S1430" s="25" t="str">
        <f t="shared" si="68"/>
        <v>2024/3</v>
      </c>
      <c r="T1430" s="21">
        <f>IFERROR(
(VLOOKUP(MONTH(R1430),Meses!$B$3:$C$14,2,FALSE)-DAY(R1430))/VLOOKUP(MONTH(R1430),Meses!$B$3:$C$14,2,FALSE)*U1430,
"")</f>
        <v>2883.3870967741937</v>
      </c>
      <c r="U1430" s="22">
        <f t="shared" si="67"/>
        <v>29795</v>
      </c>
    </row>
    <row r="1431" spans="1:21" ht="31.8" hidden="1" thickBot="1" x14ac:dyDescent="0.6">
      <c r="A1431" s="10" t="s">
        <v>1801</v>
      </c>
      <c r="B1431" s="10" t="s">
        <v>1802</v>
      </c>
      <c r="C1431" s="12"/>
      <c r="D1431" s="10" t="s">
        <v>654</v>
      </c>
      <c r="E1431" s="10" t="s">
        <v>14</v>
      </c>
      <c r="F1431" s="10">
        <v>23228</v>
      </c>
      <c r="G1431" s="10" t="s">
        <v>15</v>
      </c>
      <c r="H1431" s="10" t="s">
        <v>2916</v>
      </c>
      <c r="I1431" s="10" t="s">
        <v>66</v>
      </c>
      <c r="J1431" s="10" t="s">
        <v>292</v>
      </c>
      <c r="K1431" s="10" t="s">
        <v>1697</v>
      </c>
      <c r="L1431" s="10" t="s">
        <v>1120</v>
      </c>
      <c r="M1431" s="12">
        <v>45379</v>
      </c>
      <c r="N1431" s="10" t="s">
        <v>15</v>
      </c>
      <c r="O1431" s="10" t="s">
        <v>2057</v>
      </c>
      <c r="P1431" s="25" t="str">
        <f>IFERROR(
IF(OR(O1431="anulado",O1431="stand by"),CONCATENATE(O1431,": ",H1431),
IF(OR(YEAR(M1431)=2022,YEAR(M1431)=2023),CONCATENATE("Se activó en ",YEAR(M1431)),
IF(AND(OR(O1431="En proceso",O1431="facturando"),AND(J1431="-",M1431="")),"Por revisar",
IF(M1431="",IF(J1431="NUEVAS",CONCATENATE("Estado: ",O1431,", ",J1431),
IF(L1431=Meses!$A$3,"Por revisar",
IF(H1431="","Sin registro","En programación Frcst."))),"En programación")))),
"Error")</f>
        <v>En programación</v>
      </c>
      <c r="Q1431" s="9" t="str">
        <f t="shared" si="66"/>
        <v/>
      </c>
      <c r="R1431" s="25">
        <f>IF(P1431="En programación Frcst.",VLOOKUP(L1431,Meses!$A$1:$H$14,3+HLOOKUP(Cronograma!J1431,Meses!$D$1:$G$2,2,FALSE),FALSE),
IF(P1431="En programación",M1431,""))</f>
        <v>45379</v>
      </c>
      <c r="S1431" s="25" t="str">
        <f t="shared" si="68"/>
        <v>2024/3</v>
      </c>
      <c r="T1431" s="21">
        <f>IFERROR(
(VLOOKUP(MONTH(R1431),Meses!$B$3:$C$14,2,FALSE)-DAY(R1431))/VLOOKUP(MONTH(R1431),Meses!$B$3:$C$14,2,FALSE)*U1431,
"")</f>
        <v>2247.8709677419356</v>
      </c>
      <c r="U1431" s="22">
        <f t="shared" si="67"/>
        <v>23228</v>
      </c>
    </row>
    <row r="1432" spans="1:21" ht="47.4" hidden="1" thickBot="1" x14ac:dyDescent="0.6">
      <c r="A1432" s="10" t="s">
        <v>1796</v>
      </c>
      <c r="B1432" s="10" t="s">
        <v>1803</v>
      </c>
      <c r="C1432" s="12">
        <v>45292</v>
      </c>
      <c r="D1432" s="10" t="s">
        <v>171</v>
      </c>
      <c r="E1432" s="10" t="s">
        <v>41</v>
      </c>
      <c r="F1432" s="10">
        <v>35099</v>
      </c>
      <c r="G1432" s="10" t="s">
        <v>20</v>
      </c>
      <c r="H1432" s="10" t="s">
        <v>17</v>
      </c>
      <c r="I1432" s="10" t="s">
        <v>66</v>
      </c>
      <c r="J1432" s="10" t="s">
        <v>282</v>
      </c>
      <c r="K1432" s="10" t="s">
        <v>283</v>
      </c>
      <c r="L1432" s="10" t="s">
        <v>279</v>
      </c>
      <c r="M1432" s="12"/>
      <c r="N1432" s="10" t="s">
        <v>15</v>
      </c>
      <c r="O1432" s="10" t="s">
        <v>2054</v>
      </c>
      <c r="P1432" s="25" t="str">
        <f>IFERROR(
IF(OR(O1432="anulado",O1432="stand by"),CONCATENATE(O1432,": ",H1432),
IF(OR(YEAR(M1432)=2022,YEAR(M1432)=2023),CONCATENATE("Se activó en ",YEAR(M1432)),
IF(AND(OR(O1432="En proceso",O1432="facturando"),AND(J1432="-",M1432="")),"Por revisar",
IF(M1432="",IF(J1432="NUEVAS",CONCATENATE("Estado: ",O1432,", ",J1432),
IF(L1432=Meses!$A$3,"Por revisar",
IF(H1432="","Sin registro","En programación Frcst."))),"En programación")))),
"Error")</f>
        <v>En programación Frcst.</v>
      </c>
      <c r="Q1432" s="9" t="str">
        <f t="shared" si="66"/>
        <v/>
      </c>
      <c r="R1432" s="25">
        <f>IF(P1432="En programación Frcst.",VLOOKUP(L1432,Meses!$A$1:$H$14,3+HLOOKUP(Cronograma!J1432,Meses!$D$1:$G$2,2,FALSE),FALSE),
IF(P1432="En programación",M1432,""))</f>
        <v>45295</v>
      </c>
      <c r="S1432" s="25" t="str">
        <f t="shared" si="68"/>
        <v>2024/1</v>
      </c>
      <c r="T1432" s="21">
        <f>IFERROR(
(VLOOKUP(MONTH(R1432),Meses!$B$3:$C$14,2,FALSE)-DAY(R1432))/VLOOKUP(MONTH(R1432),Meses!$B$3:$C$14,2,FALSE)*U1432,
"")</f>
        <v>30570.096774193549</v>
      </c>
      <c r="U1432" s="22">
        <f t="shared" si="67"/>
        <v>35099</v>
      </c>
    </row>
    <row r="1433" spans="1:21" ht="63" hidden="1" thickBot="1" x14ac:dyDescent="0.6">
      <c r="A1433" s="10" t="s">
        <v>1804</v>
      </c>
      <c r="B1433" s="10" t="s">
        <v>1805</v>
      </c>
      <c r="C1433" s="12"/>
      <c r="D1433" s="10" t="s">
        <v>41</v>
      </c>
      <c r="E1433" s="10" t="s">
        <v>41</v>
      </c>
      <c r="F1433" s="10">
        <v>6400</v>
      </c>
      <c r="G1433" s="10" t="s">
        <v>15</v>
      </c>
      <c r="H1433" s="10" t="s">
        <v>2917</v>
      </c>
      <c r="I1433" s="10" t="s">
        <v>43</v>
      </c>
      <c r="J1433" s="10" t="s">
        <v>143</v>
      </c>
      <c r="K1433" s="10" t="s">
        <v>2895</v>
      </c>
      <c r="L1433" s="10" t="s">
        <v>2292</v>
      </c>
      <c r="M1433" s="12">
        <v>45400</v>
      </c>
      <c r="N1433" s="10" t="s">
        <v>15</v>
      </c>
      <c r="O1433" s="10" t="s">
        <v>2057</v>
      </c>
      <c r="P1433" s="25" t="str">
        <f>IFERROR(
IF(OR(O1433="anulado",O1433="stand by"),CONCATENATE(O1433,": ",H1433),
IF(OR(YEAR(M1433)=2022,YEAR(M1433)=2023),CONCATENATE("Se activó en ",YEAR(M1433)),
IF(AND(OR(O1433="En proceso",O1433="facturando"),AND(J1433="-",M1433="")),"Por revisar",
IF(M1433="",IF(J1433="NUEVAS",CONCATENATE("Estado: ",O1433,", ",J1433),
IF(L1433=Meses!$A$3,"Por revisar",
IF(H1433="","Sin registro","En programación Frcst."))),"En programación")))),
"Error")</f>
        <v>En programación</v>
      </c>
      <c r="Q1433" s="9" t="str">
        <f t="shared" si="66"/>
        <v/>
      </c>
      <c r="R1433" s="25">
        <f>IF(P1433="En programación Frcst.",VLOOKUP(L1433,Meses!$A$1:$H$14,3+HLOOKUP(Cronograma!J1433,Meses!$D$1:$G$2,2,FALSE),FALSE),
IF(P1433="En programación",M1433,""))</f>
        <v>45400</v>
      </c>
      <c r="S1433" s="25" t="str">
        <f t="shared" si="68"/>
        <v>2024/4</v>
      </c>
      <c r="T1433" s="21">
        <f>IFERROR(
(VLOOKUP(MONTH(R1433),Meses!$B$3:$C$14,2,FALSE)-DAY(R1433))/VLOOKUP(MONTH(R1433),Meses!$B$3:$C$14,2,FALSE)*U1433,
"")</f>
        <v>2560</v>
      </c>
      <c r="U1433" s="22">
        <f t="shared" si="67"/>
        <v>6400</v>
      </c>
    </row>
    <row r="1434" spans="1:21" ht="63" hidden="1" thickBot="1" x14ac:dyDescent="0.6">
      <c r="A1434" s="10" t="s">
        <v>1804</v>
      </c>
      <c r="B1434" s="10" t="s">
        <v>1806</v>
      </c>
      <c r="C1434" s="12"/>
      <c r="D1434" s="10" t="s">
        <v>41</v>
      </c>
      <c r="E1434" s="10" t="s">
        <v>41</v>
      </c>
      <c r="F1434" s="10">
        <v>27780</v>
      </c>
      <c r="G1434" s="10" t="s">
        <v>15</v>
      </c>
      <c r="H1434" s="10" t="s">
        <v>2917</v>
      </c>
      <c r="I1434" s="10" t="s">
        <v>43</v>
      </c>
      <c r="J1434" s="10" t="s">
        <v>143</v>
      </c>
      <c r="K1434" s="10" t="s">
        <v>2895</v>
      </c>
      <c r="L1434" s="10" t="s">
        <v>2292</v>
      </c>
      <c r="M1434" s="12">
        <v>45400</v>
      </c>
      <c r="N1434" s="10" t="s">
        <v>15</v>
      </c>
      <c r="O1434" s="10" t="s">
        <v>2057</v>
      </c>
      <c r="P1434" s="25" t="str">
        <f>IFERROR(
IF(OR(O1434="anulado",O1434="stand by"),CONCATENATE(O1434,": ",H1434),
IF(OR(YEAR(M1434)=2022,YEAR(M1434)=2023),CONCATENATE("Se activó en ",YEAR(M1434)),
IF(AND(OR(O1434="En proceso",O1434="facturando"),AND(J1434="-",M1434="")),"Por revisar",
IF(M1434="",IF(J1434="NUEVAS",CONCATENATE("Estado: ",O1434,", ",J1434),
IF(L1434=Meses!$A$3,"Por revisar",
IF(H1434="","Sin registro","En programación Frcst."))),"En programación")))),
"Error")</f>
        <v>En programación</v>
      </c>
      <c r="Q1434" s="9" t="str">
        <f t="shared" si="66"/>
        <v/>
      </c>
      <c r="R1434" s="25">
        <f>IF(P1434="En programación Frcst.",VLOOKUP(L1434,Meses!$A$1:$H$14,3+HLOOKUP(Cronograma!J1434,Meses!$D$1:$G$2,2,FALSE),FALSE),
IF(P1434="En programación",M1434,""))</f>
        <v>45400</v>
      </c>
      <c r="S1434" s="25" t="str">
        <f t="shared" si="68"/>
        <v>2024/4</v>
      </c>
      <c r="T1434" s="21">
        <f>IFERROR(
(VLOOKUP(MONTH(R1434),Meses!$B$3:$C$14,2,FALSE)-DAY(R1434))/VLOOKUP(MONTH(R1434),Meses!$B$3:$C$14,2,FALSE)*U1434,
"")</f>
        <v>11112</v>
      </c>
      <c r="U1434" s="22">
        <f t="shared" si="67"/>
        <v>27780</v>
      </c>
    </row>
    <row r="1435" spans="1:21" ht="63" hidden="1" thickBot="1" x14ac:dyDescent="0.6">
      <c r="A1435" s="10" t="s">
        <v>1807</v>
      </c>
      <c r="B1435" s="10" t="s">
        <v>1808</v>
      </c>
      <c r="C1435" s="12"/>
      <c r="D1435" s="10" t="s">
        <v>654</v>
      </c>
      <c r="E1435" s="10" t="s">
        <v>14</v>
      </c>
      <c r="F1435" s="10">
        <v>11935</v>
      </c>
      <c r="G1435" s="10" t="s">
        <v>15</v>
      </c>
      <c r="H1435" s="10" t="s">
        <v>2917</v>
      </c>
      <c r="I1435" s="10" t="s">
        <v>66</v>
      </c>
      <c r="J1435" s="10" t="s">
        <v>292</v>
      </c>
      <c r="K1435" s="10" t="s">
        <v>1697</v>
      </c>
      <c r="L1435" s="10" t="s">
        <v>1120</v>
      </c>
      <c r="M1435" s="12">
        <v>45379</v>
      </c>
      <c r="N1435" s="10" t="s">
        <v>15</v>
      </c>
      <c r="O1435" s="10" t="s">
        <v>2057</v>
      </c>
      <c r="P1435" s="25" t="str">
        <f>IFERROR(
IF(OR(O1435="anulado",O1435="stand by"),CONCATENATE(O1435,": ",H1435),
IF(OR(YEAR(M1435)=2022,YEAR(M1435)=2023),CONCATENATE("Se activó en ",YEAR(M1435)),
IF(AND(OR(O1435="En proceso",O1435="facturando"),AND(J1435="-",M1435="")),"Por revisar",
IF(M1435="",IF(J1435="NUEVAS",CONCATENATE("Estado: ",O1435,", ",J1435),
IF(L1435=Meses!$A$3,"Por revisar",
IF(H1435="","Sin registro","En programación Frcst."))),"En programación")))),
"Error")</f>
        <v>En programación</v>
      </c>
      <c r="Q1435" s="9" t="str">
        <f t="shared" si="66"/>
        <v/>
      </c>
      <c r="R1435" s="25">
        <f>IF(P1435="En programación Frcst.",VLOOKUP(L1435,Meses!$A$1:$H$14,3+HLOOKUP(Cronograma!J1435,Meses!$D$1:$G$2,2,FALSE),FALSE),
IF(P1435="En programación",M1435,""))</f>
        <v>45379</v>
      </c>
      <c r="S1435" s="25" t="str">
        <f t="shared" si="68"/>
        <v>2024/3</v>
      </c>
      <c r="T1435" s="21">
        <f>IFERROR(
(VLOOKUP(MONTH(R1435),Meses!$B$3:$C$14,2,FALSE)-DAY(R1435))/VLOOKUP(MONTH(R1435),Meses!$B$3:$C$14,2,FALSE)*U1435,
"")</f>
        <v>1155</v>
      </c>
      <c r="U1435" s="22">
        <f t="shared" si="67"/>
        <v>11935</v>
      </c>
    </row>
    <row r="1436" spans="1:21" ht="31.8" hidden="1" thickBot="1" x14ac:dyDescent="0.6">
      <c r="A1436" s="10" t="s">
        <v>1809</v>
      </c>
      <c r="B1436" s="10" t="s">
        <v>1810</v>
      </c>
      <c r="C1436" s="12">
        <v>45292</v>
      </c>
      <c r="D1436" s="10" t="s">
        <v>181</v>
      </c>
      <c r="E1436" s="10" t="s">
        <v>14</v>
      </c>
      <c r="F1436" s="10">
        <v>34000</v>
      </c>
      <c r="G1436" s="10" t="s">
        <v>20</v>
      </c>
      <c r="H1436" s="10" t="s">
        <v>17</v>
      </c>
      <c r="I1436" s="10" t="s">
        <v>66</v>
      </c>
      <c r="J1436" s="10" t="s">
        <v>282</v>
      </c>
      <c r="K1436" s="10" t="s">
        <v>283</v>
      </c>
      <c r="L1436" s="10" t="s">
        <v>279</v>
      </c>
      <c r="M1436" s="12"/>
      <c r="N1436" s="10" t="s">
        <v>15</v>
      </c>
      <c r="O1436" s="10" t="s">
        <v>2054</v>
      </c>
      <c r="P1436" s="25" t="str">
        <f>IFERROR(
IF(OR(O1436="anulado",O1436="stand by"),CONCATENATE(O1436,": ",H1436),
IF(OR(YEAR(M1436)=2022,YEAR(M1436)=2023),CONCATENATE("Se activó en ",YEAR(M1436)),
IF(AND(OR(O1436="En proceso",O1436="facturando"),AND(J1436="-",M1436="")),"Por revisar",
IF(M1436="",IF(J1436="NUEVAS",CONCATENATE("Estado: ",O1436,", ",J1436),
IF(L1436=Meses!$A$3,"Por revisar",
IF(H1436="","Sin registro","En programación Frcst."))),"En programación")))),
"Error")</f>
        <v>En programación Frcst.</v>
      </c>
      <c r="Q1436" s="9" t="str">
        <f t="shared" si="66"/>
        <v/>
      </c>
      <c r="R1436" s="25">
        <f>IF(P1436="En programación Frcst.",VLOOKUP(L1436,Meses!$A$1:$H$14,3+HLOOKUP(Cronograma!J1436,Meses!$D$1:$G$2,2,FALSE),FALSE),
IF(P1436="En programación",M1436,""))</f>
        <v>45295</v>
      </c>
      <c r="S1436" s="25" t="str">
        <f t="shared" si="68"/>
        <v>2024/1</v>
      </c>
      <c r="T1436" s="21">
        <f>IFERROR(
(VLOOKUP(MONTH(R1436),Meses!$B$3:$C$14,2,FALSE)-DAY(R1436))/VLOOKUP(MONTH(R1436),Meses!$B$3:$C$14,2,FALSE)*U1436,
"")</f>
        <v>29612.903225806451</v>
      </c>
      <c r="U1436" s="22">
        <f t="shared" si="67"/>
        <v>34000</v>
      </c>
    </row>
    <row r="1437" spans="1:21" ht="31.8" hidden="1" thickBot="1" x14ac:dyDescent="0.6">
      <c r="A1437" s="10" t="s">
        <v>1811</v>
      </c>
      <c r="B1437" s="10" t="s">
        <v>1812</v>
      </c>
      <c r="C1437" s="12"/>
      <c r="D1437" s="10" t="s">
        <v>14</v>
      </c>
      <c r="E1437" s="10" t="s">
        <v>14</v>
      </c>
      <c r="F1437" s="10">
        <v>51439</v>
      </c>
      <c r="G1437" s="10" t="s">
        <v>20</v>
      </c>
      <c r="H1437" s="10" t="s">
        <v>2916</v>
      </c>
      <c r="I1437" s="10" t="s">
        <v>66</v>
      </c>
      <c r="J1437" s="10" t="s">
        <v>292</v>
      </c>
      <c r="K1437" s="10" t="s">
        <v>1697</v>
      </c>
      <c r="L1437" s="10" t="s">
        <v>1120</v>
      </c>
      <c r="M1437" s="12">
        <v>45379</v>
      </c>
      <c r="N1437" s="10" t="s">
        <v>15</v>
      </c>
      <c r="O1437" s="10" t="s">
        <v>2057</v>
      </c>
      <c r="P1437" s="25" t="str">
        <f>IFERROR(
IF(OR(O1437="anulado",O1437="stand by"),CONCATENATE(O1437,": ",H1437),
IF(OR(YEAR(M1437)=2022,YEAR(M1437)=2023),CONCATENATE("Se activó en ",YEAR(M1437)),
IF(AND(OR(O1437="En proceso",O1437="facturando"),AND(J1437="-",M1437="")),"Por revisar",
IF(M1437="",IF(J1437="NUEVAS",CONCATENATE("Estado: ",O1437,", ",J1437),
IF(L1437=Meses!$A$3,"Por revisar",
IF(H1437="","Sin registro","En programación Frcst."))),"En programación")))),
"Error")</f>
        <v>En programación</v>
      </c>
      <c r="Q1437" s="9" t="str">
        <f t="shared" si="66"/>
        <v/>
      </c>
      <c r="R1437" s="25">
        <f>IF(P1437="En programación Frcst.",VLOOKUP(L1437,Meses!$A$1:$H$14,3+HLOOKUP(Cronograma!J1437,Meses!$D$1:$G$2,2,FALSE),FALSE),
IF(P1437="En programación",M1437,""))</f>
        <v>45379</v>
      </c>
      <c r="S1437" s="25" t="str">
        <f t="shared" si="68"/>
        <v>2024/3</v>
      </c>
      <c r="T1437" s="21">
        <f>IFERROR(
(VLOOKUP(MONTH(R1437),Meses!$B$3:$C$14,2,FALSE)-DAY(R1437))/VLOOKUP(MONTH(R1437),Meses!$B$3:$C$14,2,FALSE)*U1437,
"")</f>
        <v>4977.9677419354839</v>
      </c>
      <c r="U1437" s="22">
        <f t="shared" si="67"/>
        <v>51439</v>
      </c>
    </row>
    <row r="1438" spans="1:21" ht="94.2" hidden="1" thickBot="1" x14ac:dyDescent="0.6">
      <c r="A1438" s="10" t="s">
        <v>1813</v>
      </c>
      <c r="B1438" s="10" t="s">
        <v>1814</v>
      </c>
      <c r="C1438" s="12">
        <v>45292</v>
      </c>
      <c r="D1438" s="10" t="s">
        <v>671</v>
      </c>
      <c r="E1438" s="10" t="s">
        <v>14</v>
      </c>
      <c r="F1438" s="10">
        <v>130000</v>
      </c>
      <c r="G1438" s="10" t="s">
        <v>20</v>
      </c>
      <c r="H1438" s="10" t="s">
        <v>17</v>
      </c>
      <c r="I1438" s="10" t="s">
        <v>15</v>
      </c>
      <c r="J1438" s="10" t="s">
        <v>282</v>
      </c>
      <c r="K1438" s="10" t="s">
        <v>283</v>
      </c>
      <c r="L1438" s="10" t="s">
        <v>279</v>
      </c>
      <c r="M1438" s="12"/>
      <c r="N1438" s="10" t="s">
        <v>15</v>
      </c>
      <c r="O1438" s="10" t="s">
        <v>2054</v>
      </c>
      <c r="P1438" s="25" t="str">
        <f>IFERROR(
IF(OR(O1438="anulado",O1438="stand by"),CONCATENATE(O1438,": ",H1438),
IF(OR(YEAR(M1438)=2022,YEAR(M1438)=2023),CONCATENATE("Se activó en ",YEAR(M1438)),
IF(AND(OR(O1438="En proceso",O1438="facturando"),AND(J1438="-",M1438="")),"Por revisar",
IF(M1438="",IF(J1438="NUEVAS",CONCATENATE("Estado: ",O1438,", ",J1438),
IF(L1438=Meses!$A$3,"Por revisar",
IF(H1438="","Sin registro","En programación Frcst."))),"En programación")))),
"Error")</f>
        <v>En programación Frcst.</v>
      </c>
      <c r="Q1438" s="9" t="str">
        <f t="shared" si="66"/>
        <v/>
      </c>
      <c r="R1438" s="25">
        <f>IF(P1438="En programación Frcst.",VLOOKUP(L1438,Meses!$A$1:$H$14,3+HLOOKUP(Cronograma!J1438,Meses!$D$1:$G$2,2,FALSE),FALSE),
IF(P1438="En programación",M1438,""))</f>
        <v>45295</v>
      </c>
      <c r="S1438" s="25" t="str">
        <f t="shared" si="68"/>
        <v>2024/1</v>
      </c>
      <c r="T1438" s="21">
        <f>IFERROR(
(VLOOKUP(MONTH(R1438),Meses!$B$3:$C$14,2,FALSE)-DAY(R1438))/VLOOKUP(MONTH(R1438),Meses!$B$3:$C$14,2,FALSE)*U1438,
"")</f>
        <v>113225.80645161291</v>
      </c>
      <c r="U1438" s="22">
        <f t="shared" si="67"/>
        <v>130000</v>
      </c>
    </row>
    <row r="1439" spans="1:21" ht="47.4" hidden="1" thickBot="1" x14ac:dyDescent="0.6">
      <c r="A1439" s="10" t="s">
        <v>1815</v>
      </c>
      <c r="B1439" s="10" t="s">
        <v>1816</v>
      </c>
      <c r="C1439" s="12"/>
      <c r="D1439" s="10" t="s">
        <v>14</v>
      </c>
      <c r="E1439" s="10" t="s">
        <v>14</v>
      </c>
      <c r="F1439" s="10">
        <v>18760</v>
      </c>
      <c r="G1439" s="10" t="s">
        <v>15</v>
      </c>
      <c r="H1439" s="10" t="s">
        <v>1050</v>
      </c>
      <c r="I1439" s="10" t="s">
        <v>18</v>
      </c>
      <c r="J1439" s="10" t="s">
        <v>277</v>
      </c>
      <c r="K1439" s="10" t="s">
        <v>3327</v>
      </c>
      <c r="L1439" s="10" t="s">
        <v>2292</v>
      </c>
      <c r="M1439" s="12">
        <v>45400</v>
      </c>
      <c r="N1439" s="10" t="s">
        <v>15</v>
      </c>
      <c r="O1439" s="10" t="s">
        <v>2057</v>
      </c>
      <c r="P1439" s="25" t="str">
        <f>IFERROR(
IF(OR(O1439="anulado",O1439="stand by"),CONCATENATE(O1439,": ",H1439),
IF(OR(YEAR(M1439)=2022,YEAR(M1439)=2023),CONCATENATE("Se activó en ",YEAR(M1439)),
IF(AND(OR(O1439="En proceso",O1439="facturando"),AND(J1439="-",M1439="")),"Por revisar",
IF(M1439="",IF(J1439="NUEVAS",CONCATENATE("Estado: ",O1439,", ",J1439),
IF(L1439=Meses!$A$3,"Por revisar",
IF(H1439="","Sin registro","En programación Frcst."))),"En programación")))),
"Error")</f>
        <v>En programación</v>
      </c>
      <c r="Q1439" s="9" t="str">
        <f t="shared" si="66"/>
        <v/>
      </c>
      <c r="R1439" s="25">
        <f>IF(P1439="En programación Frcst.",VLOOKUP(L1439,Meses!$A$1:$H$14,3+HLOOKUP(Cronograma!J1439,Meses!$D$1:$G$2,2,FALSE),FALSE),
IF(P1439="En programación",M1439,""))</f>
        <v>45400</v>
      </c>
      <c r="S1439" s="25" t="str">
        <f t="shared" si="68"/>
        <v>2024/4</v>
      </c>
      <c r="T1439" s="21">
        <f>IFERROR(
(VLOOKUP(MONTH(R1439),Meses!$B$3:$C$14,2,FALSE)-DAY(R1439))/VLOOKUP(MONTH(R1439),Meses!$B$3:$C$14,2,FALSE)*U1439,
"")</f>
        <v>7504</v>
      </c>
      <c r="U1439" s="22">
        <f t="shared" si="67"/>
        <v>18760</v>
      </c>
    </row>
    <row r="1440" spans="1:21" ht="63" hidden="1" thickBot="1" x14ac:dyDescent="0.6">
      <c r="A1440" s="10" t="s">
        <v>1817</v>
      </c>
      <c r="B1440" s="10" t="s">
        <v>1818</v>
      </c>
      <c r="C1440" s="12">
        <v>45330</v>
      </c>
      <c r="D1440" s="10" t="s">
        <v>1207</v>
      </c>
      <c r="E1440" s="10" t="s">
        <v>289</v>
      </c>
      <c r="F1440" s="10">
        <v>25000</v>
      </c>
      <c r="G1440" s="10" t="s">
        <v>15</v>
      </c>
      <c r="H1440" s="10" t="s">
        <v>2406</v>
      </c>
      <c r="I1440" s="10" t="s">
        <v>66</v>
      </c>
      <c r="J1440" s="10" t="s">
        <v>292</v>
      </c>
      <c r="K1440" s="10" t="s">
        <v>945</v>
      </c>
      <c r="L1440" s="10" t="s">
        <v>145</v>
      </c>
      <c r="M1440" s="12"/>
      <c r="N1440" s="10" t="s">
        <v>15</v>
      </c>
      <c r="O1440" s="10" t="s">
        <v>2054</v>
      </c>
      <c r="P1440" s="25" t="str">
        <f>IFERROR(
IF(OR(O1440="anulado",O1440="stand by"),CONCATENATE(O1440,": ",H1440),
IF(OR(YEAR(M1440)=2022,YEAR(M1440)=2023),CONCATENATE("Se activó en ",YEAR(M1440)),
IF(AND(OR(O1440="En proceso",O1440="facturando"),AND(J1440="-",M1440="")),"Por revisar",
IF(M1440="",IF(J1440="NUEVAS",CONCATENATE("Estado: ",O1440,", ",J1440),
IF(L1440=Meses!$A$3,"Por revisar",
IF(H1440="","Sin registro","En programación Frcst."))),"En programación")))),
"Error")</f>
        <v>Por revisar</v>
      </c>
      <c r="Q1440" s="9" t="str">
        <f t="shared" si="66"/>
        <v>programación de act. SI, estado: Facturando, Comercializador: ENERTOTAL, Etapa:  Activo Pendiente Instalación</v>
      </c>
      <c r="R1440" s="25" t="str">
        <f>IF(P1440="En programación Frcst.",VLOOKUP(L1440,Meses!$A$1:$H$14,3+HLOOKUP(Cronograma!J1440,Meses!$D$1:$G$2,2,FALSE),FALSE),
IF(P1440="En programación",M1440,""))</f>
        <v/>
      </c>
      <c r="S1440" s="25" t="str">
        <f t="shared" si="68"/>
        <v/>
      </c>
      <c r="T1440" s="21" t="str">
        <f>IFERROR(
(VLOOKUP(MONTH(R1440),Meses!$B$3:$C$14,2,FALSE)-DAY(R1440))/VLOOKUP(MONTH(R1440),Meses!$B$3:$C$14,2,FALSE)*U1440,
"")</f>
        <v/>
      </c>
      <c r="U1440" s="22">
        <f t="shared" si="67"/>
        <v>25000</v>
      </c>
    </row>
    <row r="1441" spans="1:21" ht="31.8" hidden="1" thickBot="1" x14ac:dyDescent="0.6">
      <c r="A1441" s="10" t="s">
        <v>1819</v>
      </c>
      <c r="B1441" s="10" t="s">
        <v>1820</v>
      </c>
      <c r="C1441" s="12"/>
      <c r="D1441" s="10" t="s">
        <v>654</v>
      </c>
      <c r="E1441" s="10" t="s">
        <v>14</v>
      </c>
      <c r="F1441" s="10">
        <v>19526</v>
      </c>
      <c r="G1441" s="10" t="s">
        <v>15</v>
      </c>
      <c r="H1441" s="10" t="s">
        <v>2916</v>
      </c>
      <c r="I1441" s="10" t="s">
        <v>66</v>
      </c>
      <c r="J1441" s="10" t="s">
        <v>292</v>
      </c>
      <c r="K1441" s="10" t="s">
        <v>1697</v>
      </c>
      <c r="L1441" s="10" t="s">
        <v>1120</v>
      </c>
      <c r="M1441" s="12">
        <v>45379</v>
      </c>
      <c r="N1441" s="10" t="s">
        <v>15</v>
      </c>
      <c r="O1441" s="10" t="s">
        <v>2057</v>
      </c>
      <c r="P1441" s="25" t="str">
        <f>IFERROR(
IF(OR(O1441="anulado",O1441="stand by"),CONCATENATE(O1441,": ",H1441),
IF(OR(YEAR(M1441)=2022,YEAR(M1441)=2023),CONCATENATE("Se activó en ",YEAR(M1441)),
IF(AND(OR(O1441="En proceso",O1441="facturando"),AND(J1441="-",M1441="")),"Por revisar",
IF(M1441="",IF(J1441="NUEVAS",CONCATENATE("Estado: ",O1441,", ",J1441),
IF(L1441=Meses!$A$3,"Por revisar",
IF(H1441="","Sin registro","En programación Frcst."))),"En programación")))),
"Error")</f>
        <v>En programación</v>
      </c>
      <c r="Q1441" s="9" t="str">
        <f t="shared" si="66"/>
        <v/>
      </c>
      <c r="R1441" s="25">
        <f>IF(P1441="En programación Frcst.",VLOOKUP(L1441,Meses!$A$1:$H$14,3+HLOOKUP(Cronograma!J1441,Meses!$D$1:$G$2,2,FALSE),FALSE),
IF(P1441="En programación",M1441,""))</f>
        <v>45379</v>
      </c>
      <c r="S1441" s="25" t="str">
        <f t="shared" si="68"/>
        <v>2024/3</v>
      </c>
      <c r="T1441" s="21">
        <f>IFERROR(
(VLOOKUP(MONTH(R1441),Meses!$B$3:$C$14,2,FALSE)-DAY(R1441))/VLOOKUP(MONTH(R1441),Meses!$B$3:$C$14,2,FALSE)*U1441,
"")</f>
        <v>1889.6129032258063</v>
      </c>
      <c r="U1441" s="22">
        <f t="shared" si="67"/>
        <v>19526</v>
      </c>
    </row>
    <row r="1442" spans="1:21" ht="47.4" hidden="1" thickBot="1" x14ac:dyDescent="0.6">
      <c r="A1442" s="10" t="s">
        <v>1821</v>
      </c>
      <c r="B1442" s="10" t="s">
        <v>1822</v>
      </c>
      <c r="C1442" s="12">
        <v>45288</v>
      </c>
      <c r="D1442" s="10" t="s">
        <v>1207</v>
      </c>
      <c r="E1442" s="10" t="s">
        <v>289</v>
      </c>
      <c r="F1442" s="10">
        <v>2300</v>
      </c>
      <c r="G1442" s="10" t="s">
        <v>15</v>
      </c>
      <c r="H1442" s="10" t="s">
        <v>17</v>
      </c>
      <c r="I1442" s="10" t="s">
        <v>66</v>
      </c>
      <c r="J1442" s="10" t="s">
        <v>292</v>
      </c>
      <c r="K1442" s="10" t="s">
        <v>945</v>
      </c>
      <c r="L1442" s="10" t="s">
        <v>145</v>
      </c>
      <c r="M1442" s="12"/>
      <c r="N1442" s="10" t="s">
        <v>15</v>
      </c>
      <c r="O1442" s="10" t="s">
        <v>2054</v>
      </c>
      <c r="P1442" s="25" t="str">
        <f>IFERROR(
IF(OR(O1442="anulado",O1442="stand by"),CONCATENATE(O1442,": ",H1442),
IF(OR(YEAR(M1442)=2022,YEAR(M1442)=2023),CONCATENATE("Se activó en ",YEAR(M1442)),
IF(AND(OR(O1442="En proceso",O1442="facturando"),AND(J1442="-",M1442="")),"Por revisar",
IF(M1442="",IF(J1442="NUEVAS",CONCATENATE("Estado: ",O1442,", ",J1442),
IF(L1442=Meses!$A$3,"Por revisar",
IF(H1442="","Sin registro","En programación Frcst."))),"En programación")))),
"Error")</f>
        <v>Por revisar</v>
      </c>
      <c r="Q1442" s="9" t="str">
        <f t="shared" si="66"/>
        <v>programación de act. SI, estado: Facturando, Comercializador: ENERTOTAL, Etapa: Instalado y Activado</v>
      </c>
      <c r="R1442" s="25" t="str">
        <f>IF(P1442="En programación Frcst.",VLOOKUP(L1442,Meses!$A$1:$H$14,3+HLOOKUP(Cronograma!J1442,Meses!$D$1:$G$2,2,FALSE),FALSE),
IF(P1442="En programación",M1442,""))</f>
        <v/>
      </c>
      <c r="S1442" s="25" t="str">
        <f t="shared" si="68"/>
        <v/>
      </c>
      <c r="T1442" s="21" t="str">
        <f>IFERROR(
(VLOOKUP(MONTH(R1442),Meses!$B$3:$C$14,2,FALSE)-DAY(R1442))/VLOOKUP(MONTH(R1442),Meses!$B$3:$C$14,2,FALSE)*U1442,
"")</f>
        <v/>
      </c>
      <c r="U1442" s="22">
        <f t="shared" si="67"/>
        <v>2300</v>
      </c>
    </row>
    <row r="1443" spans="1:21" ht="47.4" hidden="1" thickBot="1" x14ac:dyDescent="0.6">
      <c r="A1443" s="10" t="s">
        <v>1823</v>
      </c>
      <c r="B1443" s="10" t="s">
        <v>1824</v>
      </c>
      <c r="C1443" s="12">
        <v>45302</v>
      </c>
      <c r="D1443" s="10" t="s">
        <v>14</v>
      </c>
      <c r="E1443" s="10" t="s">
        <v>14</v>
      </c>
      <c r="F1443" s="10">
        <v>16894</v>
      </c>
      <c r="G1443" s="10" t="s">
        <v>15</v>
      </c>
      <c r="H1443" s="10" t="s">
        <v>17</v>
      </c>
      <c r="I1443" s="10" t="s">
        <v>18</v>
      </c>
      <c r="J1443" s="10" t="s">
        <v>282</v>
      </c>
      <c r="K1443" s="10" t="s">
        <v>747</v>
      </c>
      <c r="L1443" s="10" t="s">
        <v>748</v>
      </c>
      <c r="M1443" s="12"/>
      <c r="N1443" s="10" t="s">
        <v>15</v>
      </c>
      <c r="O1443" s="10" t="s">
        <v>2054</v>
      </c>
      <c r="P1443" s="25" t="str">
        <f>IFERROR(
IF(OR(O1443="anulado",O1443="stand by"),CONCATENATE(O1443,": ",H1443),
IF(OR(YEAR(M1443)=2022,YEAR(M1443)=2023),CONCATENATE("Se activó en ",YEAR(M1443)),
IF(AND(OR(O1443="En proceso",O1443="facturando"),AND(J1443="-",M1443="")),"Por revisar",
IF(M1443="",IF(J1443="NUEVAS",CONCATENATE("Estado: ",O1443,", ",J1443),
IF(L1443=Meses!$A$3,"Por revisar",
IF(H1443="","Sin registro","En programación Frcst."))),"En programación")))),
"Error")</f>
        <v>En programación Frcst.</v>
      </c>
      <c r="Q1443" s="9" t="str">
        <f t="shared" si="66"/>
        <v/>
      </c>
      <c r="R1443" s="25">
        <f>IF(P1443="En programación Frcst.",VLOOKUP(L1443,Meses!$A$1:$H$14,3+HLOOKUP(Cronograma!J1443,Meses!$D$1:$G$2,2,FALSE),FALSE),
IF(P1443="En programación",M1443,""))</f>
        <v>45323</v>
      </c>
      <c r="S1443" s="25" t="str">
        <f t="shared" si="68"/>
        <v>2024/2</v>
      </c>
      <c r="T1443" s="21">
        <f>IFERROR(
(VLOOKUP(MONTH(R1443),Meses!$B$3:$C$14,2,FALSE)-DAY(R1443))/VLOOKUP(MONTH(R1443),Meses!$B$3:$C$14,2,FALSE)*U1443,
"")</f>
        <v>16311.448275862069</v>
      </c>
      <c r="U1443" s="22">
        <f t="shared" si="67"/>
        <v>16894</v>
      </c>
    </row>
    <row r="1444" spans="1:21" ht="47.4" hidden="1" thickBot="1" x14ac:dyDescent="0.6">
      <c r="A1444" s="10" t="s">
        <v>1825</v>
      </c>
      <c r="B1444" s="10" t="s">
        <v>1826</v>
      </c>
      <c r="C1444" s="12"/>
      <c r="D1444" s="10" t="s">
        <v>654</v>
      </c>
      <c r="E1444" s="10" t="s">
        <v>289</v>
      </c>
      <c r="F1444" s="10">
        <v>43800</v>
      </c>
      <c r="G1444" s="10" t="s">
        <v>15</v>
      </c>
      <c r="H1444" s="10" t="s">
        <v>1050</v>
      </c>
      <c r="I1444" s="10" t="s">
        <v>66</v>
      </c>
      <c r="J1444" s="10" t="s">
        <v>292</v>
      </c>
      <c r="K1444" s="10" t="s">
        <v>1697</v>
      </c>
      <c r="L1444" s="10" t="s">
        <v>1120</v>
      </c>
      <c r="M1444" s="12">
        <v>45379</v>
      </c>
      <c r="N1444" s="10" t="s">
        <v>15</v>
      </c>
      <c r="O1444" s="10" t="s">
        <v>2057</v>
      </c>
      <c r="P1444" s="25" t="str">
        <f>IFERROR(
IF(OR(O1444="anulado",O1444="stand by"),CONCATENATE(O1444,": ",H1444),
IF(OR(YEAR(M1444)=2022,YEAR(M1444)=2023),CONCATENATE("Se activó en ",YEAR(M1444)),
IF(AND(OR(O1444="En proceso",O1444="facturando"),AND(J1444="-",M1444="")),"Por revisar",
IF(M1444="",IF(J1444="NUEVAS",CONCATENATE("Estado: ",O1444,", ",J1444),
IF(L1444=Meses!$A$3,"Por revisar",
IF(H1444="","Sin registro","En programación Frcst."))),"En programación")))),
"Error")</f>
        <v>En programación</v>
      </c>
      <c r="Q1444" s="9" t="str">
        <f t="shared" si="66"/>
        <v/>
      </c>
      <c r="R1444" s="25">
        <f>IF(P1444="En programación Frcst.",VLOOKUP(L1444,Meses!$A$1:$H$14,3+HLOOKUP(Cronograma!J1444,Meses!$D$1:$G$2,2,FALSE),FALSE),
IF(P1444="En programación",M1444,""))</f>
        <v>45379</v>
      </c>
      <c r="S1444" s="25" t="str">
        <f t="shared" si="68"/>
        <v>2024/3</v>
      </c>
      <c r="T1444" s="21">
        <f>IFERROR(
(VLOOKUP(MONTH(R1444),Meses!$B$3:$C$14,2,FALSE)-DAY(R1444))/VLOOKUP(MONTH(R1444),Meses!$B$3:$C$14,2,FALSE)*U1444,
"")</f>
        <v>4238.7096774193551</v>
      </c>
      <c r="U1444" s="22">
        <f t="shared" si="67"/>
        <v>43800</v>
      </c>
    </row>
    <row r="1445" spans="1:21" ht="47.4" hidden="1" thickBot="1" x14ac:dyDescent="0.6">
      <c r="A1445" s="10" t="s">
        <v>1825</v>
      </c>
      <c r="B1445" s="10" t="s">
        <v>1827</v>
      </c>
      <c r="C1445" s="12"/>
      <c r="D1445" s="10" t="s">
        <v>654</v>
      </c>
      <c r="E1445" s="10" t="s">
        <v>289</v>
      </c>
      <c r="F1445" s="10">
        <v>8700</v>
      </c>
      <c r="G1445" s="10" t="s">
        <v>15</v>
      </c>
      <c r="H1445" s="10" t="s">
        <v>1050</v>
      </c>
      <c r="I1445" s="10" t="s">
        <v>66</v>
      </c>
      <c r="J1445" s="10" t="s">
        <v>292</v>
      </c>
      <c r="K1445" s="10" t="s">
        <v>1697</v>
      </c>
      <c r="L1445" s="10" t="s">
        <v>1120</v>
      </c>
      <c r="M1445" s="12">
        <v>45379</v>
      </c>
      <c r="N1445" s="10" t="s">
        <v>15</v>
      </c>
      <c r="O1445" s="10" t="s">
        <v>2057</v>
      </c>
      <c r="P1445" s="25" t="str">
        <f>IFERROR(
IF(OR(O1445="anulado",O1445="stand by"),CONCATENATE(O1445,": ",H1445),
IF(OR(YEAR(M1445)=2022,YEAR(M1445)=2023),CONCATENATE("Se activó en ",YEAR(M1445)),
IF(AND(OR(O1445="En proceso",O1445="facturando"),AND(J1445="-",M1445="")),"Por revisar",
IF(M1445="",IF(J1445="NUEVAS",CONCATENATE("Estado: ",O1445,", ",J1445),
IF(L1445=Meses!$A$3,"Por revisar",
IF(H1445="","Sin registro","En programación Frcst."))),"En programación")))),
"Error")</f>
        <v>En programación</v>
      </c>
      <c r="Q1445" s="9" t="str">
        <f t="shared" si="66"/>
        <v/>
      </c>
      <c r="R1445" s="25">
        <f>IF(P1445="En programación Frcst.",VLOOKUP(L1445,Meses!$A$1:$H$14,3+HLOOKUP(Cronograma!J1445,Meses!$D$1:$G$2,2,FALSE),FALSE),
IF(P1445="En programación",M1445,""))</f>
        <v>45379</v>
      </c>
      <c r="S1445" s="25" t="str">
        <f t="shared" si="68"/>
        <v>2024/3</v>
      </c>
      <c r="T1445" s="21">
        <f>IFERROR(
(VLOOKUP(MONTH(R1445),Meses!$B$3:$C$14,2,FALSE)-DAY(R1445))/VLOOKUP(MONTH(R1445),Meses!$B$3:$C$14,2,FALSE)*U1445,
"")</f>
        <v>841.93548387096769</v>
      </c>
      <c r="U1445" s="22">
        <f t="shared" si="67"/>
        <v>8700</v>
      </c>
    </row>
    <row r="1446" spans="1:21" ht="47.4" hidden="1" thickBot="1" x14ac:dyDescent="0.6">
      <c r="A1446" s="10" t="s">
        <v>1823</v>
      </c>
      <c r="B1446" s="10" t="s">
        <v>1828</v>
      </c>
      <c r="C1446" s="12">
        <v>45302</v>
      </c>
      <c r="D1446" s="10" t="s">
        <v>14</v>
      </c>
      <c r="E1446" s="10" t="s">
        <v>14</v>
      </c>
      <c r="F1446" s="10">
        <v>153</v>
      </c>
      <c r="G1446" s="10" t="s">
        <v>15</v>
      </c>
      <c r="H1446" s="10" t="s">
        <v>17</v>
      </c>
      <c r="I1446" s="10" t="s">
        <v>18</v>
      </c>
      <c r="J1446" s="10" t="s">
        <v>282</v>
      </c>
      <c r="K1446" s="10" t="s">
        <v>747</v>
      </c>
      <c r="L1446" s="10" t="s">
        <v>748</v>
      </c>
      <c r="M1446" s="12"/>
      <c r="N1446" s="10" t="s">
        <v>15</v>
      </c>
      <c r="O1446" s="10" t="s">
        <v>2054</v>
      </c>
      <c r="P1446" s="25" t="str">
        <f>IFERROR(
IF(OR(O1446="anulado",O1446="stand by"),CONCATENATE(O1446,": ",H1446),
IF(OR(YEAR(M1446)=2022,YEAR(M1446)=2023),CONCATENATE("Se activó en ",YEAR(M1446)),
IF(AND(OR(O1446="En proceso",O1446="facturando"),AND(J1446="-",M1446="")),"Por revisar",
IF(M1446="",IF(J1446="NUEVAS",CONCATENATE("Estado: ",O1446,", ",J1446),
IF(L1446=Meses!$A$3,"Por revisar",
IF(H1446="","Sin registro","En programación Frcst."))),"En programación")))),
"Error")</f>
        <v>En programación Frcst.</v>
      </c>
      <c r="Q1446" s="9" t="str">
        <f t="shared" si="66"/>
        <v/>
      </c>
      <c r="R1446" s="25">
        <f>IF(P1446="En programación Frcst.",VLOOKUP(L1446,Meses!$A$1:$H$14,3+HLOOKUP(Cronograma!J1446,Meses!$D$1:$G$2,2,FALSE),FALSE),
IF(P1446="En programación",M1446,""))</f>
        <v>45323</v>
      </c>
      <c r="S1446" s="25" t="str">
        <f t="shared" si="68"/>
        <v>2024/2</v>
      </c>
      <c r="T1446" s="21">
        <f>IFERROR(
(VLOOKUP(MONTH(R1446),Meses!$B$3:$C$14,2,FALSE)-DAY(R1446))/VLOOKUP(MONTH(R1446),Meses!$B$3:$C$14,2,FALSE)*U1446,
"")</f>
        <v>147.72413793103448</v>
      </c>
      <c r="U1446" s="22">
        <f t="shared" si="67"/>
        <v>153</v>
      </c>
    </row>
    <row r="1447" spans="1:21" ht="47.4" hidden="1" thickBot="1" x14ac:dyDescent="0.6">
      <c r="A1447" s="10" t="s">
        <v>1829</v>
      </c>
      <c r="B1447" s="10" t="s">
        <v>1830</v>
      </c>
      <c r="C1447" s="12"/>
      <c r="D1447" s="10" t="s">
        <v>44</v>
      </c>
      <c r="E1447" s="10" t="s">
        <v>44</v>
      </c>
      <c r="F1447" s="10">
        <v>3879</v>
      </c>
      <c r="G1447" s="10" t="s">
        <v>15</v>
      </c>
      <c r="H1447" s="10" t="s">
        <v>1050</v>
      </c>
      <c r="I1447" s="10" t="s">
        <v>43</v>
      </c>
      <c r="J1447" s="10" t="s">
        <v>143</v>
      </c>
      <c r="K1447" s="10" t="s">
        <v>2895</v>
      </c>
      <c r="L1447" s="10" t="s">
        <v>2292</v>
      </c>
      <c r="M1447" s="12">
        <v>45400</v>
      </c>
      <c r="N1447" s="10" t="s">
        <v>15</v>
      </c>
      <c r="O1447" s="10" t="s">
        <v>2057</v>
      </c>
      <c r="P1447" s="25" t="str">
        <f>IFERROR(
IF(OR(O1447="anulado",O1447="stand by"),CONCATENATE(O1447,": ",H1447),
IF(OR(YEAR(M1447)=2022,YEAR(M1447)=2023),CONCATENATE("Se activó en ",YEAR(M1447)),
IF(AND(OR(O1447="En proceso",O1447="facturando"),AND(J1447="-",M1447="")),"Por revisar",
IF(M1447="",IF(J1447="NUEVAS",CONCATENATE("Estado: ",O1447,", ",J1447),
IF(L1447=Meses!$A$3,"Por revisar",
IF(H1447="","Sin registro","En programación Frcst."))),"En programación")))),
"Error")</f>
        <v>En programación</v>
      </c>
      <c r="Q1447" s="9" t="str">
        <f t="shared" si="66"/>
        <v/>
      </c>
      <c r="R1447" s="25">
        <f>IF(P1447="En programación Frcst.",VLOOKUP(L1447,Meses!$A$1:$H$14,3+HLOOKUP(Cronograma!J1447,Meses!$D$1:$G$2,2,FALSE),FALSE),
IF(P1447="En programación",M1447,""))</f>
        <v>45400</v>
      </c>
      <c r="S1447" s="25" t="str">
        <f t="shared" si="68"/>
        <v>2024/4</v>
      </c>
      <c r="T1447" s="21">
        <f>IFERROR(
(VLOOKUP(MONTH(R1447),Meses!$B$3:$C$14,2,FALSE)-DAY(R1447))/VLOOKUP(MONTH(R1447),Meses!$B$3:$C$14,2,FALSE)*U1447,
"")</f>
        <v>1551.6000000000001</v>
      </c>
      <c r="U1447" s="22">
        <f t="shared" si="67"/>
        <v>3879</v>
      </c>
    </row>
    <row r="1448" spans="1:21" ht="63" hidden="1" thickBot="1" x14ac:dyDescent="0.6">
      <c r="A1448" s="10" t="s">
        <v>1831</v>
      </c>
      <c r="B1448" s="10" t="s">
        <v>1832</v>
      </c>
      <c r="C1448" s="12"/>
      <c r="D1448" s="10" t="s">
        <v>74</v>
      </c>
      <c r="E1448" s="10" t="s">
        <v>74</v>
      </c>
      <c r="F1448" s="10">
        <v>6552</v>
      </c>
      <c r="G1448" s="10" t="s">
        <v>15</v>
      </c>
      <c r="H1448" s="10" t="s">
        <v>2917</v>
      </c>
      <c r="I1448" s="10" t="s">
        <v>43</v>
      </c>
      <c r="J1448" s="10" t="s">
        <v>143</v>
      </c>
      <c r="K1448" s="10" t="s">
        <v>2895</v>
      </c>
      <c r="L1448" s="10" t="s">
        <v>2292</v>
      </c>
      <c r="M1448" s="12">
        <v>45400</v>
      </c>
      <c r="N1448" s="10" t="s">
        <v>15</v>
      </c>
      <c r="O1448" s="10" t="s">
        <v>2057</v>
      </c>
      <c r="P1448" s="25" t="str">
        <f>IFERROR(
IF(OR(O1448="anulado",O1448="stand by"),CONCATENATE(O1448,": ",H1448),
IF(OR(YEAR(M1448)=2022,YEAR(M1448)=2023),CONCATENATE("Se activó en ",YEAR(M1448)),
IF(AND(OR(O1448="En proceso",O1448="facturando"),AND(J1448="-",M1448="")),"Por revisar",
IF(M1448="",IF(J1448="NUEVAS",CONCATENATE("Estado: ",O1448,", ",J1448),
IF(L1448=Meses!$A$3,"Por revisar",
IF(H1448="","Sin registro","En programación Frcst."))),"En programación")))),
"Error")</f>
        <v>En programación</v>
      </c>
      <c r="Q1448" s="9" t="str">
        <f t="shared" si="66"/>
        <v/>
      </c>
      <c r="R1448" s="25">
        <f>IF(P1448="En programación Frcst.",VLOOKUP(L1448,Meses!$A$1:$H$14,3+HLOOKUP(Cronograma!J1448,Meses!$D$1:$G$2,2,FALSE),FALSE),
IF(P1448="En programación",M1448,""))</f>
        <v>45400</v>
      </c>
      <c r="S1448" s="25" t="str">
        <f t="shared" si="68"/>
        <v>2024/4</v>
      </c>
      <c r="T1448" s="21">
        <f>IFERROR(
(VLOOKUP(MONTH(R1448),Meses!$B$3:$C$14,2,FALSE)-DAY(R1448))/VLOOKUP(MONTH(R1448),Meses!$B$3:$C$14,2,FALSE)*U1448,
"")</f>
        <v>2620.8000000000002</v>
      </c>
      <c r="U1448" s="22">
        <f t="shared" si="67"/>
        <v>6552</v>
      </c>
    </row>
    <row r="1449" spans="1:21" ht="31.8" hidden="1" thickBot="1" x14ac:dyDescent="0.6">
      <c r="A1449" s="10" t="s">
        <v>1833</v>
      </c>
      <c r="B1449" s="10" t="s">
        <v>1834</v>
      </c>
      <c r="C1449" s="12">
        <v>45302</v>
      </c>
      <c r="D1449" s="10" t="s">
        <v>14</v>
      </c>
      <c r="E1449" s="10" t="s">
        <v>14</v>
      </c>
      <c r="F1449" s="10">
        <v>6628</v>
      </c>
      <c r="G1449" s="10" t="s">
        <v>15</v>
      </c>
      <c r="H1449" s="10" t="s">
        <v>17</v>
      </c>
      <c r="I1449" s="10" t="s">
        <v>18</v>
      </c>
      <c r="J1449" s="10" t="s">
        <v>282</v>
      </c>
      <c r="K1449" s="10" t="s">
        <v>747</v>
      </c>
      <c r="L1449" s="10" t="s">
        <v>748</v>
      </c>
      <c r="M1449" s="12"/>
      <c r="N1449" s="10" t="s">
        <v>15</v>
      </c>
      <c r="O1449" s="10" t="s">
        <v>2054</v>
      </c>
      <c r="P1449" s="25" t="str">
        <f>IFERROR(
IF(OR(O1449="anulado",O1449="stand by"),CONCATENATE(O1449,": ",H1449),
IF(OR(YEAR(M1449)=2022,YEAR(M1449)=2023),CONCATENATE("Se activó en ",YEAR(M1449)),
IF(AND(OR(O1449="En proceso",O1449="facturando"),AND(J1449="-",M1449="")),"Por revisar",
IF(M1449="",IF(J1449="NUEVAS",CONCATENATE("Estado: ",O1449,", ",J1449),
IF(L1449=Meses!$A$3,"Por revisar",
IF(H1449="","Sin registro","En programación Frcst."))),"En programación")))),
"Error")</f>
        <v>En programación Frcst.</v>
      </c>
      <c r="Q1449" s="9" t="str">
        <f t="shared" si="66"/>
        <v/>
      </c>
      <c r="R1449" s="25">
        <f>IF(P1449="En programación Frcst.",VLOOKUP(L1449,Meses!$A$1:$H$14,3+HLOOKUP(Cronograma!J1449,Meses!$D$1:$G$2,2,FALSE),FALSE),
IF(P1449="En programación",M1449,""))</f>
        <v>45323</v>
      </c>
      <c r="S1449" s="25" t="str">
        <f t="shared" si="68"/>
        <v>2024/2</v>
      </c>
      <c r="T1449" s="21">
        <f>IFERROR(
(VLOOKUP(MONTH(R1449),Meses!$B$3:$C$14,2,FALSE)-DAY(R1449))/VLOOKUP(MONTH(R1449),Meses!$B$3:$C$14,2,FALSE)*U1449,
"")</f>
        <v>6399.4482758620688</v>
      </c>
      <c r="U1449" s="22">
        <f t="shared" si="67"/>
        <v>6628</v>
      </c>
    </row>
    <row r="1450" spans="1:21" ht="31.8" hidden="1" thickBot="1" x14ac:dyDescent="0.6">
      <c r="A1450" s="10" t="s">
        <v>1833</v>
      </c>
      <c r="B1450" s="10" t="s">
        <v>1835</v>
      </c>
      <c r="C1450" s="12">
        <v>45302</v>
      </c>
      <c r="D1450" s="10" t="s">
        <v>14</v>
      </c>
      <c r="E1450" s="10" t="s">
        <v>14</v>
      </c>
      <c r="F1450" s="10">
        <v>556</v>
      </c>
      <c r="G1450" s="10" t="s">
        <v>15</v>
      </c>
      <c r="H1450" s="10" t="s">
        <v>17</v>
      </c>
      <c r="I1450" s="10" t="s">
        <v>18</v>
      </c>
      <c r="J1450" s="10" t="s">
        <v>282</v>
      </c>
      <c r="K1450" s="10" t="s">
        <v>747</v>
      </c>
      <c r="L1450" s="10" t="s">
        <v>748</v>
      </c>
      <c r="M1450" s="12"/>
      <c r="N1450" s="10" t="s">
        <v>15</v>
      </c>
      <c r="O1450" s="10" t="s">
        <v>2054</v>
      </c>
      <c r="P1450" s="25" t="str">
        <f>IFERROR(
IF(OR(O1450="anulado",O1450="stand by"),CONCATENATE(O1450,": ",H1450),
IF(OR(YEAR(M1450)=2022,YEAR(M1450)=2023),CONCATENATE("Se activó en ",YEAR(M1450)),
IF(AND(OR(O1450="En proceso",O1450="facturando"),AND(J1450="-",M1450="")),"Por revisar",
IF(M1450="",IF(J1450="NUEVAS",CONCATENATE("Estado: ",O1450,", ",J1450),
IF(L1450=Meses!$A$3,"Por revisar",
IF(H1450="","Sin registro","En programación Frcst."))),"En programación")))),
"Error")</f>
        <v>En programación Frcst.</v>
      </c>
      <c r="Q1450" s="9" t="str">
        <f t="shared" si="66"/>
        <v/>
      </c>
      <c r="R1450" s="25">
        <f>IF(P1450="En programación Frcst.",VLOOKUP(L1450,Meses!$A$1:$H$14,3+HLOOKUP(Cronograma!J1450,Meses!$D$1:$G$2,2,FALSE),FALSE),
IF(P1450="En programación",M1450,""))</f>
        <v>45323</v>
      </c>
      <c r="S1450" s="25" t="str">
        <f t="shared" si="68"/>
        <v>2024/2</v>
      </c>
      <c r="T1450" s="21">
        <f>IFERROR(
(VLOOKUP(MONTH(R1450),Meses!$B$3:$C$14,2,FALSE)-DAY(R1450))/VLOOKUP(MONTH(R1450),Meses!$B$3:$C$14,2,FALSE)*U1450,
"")</f>
        <v>536.82758620689663</v>
      </c>
      <c r="U1450" s="22">
        <f t="shared" si="67"/>
        <v>556</v>
      </c>
    </row>
    <row r="1451" spans="1:21" ht="31.8" hidden="1" thickBot="1" x14ac:dyDescent="0.6">
      <c r="A1451" s="10" t="s">
        <v>1836</v>
      </c>
      <c r="B1451" s="10" t="s">
        <v>1837</v>
      </c>
      <c r="C1451" s="12">
        <v>45302</v>
      </c>
      <c r="D1451" s="10" t="s">
        <v>14</v>
      </c>
      <c r="E1451" s="10" t="s">
        <v>14</v>
      </c>
      <c r="F1451" s="10">
        <v>31</v>
      </c>
      <c r="G1451" s="10" t="s">
        <v>15</v>
      </c>
      <c r="H1451" s="10" t="s">
        <v>17</v>
      </c>
      <c r="I1451" s="10" t="s">
        <v>18</v>
      </c>
      <c r="J1451" s="10" t="s">
        <v>282</v>
      </c>
      <c r="K1451" s="10" t="s">
        <v>747</v>
      </c>
      <c r="L1451" s="10" t="s">
        <v>748</v>
      </c>
      <c r="M1451" s="12"/>
      <c r="N1451" s="10" t="s">
        <v>15</v>
      </c>
      <c r="O1451" s="10" t="s">
        <v>2054</v>
      </c>
      <c r="P1451" s="25" t="str">
        <f>IFERROR(
IF(OR(O1451="anulado",O1451="stand by"),CONCATENATE(O1451,": ",H1451),
IF(OR(YEAR(M1451)=2022,YEAR(M1451)=2023),CONCATENATE("Se activó en ",YEAR(M1451)),
IF(AND(OR(O1451="En proceso",O1451="facturando"),AND(J1451="-",M1451="")),"Por revisar",
IF(M1451="",IF(J1451="NUEVAS",CONCATENATE("Estado: ",O1451,", ",J1451),
IF(L1451=Meses!$A$3,"Por revisar",
IF(H1451="","Sin registro","En programación Frcst."))),"En programación")))),
"Error")</f>
        <v>En programación Frcst.</v>
      </c>
      <c r="Q1451" s="9" t="str">
        <f t="shared" si="66"/>
        <v/>
      </c>
      <c r="R1451" s="25">
        <f>IF(P1451="En programación Frcst.",VLOOKUP(L1451,Meses!$A$1:$H$14,3+HLOOKUP(Cronograma!J1451,Meses!$D$1:$G$2,2,FALSE),FALSE),
IF(P1451="En programación",M1451,""))</f>
        <v>45323</v>
      </c>
      <c r="S1451" s="25" t="str">
        <f t="shared" si="68"/>
        <v>2024/2</v>
      </c>
      <c r="T1451" s="21">
        <f>IFERROR(
(VLOOKUP(MONTH(R1451),Meses!$B$3:$C$14,2,FALSE)-DAY(R1451))/VLOOKUP(MONTH(R1451),Meses!$B$3:$C$14,2,FALSE)*U1451,
"")</f>
        <v>29.931034482758623</v>
      </c>
      <c r="U1451" s="22">
        <f t="shared" si="67"/>
        <v>31</v>
      </c>
    </row>
    <row r="1452" spans="1:21" ht="63" hidden="1" thickBot="1" x14ac:dyDescent="0.6">
      <c r="A1452" s="10" t="s">
        <v>1831</v>
      </c>
      <c r="B1452" s="10" t="s">
        <v>1838</v>
      </c>
      <c r="C1452" s="12"/>
      <c r="D1452" s="10" t="s">
        <v>41</v>
      </c>
      <c r="E1452" s="10" t="s">
        <v>41</v>
      </c>
      <c r="F1452" s="10">
        <v>2433</v>
      </c>
      <c r="G1452" s="10" t="s">
        <v>15</v>
      </c>
      <c r="H1452" s="10" t="s">
        <v>1050</v>
      </c>
      <c r="I1452" s="10" t="s">
        <v>43</v>
      </c>
      <c r="J1452" s="10" t="s">
        <v>143</v>
      </c>
      <c r="K1452" s="10" t="s">
        <v>2895</v>
      </c>
      <c r="L1452" s="10" t="s">
        <v>2292</v>
      </c>
      <c r="M1452" s="12">
        <v>45400</v>
      </c>
      <c r="N1452" s="10" t="s">
        <v>15</v>
      </c>
      <c r="O1452" s="10" t="s">
        <v>2057</v>
      </c>
      <c r="P1452" s="25" t="str">
        <f>IFERROR(
IF(OR(O1452="anulado",O1452="stand by"),CONCATENATE(O1452,": ",H1452),
IF(OR(YEAR(M1452)=2022,YEAR(M1452)=2023),CONCATENATE("Se activó en ",YEAR(M1452)),
IF(AND(OR(O1452="En proceso",O1452="facturando"),AND(J1452="-",M1452="")),"Por revisar",
IF(M1452="",IF(J1452="NUEVAS",CONCATENATE("Estado: ",O1452,", ",J1452),
IF(L1452=Meses!$A$3,"Por revisar",
IF(H1452="","Sin registro","En programación Frcst."))),"En programación")))),
"Error")</f>
        <v>En programación</v>
      </c>
      <c r="Q1452" s="9" t="str">
        <f t="shared" si="66"/>
        <v/>
      </c>
      <c r="R1452" s="25">
        <f>IF(P1452="En programación Frcst.",VLOOKUP(L1452,Meses!$A$1:$H$14,3+HLOOKUP(Cronograma!J1452,Meses!$D$1:$G$2,2,FALSE),FALSE),
IF(P1452="En programación",M1452,""))</f>
        <v>45400</v>
      </c>
      <c r="S1452" s="25" t="str">
        <f t="shared" si="68"/>
        <v>2024/4</v>
      </c>
      <c r="T1452" s="21">
        <f>IFERROR(
(VLOOKUP(MONTH(R1452),Meses!$B$3:$C$14,2,FALSE)-DAY(R1452))/VLOOKUP(MONTH(R1452),Meses!$B$3:$C$14,2,FALSE)*U1452,
"")</f>
        <v>973.2</v>
      </c>
      <c r="U1452" s="22">
        <f t="shared" si="67"/>
        <v>2433</v>
      </c>
    </row>
    <row r="1453" spans="1:21" ht="63" hidden="1" thickBot="1" x14ac:dyDescent="0.6">
      <c r="A1453" s="10" t="s">
        <v>1831</v>
      </c>
      <c r="B1453" s="10" t="s">
        <v>1839</v>
      </c>
      <c r="C1453" s="12"/>
      <c r="D1453" s="10" t="s">
        <v>41</v>
      </c>
      <c r="E1453" s="10" t="s">
        <v>41</v>
      </c>
      <c r="F1453" s="10">
        <v>4072</v>
      </c>
      <c r="G1453" s="10" t="s">
        <v>15</v>
      </c>
      <c r="H1453" s="10" t="s">
        <v>1050</v>
      </c>
      <c r="I1453" s="10" t="s">
        <v>43</v>
      </c>
      <c r="J1453" s="10" t="s">
        <v>143</v>
      </c>
      <c r="K1453" s="10" t="s">
        <v>2895</v>
      </c>
      <c r="L1453" s="10" t="s">
        <v>2292</v>
      </c>
      <c r="M1453" s="12">
        <v>45400</v>
      </c>
      <c r="N1453" s="10" t="s">
        <v>15</v>
      </c>
      <c r="O1453" s="10" t="s">
        <v>2057</v>
      </c>
      <c r="P1453" s="25" t="str">
        <f>IFERROR(
IF(OR(O1453="anulado",O1453="stand by"),CONCATENATE(O1453,": ",H1453),
IF(OR(YEAR(M1453)=2022,YEAR(M1453)=2023),CONCATENATE("Se activó en ",YEAR(M1453)),
IF(AND(OR(O1453="En proceso",O1453="facturando"),AND(J1453="-",M1453="")),"Por revisar",
IF(M1453="",IF(J1453="NUEVAS",CONCATENATE("Estado: ",O1453,", ",J1453),
IF(L1453=Meses!$A$3,"Por revisar",
IF(H1453="","Sin registro","En programación Frcst."))),"En programación")))),
"Error")</f>
        <v>En programación</v>
      </c>
      <c r="Q1453" s="9" t="str">
        <f t="shared" si="66"/>
        <v/>
      </c>
      <c r="R1453" s="25">
        <f>IF(P1453="En programación Frcst.",VLOOKUP(L1453,Meses!$A$1:$H$14,3+HLOOKUP(Cronograma!J1453,Meses!$D$1:$G$2,2,FALSE),FALSE),
IF(P1453="En programación",M1453,""))</f>
        <v>45400</v>
      </c>
      <c r="S1453" s="25" t="str">
        <f t="shared" si="68"/>
        <v>2024/4</v>
      </c>
      <c r="T1453" s="21">
        <f>IFERROR(
(VLOOKUP(MONTH(R1453),Meses!$B$3:$C$14,2,FALSE)-DAY(R1453))/VLOOKUP(MONTH(R1453),Meses!$B$3:$C$14,2,FALSE)*U1453,
"")</f>
        <v>1628.8000000000002</v>
      </c>
      <c r="U1453" s="22">
        <f t="shared" si="67"/>
        <v>4072</v>
      </c>
    </row>
    <row r="1454" spans="1:21" ht="63" hidden="1" thickBot="1" x14ac:dyDescent="0.6">
      <c r="A1454" s="10" t="s">
        <v>1831</v>
      </c>
      <c r="B1454" s="10" t="s">
        <v>1840</v>
      </c>
      <c r="C1454" s="12"/>
      <c r="D1454" s="10" t="s">
        <v>41</v>
      </c>
      <c r="E1454" s="10" t="s">
        <v>41</v>
      </c>
      <c r="F1454" s="10">
        <v>27</v>
      </c>
      <c r="G1454" s="10" t="s">
        <v>15</v>
      </c>
      <c r="H1454" s="10" t="s">
        <v>3311</v>
      </c>
      <c r="I1454" s="10" t="s">
        <v>43</v>
      </c>
      <c r="J1454" s="10" t="s">
        <v>143</v>
      </c>
      <c r="K1454" s="10" t="s">
        <v>2895</v>
      </c>
      <c r="L1454" s="10" t="s">
        <v>2292</v>
      </c>
      <c r="M1454" s="12">
        <v>45400</v>
      </c>
      <c r="N1454" s="10" t="s">
        <v>15</v>
      </c>
      <c r="O1454" s="10" t="s">
        <v>3311</v>
      </c>
      <c r="P1454" s="25" t="str">
        <f>IFERROR(
IF(OR(O1454="anulado",O1454="stand by"),CONCATENATE(O1454,": ",H1454),
IF(OR(YEAR(M1454)=2022,YEAR(M1454)=2023),CONCATENATE("Se activó en ",YEAR(M1454)),
IF(AND(OR(O1454="En proceso",O1454="facturando"),AND(J1454="-",M1454="")),"Por revisar",
IF(M1454="",IF(J1454="NUEVAS",CONCATENATE("Estado: ",O1454,", ",J1454),
IF(L1454=Meses!$A$3,"Por revisar",
IF(H1454="","Sin registro","En programación Frcst."))),"En programación")))),
"Error")</f>
        <v>En programación</v>
      </c>
      <c r="Q1454" s="9" t="str">
        <f t="shared" si="66"/>
        <v/>
      </c>
      <c r="R1454" s="25">
        <f>IF(P1454="En programación Frcst.",VLOOKUP(L1454,Meses!$A$1:$H$14,3+HLOOKUP(Cronograma!J1454,Meses!$D$1:$G$2,2,FALSE),FALSE),
IF(P1454="En programación",M1454,""))</f>
        <v>45400</v>
      </c>
      <c r="S1454" s="25" t="str">
        <f t="shared" si="68"/>
        <v>2024/4</v>
      </c>
      <c r="T1454" s="21">
        <f>IFERROR(
(VLOOKUP(MONTH(R1454),Meses!$B$3:$C$14,2,FALSE)-DAY(R1454))/VLOOKUP(MONTH(R1454),Meses!$B$3:$C$14,2,FALSE)*U1454,
"")</f>
        <v>10.8</v>
      </c>
      <c r="U1454" s="22">
        <f t="shared" si="67"/>
        <v>27</v>
      </c>
    </row>
    <row r="1455" spans="1:21" ht="31.8" thickBot="1" x14ac:dyDescent="0.6">
      <c r="A1455" s="10" t="s">
        <v>1841</v>
      </c>
      <c r="B1455" s="10" t="s">
        <v>1842</v>
      </c>
      <c r="C1455" s="12"/>
      <c r="D1455" s="10" t="s">
        <v>654</v>
      </c>
      <c r="E1455" s="10" t="s">
        <v>14</v>
      </c>
      <c r="F1455" s="10">
        <v>34581</v>
      </c>
      <c r="G1455" s="10" t="s">
        <v>15</v>
      </c>
      <c r="H1455" s="10" t="s">
        <v>1050</v>
      </c>
      <c r="I1455" s="10" t="s">
        <v>66</v>
      </c>
      <c r="J1455" s="10" t="s">
        <v>282</v>
      </c>
      <c r="K1455" s="10" t="s">
        <v>3326</v>
      </c>
      <c r="L1455" s="10" t="s">
        <v>2293</v>
      </c>
      <c r="M1455" s="12">
        <v>45414</v>
      </c>
      <c r="N1455" s="10" t="s">
        <v>15</v>
      </c>
      <c r="O1455" s="10" t="s">
        <v>2057</v>
      </c>
      <c r="P1455" s="25" t="str">
        <f>IFERROR(
IF(OR(O1455="anulado",O1455="stand by"),CONCATENATE(O1455,": ",H1455),
IF(OR(YEAR(M1455)=2022,YEAR(M1455)=2023),CONCATENATE("Se activó en ",YEAR(M1455)),
IF(AND(OR(O1455="En proceso",O1455="facturando"),AND(J1455="-",M1455="")),"Por revisar",
IF(M1455="",IF(J1455="NUEVAS",CONCATENATE("Estado: ",O1455,", ",J1455),
IF(L1455=Meses!$A$3,"Por revisar",
IF(H1455="","Sin registro","En programación Frcst."))),"En programación")))),
"Error")</f>
        <v>En programación</v>
      </c>
      <c r="Q1455" s="9" t="str">
        <f t="shared" si="66"/>
        <v/>
      </c>
      <c r="R1455" s="25">
        <f>IF(P1455="En programación Frcst.",VLOOKUP(L1455,Meses!$A$1:$H$14,3+HLOOKUP(Cronograma!J1455,Meses!$D$1:$G$2,2,FALSE),FALSE),
IF(P1455="En programación",M1455,""))</f>
        <v>45414</v>
      </c>
      <c r="S1455" s="25" t="str">
        <f t="shared" si="68"/>
        <v>2024/5</v>
      </c>
      <c r="T1455" s="21">
        <f>IFERROR(
(VLOOKUP(MONTH(R1455),Meses!$B$3:$C$14,2,FALSE)-DAY(R1455))/VLOOKUP(MONTH(R1455),Meses!$B$3:$C$14,2,FALSE)*U1455,
"")</f>
        <v>32349.967741935481</v>
      </c>
      <c r="U1455" s="22">
        <f t="shared" si="67"/>
        <v>34581</v>
      </c>
    </row>
    <row r="1456" spans="1:21" ht="47.4" hidden="1" thickBot="1" x14ac:dyDescent="0.6">
      <c r="A1456" s="10" t="s">
        <v>1843</v>
      </c>
      <c r="B1456" s="10" t="s">
        <v>1844</v>
      </c>
      <c r="C1456" s="12"/>
      <c r="D1456" s="10" t="s">
        <v>44</v>
      </c>
      <c r="E1456" s="10" t="s">
        <v>44</v>
      </c>
      <c r="F1456" s="10">
        <v>5695</v>
      </c>
      <c r="G1456" s="10" t="s">
        <v>15</v>
      </c>
      <c r="H1456" s="10" t="s">
        <v>2916</v>
      </c>
      <c r="I1456" s="10" t="s">
        <v>43</v>
      </c>
      <c r="J1456" s="10" t="s">
        <v>143</v>
      </c>
      <c r="K1456" s="10" t="s">
        <v>2895</v>
      </c>
      <c r="L1456" s="10" t="s">
        <v>2292</v>
      </c>
      <c r="M1456" s="12">
        <v>45400</v>
      </c>
      <c r="N1456" s="10" t="s">
        <v>15</v>
      </c>
      <c r="O1456" s="10" t="s">
        <v>2057</v>
      </c>
      <c r="P1456" s="25" t="str">
        <f>IFERROR(
IF(OR(O1456="anulado",O1456="stand by"),CONCATENATE(O1456,": ",H1456),
IF(OR(YEAR(M1456)=2022,YEAR(M1456)=2023),CONCATENATE("Se activó en ",YEAR(M1456)),
IF(AND(OR(O1456="En proceso",O1456="facturando"),AND(J1456="-",M1456="")),"Por revisar",
IF(M1456="",IF(J1456="NUEVAS",CONCATENATE("Estado: ",O1456,", ",J1456),
IF(L1456=Meses!$A$3,"Por revisar",
IF(H1456="","Sin registro","En programación Frcst."))),"En programación")))),
"Error")</f>
        <v>En programación</v>
      </c>
      <c r="Q1456" s="9" t="str">
        <f t="shared" si="66"/>
        <v/>
      </c>
      <c r="R1456" s="25">
        <f>IF(P1456="En programación Frcst.",VLOOKUP(L1456,Meses!$A$1:$H$14,3+HLOOKUP(Cronograma!J1456,Meses!$D$1:$G$2,2,FALSE),FALSE),
IF(P1456="En programación",M1456,""))</f>
        <v>45400</v>
      </c>
      <c r="S1456" s="25" t="str">
        <f t="shared" si="68"/>
        <v>2024/4</v>
      </c>
      <c r="T1456" s="21">
        <f>IFERROR(
(VLOOKUP(MONTH(R1456),Meses!$B$3:$C$14,2,FALSE)-DAY(R1456))/VLOOKUP(MONTH(R1456),Meses!$B$3:$C$14,2,FALSE)*U1456,
"")</f>
        <v>2278</v>
      </c>
      <c r="U1456" s="22">
        <f t="shared" si="67"/>
        <v>5695</v>
      </c>
    </row>
    <row r="1457" spans="1:21" ht="31.8" thickBot="1" x14ac:dyDescent="0.6">
      <c r="A1457" s="10" t="s">
        <v>1845</v>
      </c>
      <c r="B1457" s="10" t="s">
        <v>1846</v>
      </c>
      <c r="C1457" s="12"/>
      <c r="D1457" s="10" t="s">
        <v>654</v>
      </c>
      <c r="E1457" s="10" t="s">
        <v>156</v>
      </c>
      <c r="F1457" s="10">
        <v>12095</v>
      </c>
      <c r="G1457" s="10" t="s">
        <v>15</v>
      </c>
      <c r="H1457" s="10" t="s">
        <v>2916</v>
      </c>
      <c r="I1457" s="10" t="s">
        <v>66</v>
      </c>
      <c r="J1457" s="10" t="s">
        <v>282</v>
      </c>
      <c r="K1457" s="10" t="s">
        <v>3326</v>
      </c>
      <c r="L1457" s="10" t="s">
        <v>2293</v>
      </c>
      <c r="M1457" s="12">
        <v>45414</v>
      </c>
      <c r="N1457" s="10" t="s">
        <v>20</v>
      </c>
      <c r="O1457" s="10" t="s">
        <v>2057</v>
      </c>
      <c r="P1457" s="25" t="str">
        <f>IFERROR(
IF(OR(O1457="anulado",O1457="stand by"),CONCATENATE(O1457,": ",H1457),
IF(OR(YEAR(M1457)=2022,YEAR(M1457)=2023),CONCATENATE("Se activó en ",YEAR(M1457)),
IF(AND(OR(O1457="En proceso",O1457="facturando"),AND(J1457="-",M1457="")),"Por revisar",
IF(M1457="",IF(J1457="NUEVAS",CONCATENATE("Estado: ",O1457,", ",J1457),
IF(L1457=Meses!$A$3,"Por revisar",
IF(H1457="","Sin registro","En programación Frcst."))),"En programación")))),
"Error")</f>
        <v>En programación</v>
      </c>
      <c r="Q1457" s="9" t="str">
        <f t="shared" si="66"/>
        <v/>
      </c>
      <c r="R1457" s="25">
        <f>IF(P1457="En programación Frcst.",VLOOKUP(L1457,Meses!$A$1:$H$14,3+HLOOKUP(Cronograma!J1457,Meses!$D$1:$G$2,2,FALSE),FALSE),
IF(P1457="En programación",M1457,""))</f>
        <v>45414</v>
      </c>
      <c r="S1457" s="25" t="str">
        <f t="shared" si="68"/>
        <v>2024/5</v>
      </c>
      <c r="T1457" s="21">
        <f>IFERROR(
(VLOOKUP(MONTH(R1457),Meses!$B$3:$C$14,2,FALSE)-DAY(R1457))/VLOOKUP(MONTH(R1457),Meses!$B$3:$C$14,2,FALSE)*U1457,
"")</f>
        <v>11314.677419354837</v>
      </c>
      <c r="U1457" s="22">
        <f t="shared" si="67"/>
        <v>12095</v>
      </c>
    </row>
    <row r="1458" spans="1:21" ht="31.8" thickBot="1" x14ac:dyDescent="0.6">
      <c r="A1458" s="10" t="s">
        <v>1847</v>
      </c>
      <c r="B1458" s="10" t="s">
        <v>1848</v>
      </c>
      <c r="C1458" s="12"/>
      <c r="D1458" s="10" t="s">
        <v>654</v>
      </c>
      <c r="E1458" s="10" t="s">
        <v>14</v>
      </c>
      <c r="F1458" s="10">
        <v>26395</v>
      </c>
      <c r="G1458" s="10" t="s">
        <v>15</v>
      </c>
      <c r="H1458" s="10" t="s">
        <v>2916</v>
      </c>
      <c r="I1458" s="10" t="s">
        <v>66</v>
      </c>
      <c r="J1458" s="10" t="s">
        <v>282</v>
      </c>
      <c r="K1458" s="10" t="s">
        <v>3326</v>
      </c>
      <c r="L1458" s="10" t="s">
        <v>2293</v>
      </c>
      <c r="M1458" s="12">
        <v>45414</v>
      </c>
      <c r="N1458" s="10" t="s">
        <v>15</v>
      </c>
      <c r="O1458" s="10" t="s">
        <v>2057</v>
      </c>
      <c r="P1458" s="25" t="str">
        <f>IFERROR(
IF(OR(O1458="anulado",O1458="stand by"),CONCATENATE(O1458,": ",H1458),
IF(OR(YEAR(M1458)=2022,YEAR(M1458)=2023),CONCATENATE("Se activó en ",YEAR(M1458)),
IF(AND(OR(O1458="En proceso",O1458="facturando"),AND(J1458="-",M1458="")),"Por revisar",
IF(M1458="",IF(J1458="NUEVAS",CONCATENATE("Estado: ",O1458,", ",J1458),
IF(L1458=Meses!$A$3,"Por revisar",
IF(H1458="","Sin registro","En programación Frcst."))),"En programación")))),
"Error")</f>
        <v>En programación</v>
      </c>
      <c r="Q1458" s="9" t="str">
        <f t="shared" si="66"/>
        <v/>
      </c>
      <c r="R1458" s="25">
        <f>IF(P1458="En programación Frcst.",VLOOKUP(L1458,Meses!$A$1:$H$14,3+HLOOKUP(Cronograma!J1458,Meses!$D$1:$G$2,2,FALSE),FALSE),
IF(P1458="En programación",M1458,""))</f>
        <v>45414</v>
      </c>
      <c r="S1458" s="25" t="str">
        <f t="shared" si="68"/>
        <v>2024/5</v>
      </c>
      <c r="T1458" s="21">
        <f>IFERROR(
(VLOOKUP(MONTH(R1458),Meses!$B$3:$C$14,2,FALSE)-DAY(R1458))/VLOOKUP(MONTH(R1458),Meses!$B$3:$C$14,2,FALSE)*U1458,
"")</f>
        <v>24692.096774193546</v>
      </c>
      <c r="U1458" s="22">
        <f t="shared" si="67"/>
        <v>26395</v>
      </c>
    </row>
    <row r="1459" spans="1:21" ht="31.8" hidden="1" thickBot="1" x14ac:dyDescent="0.6">
      <c r="A1459" s="10" t="s">
        <v>1849</v>
      </c>
      <c r="B1459" s="10" t="s">
        <v>1850</v>
      </c>
      <c r="C1459" s="12"/>
      <c r="D1459" s="10" t="s">
        <v>74</v>
      </c>
      <c r="E1459" s="10" t="s">
        <v>74</v>
      </c>
      <c r="F1459" s="10">
        <v>5519</v>
      </c>
      <c r="G1459" s="10" t="s">
        <v>15</v>
      </c>
      <c r="H1459" s="10" t="s">
        <v>1050</v>
      </c>
      <c r="I1459" s="10" t="s">
        <v>43</v>
      </c>
      <c r="J1459" s="10" t="s">
        <v>143</v>
      </c>
      <c r="K1459" s="10" t="s">
        <v>2895</v>
      </c>
      <c r="L1459" s="10" t="s">
        <v>2292</v>
      </c>
      <c r="M1459" s="12">
        <v>45400</v>
      </c>
      <c r="N1459" s="10" t="s">
        <v>15</v>
      </c>
      <c r="O1459" s="10" t="s">
        <v>2057</v>
      </c>
      <c r="P1459" s="25" t="str">
        <f>IFERROR(
IF(OR(O1459="anulado",O1459="stand by"),CONCATENATE(O1459,": ",H1459),
IF(OR(YEAR(M1459)=2022,YEAR(M1459)=2023),CONCATENATE("Se activó en ",YEAR(M1459)),
IF(AND(OR(O1459="En proceso",O1459="facturando"),AND(J1459="-",M1459="")),"Por revisar",
IF(M1459="",IF(J1459="NUEVAS",CONCATENATE("Estado: ",O1459,", ",J1459),
IF(L1459=Meses!$A$3,"Por revisar",
IF(H1459="","Sin registro","En programación Frcst."))),"En programación")))),
"Error")</f>
        <v>En programación</v>
      </c>
      <c r="Q1459" s="9" t="str">
        <f t="shared" si="66"/>
        <v/>
      </c>
      <c r="R1459" s="25">
        <f>IF(P1459="En programación Frcst.",VLOOKUP(L1459,Meses!$A$1:$H$14,3+HLOOKUP(Cronograma!J1459,Meses!$D$1:$G$2,2,FALSE),FALSE),
IF(P1459="En programación",M1459,""))</f>
        <v>45400</v>
      </c>
      <c r="S1459" s="25" t="str">
        <f t="shared" si="68"/>
        <v>2024/4</v>
      </c>
      <c r="T1459" s="21">
        <f>IFERROR(
(VLOOKUP(MONTH(R1459),Meses!$B$3:$C$14,2,FALSE)-DAY(R1459))/VLOOKUP(MONTH(R1459),Meses!$B$3:$C$14,2,FALSE)*U1459,
"")</f>
        <v>2207.6</v>
      </c>
      <c r="U1459" s="22">
        <f t="shared" si="67"/>
        <v>5519</v>
      </c>
    </row>
    <row r="1460" spans="1:21" ht="47.4" thickBot="1" x14ac:dyDescent="0.6">
      <c r="A1460" s="10" t="s">
        <v>1851</v>
      </c>
      <c r="B1460" s="10" t="s">
        <v>1852</v>
      </c>
      <c r="C1460" s="12"/>
      <c r="D1460" s="10" t="s">
        <v>654</v>
      </c>
      <c r="E1460" s="10" t="s">
        <v>14</v>
      </c>
      <c r="F1460" s="10">
        <v>29367</v>
      </c>
      <c r="G1460" s="10" t="s">
        <v>15</v>
      </c>
      <c r="H1460" s="10" t="s">
        <v>2916</v>
      </c>
      <c r="I1460" s="10" t="s">
        <v>66</v>
      </c>
      <c r="J1460" s="10" t="s">
        <v>282</v>
      </c>
      <c r="K1460" s="10" t="s">
        <v>3326</v>
      </c>
      <c r="L1460" s="10" t="s">
        <v>2293</v>
      </c>
      <c r="M1460" s="12">
        <v>45414</v>
      </c>
      <c r="N1460" s="10" t="s">
        <v>15</v>
      </c>
      <c r="O1460" s="10" t="s">
        <v>2057</v>
      </c>
      <c r="P1460" s="25" t="str">
        <f>IFERROR(
IF(OR(O1460="anulado",O1460="stand by"),CONCATENATE(O1460,": ",H1460),
IF(OR(YEAR(M1460)=2022,YEAR(M1460)=2023),CONCATENATE("Se activó en ",YEAR(M1460)),
IF(AND(OR(O1460="En proceso",O1460="facturando"),AND(J1460="-",M1460="")),"Por revisar",
IF(M1460="",IF(J1460="NUEVAS",CONCATENATE("Estado: ",O1460,", ",J1460),
IF(L1460=Meses!$A$3,"Por revisar",
IF(H1460="","Sin registro","En programación Frcst."))),"En programación")))),
"Error")</f>
        <v>En programación</v>
      </c>
      <c r="Q1460" s="9" t="str">
        <f t="shared" si="66"/>
        <v/>
      </c>
      <c r="R1460" s="25">
        <f>IF(P1460="En programación Frcst.",VLOOKUP(L1460,Meses!$A$1:$H$14,3+HLOOKUP(Cronograma!J1460,Meses!$D$1:$G$2,2,FALSE),FALSE),
IF(P1460="En programación",M1460,""))</f>
        <v>45414</v>
      </c>
      <c r="S1460" s="25" t="str">
        <f t="shared" si="68"/>
        <v>2024/5</v>
      </c>
      <c r="T1460" s="21">
        <f>IFERROR(
(VLOOKUP(MONTH(R1460),Meses!$B$3:$C$14,2,FALSE)-DAY(R1460))/VLOOKUP(MONTH(R1460),Meses!$B$3:$C$14,2,FALSE)*U1460,
"")</f>
        <v>27472.354838709674</v>
      </c>
      <c r="U1460" s="22">
        <f t="shared" si="67"/>
        <v>29367</v>
      </c>
    </row>
    <row r="1461" spans="1:21" ht="47.4" hidden="1" thickBot="1" x14ac:dyDescent="0.6">
      <c r="A1461" s="10" t="s">
        <v>1853</v>
      </c>
      <c r="B1461" s="10" t="s">
        <v>1854</v>
      </c>
      <c r="C1461" s="12">
        <v>45292</v>
      </c>
      <c r="D1461" s="10" t="s">
        <v>171</v>
      </c>
      <c r="E1461" s="10" t="s">
        <v>281</v>
      </c>
      <c r="F1461" s="10">
        <v>56009</v>
      </c>
      <c r="G1461" s="10" t="s">
        <v>15</v>
      </c>
      <c r="H1461" s="10" t="s">
        <v>17</v>
      </c>
      <c r="I1461" s="10" t="s">
        <v>66</v>
      </c>
      <c r="J1461" s="10" t="s">
        <v>282</v>
      </c>
      <c r="K1461" s="10" t="s">
        <v>283</v>
      </c>
      <c r="L1461" s="10" t="s">
        <v>279</v>
      </c>
      <c r="M1461" s="12"/>
      <c r="N1461" s="10" t="s">
        <v>15</v>
      </c>
      <c r="O1461" s="10" t="s">
        <v>2054</v>
      </c>
      <c r="P1461" s="25" t="str">
        <f>IFERROR(
IF(OR(O1461="anulado",O1461="stand by"),CONCATENATE(O1461,": ",H1461),
IF(OR(YEAR(M1461)=2022,YEAR(M1461)=2023),CONCATENATE("Se activó en ",YEAR(M1461)),
IF(AND(OR(O1461="En proceso",O1461="facturando"),AND(J1461="-",M1461="")),"Por revisar",
IF(M1461="",IF(J1461="NUEVAS",CONCATENATE("Estado: ",O1461,", ",J1461),
IF(L1461=Meses!$A$3,"Por revisar",
IF(H1461="","Sin registro","En programación Frcst."))),"En programación")))),
"Error")</f>
        <v>En programación Frcst.</v>
      </c>
      <c r="Q1461" s="9" t="str">
        <f t="shared" si="66"/>
        <v/>
      </c>
      <c r="R1461" s="25">
        <f>IF(P1461="En programación Frcst.",VLOOKUP(L1461,Meses!$A$1:$H$14,3+HLOOKUP(Cronograma!J1461,Meses!$D$1:$G$2,2,FALSE),FALSE),
IF(P1461="En programación",M1461,""))</f>
        <v>45295</v>
      </c>
      <c r="S1461" s="25" t="str">
        <f t="shared" si="68"/>
        <v>2024/1</v>
      </c>
      <c r="T1461" s="21">
        <f>IFERROR(
(VLOOKUP(MONTH(R1461),Meses!$B$3:$C$14,2,FALSE)-DAY(R1461))/VLOOKUP(MONTH(R1461),Meses!$B$3:$C$14,2,FALSE)*U1461,
"")</f>
        <v>48782.032258064515</v>
      </c>
      <c r="U1461" s="22">
        <f t="shared" si="67"/>
        <v>56009</v>
      </c>
    </row>
    <row r="1462" spans="1:21" ht="31.8" hidden="1" thickBot="1" x14ac:dyDescent="0.6">
      <c r="A1462" s="10" t="s">
        <v>1855</v>
      </c>
      <c r="B1462" s="10" t="s">
        <v>1856</v>
      </c>
      <c r="C1462" s="12">
        <v>45309</v>
      </c>
      <c r="D1462" s="10" t="s">
        <v>14</v>
      </c>
      <c r="E1462" s="10" t="s">
        <v>14</v>
      </c>
      <c r="F1462" s="10">
        <v>8159</v>
      </c>
      <c r="G1462" s="10" t="s">
        <v>15</v>
      </c>
      <c r="H1462" s="10" t="s">
        <v>17</v>
      </c>
      <c r="I1462" s="10" t="s">
        <v>18</v>
      </c>
      <c r="J1462" s="10" t="s">
        <v>282</v>
      </c>
      <c r="K1462" s="10" t="s">
        <v>747</v>
      </c>
      <c r="L1462" s="10" t="s">
        <v>748</v>
      </c>
      <c r="M1462" s="12"/>
      <c r="N1462" s="10" t="s">
        <v>15</v>
      </c>
      <c r="O1462" s="10" t="s">
        <v>2054</v>
      </c>
      <c r="P1462" s="25" t="str">
        <f>IFERROR(
IF(OR(O1462="anulado",O1462="stand by"),CONCATENATE(O1462,": ",H1462),
IF(OR(YEAR(M1462)=2022,YEAR(M1462)=2023),CONCATENATE("Se activó en ",YEAR(M1462)),
IF(AND(OR(O1462="En proceso",O1462="facturando"),AND(J1462="-",M1462="")),"Por revisar",
IF(M1462="",IF(J1462="NUEVAS",CONCATENATE("Estado: ",O1462,", ",J1462),
IF(L1462=Meses!$A$3,"Por revisar",
IF(H1462="","Sin registro","En programación Frcst."))),"En programación")))),
"Error")</f>
        <v>En programación Frcst.</v>
      </c>
      <c r="Q1462" s="9" t="str">
        <f t="shared" si="66"/>
        <v/>
      </c>
      <c r="R1462" s="25">
        <f>IF(P1462="En programación Frcst.",VLOOKUP(L1462,Meses!$A$1:$H$14,3+HLOOKUP(Cronograma!J1462,Meses!$D$1:$G$2,2,FALSE),FALSE),
IF(P1462="En programación",M1462,""))</f>
        <v>45323</v>
      </c>
      <c r="S1462" s="25" t="str">
        <f t="shared" si="68"/>
        <v>2024/2</v>
      </c>
      <c r="T1462" s="21">
        <f>IFERROR(
(VLOOKUP(MONTH(R1462),Meses!$B$3:$C$14,2,FALSE)-DAY(R1462))/VLOOKUP(MONTH(R1462),Meses!$B$3:$C$14,2,FALSE)*U1462,
"")</f>
        <v>7877.6551724137935</v>
      </c>
      <c r="U1462" s="22">
        <f t="shared" si="67"/>
        <v>8159</v>
      </c>
    </row>
    <row r="1463" spans="1:21" ht="31.8" hidden="1" thickBot="1" x14ac:dyDescent="0.6">
      <c r="A1463" s="10" t="s">
        <v>1855</v>
      </c>
      <c r="B1463" s="10" t="s">
        <v>1857</v>
      </c>
      <c r="C1463" s="12">
        <v>45316</v>
      </c>
      <c r="D1463" s="10" t="s">
        <v>14</v>
      </c>
      <c r="E1463" s="10" t="s">
        <v>14</v>
      </c>
      <c r="F1463" s="10">
        <v>4358</v>
      </c>
      <c r="G1463" s="10" t="s">
        <v>15</v>
      </c>
      <c r="H1463" s="10" t="s">
        <v>17</v>
      </c>
      <c r="I1463" s="10" t="s">
        <v>18</v>
      </c>
      <c r="J1463" s="10" t="s">
        <v>282</v>
      </c>
      <c r="K1463" s="10" t="s">
        <v>747</v>
      </c>
      <c r="L1463" s="10" t="s">
        <v>748</v>
      </c>
      <c r="M1463" s="12"/>
      <c r="N1463" s="10" t="s">
        <v>15</v>
      </c>
      <c r="O1463" s="10" t="s">
        <v>2054</v>
      </c>
      <c r="P1463" s="25" t="str">
        <f>IFERROR(
IF(OR(O1463="anulado",O1463="stand by"),CONCATENATE(O1463,": ",H1463),
IF(OR(YEAR(M1463)=2022,YEAR(M1463)=2023),CONCATENATE("Se activó en ",YEAR(M1463)),
IF(AND(OR(O1463="En proceso",O1463="facturando"),AND(J1463="-",M1463="")),"Por revisar",
IF(M1463="",IF(J1463="NUEVAS",CONCATENATE("Estado: ",O1463,", ",J1463),
IF(L1463=Meses!$A$3,"Por revisar",
IF(H1463="","Sin registro","En programación Frcst."))),"En programación")))),
"Error")</f>
        <v>En programación Frcst.</v>
      </c>
      <c r="Q1463" s="9" t="str">
        <f t="shared" si="66"/>
        <v/>
      </c>
      <c r="R1463" s="25">
        <f>IF(P1463="En programación Frcst.",VLOOKUP(L1463,Meses!$A$1:$H$14,3+HLOOKUP(Cronograma!J1463,Meses!$D$1:$G$2,2,FALSE),FALSE),
IF(P1463="En programación",M1463,""))</f>
        <v>45323</v>
      </c>
      <c r="S1463" s="25" t="str">
        <f t="shared" si="68"/>
        <v>2024/2</v>
      </c>
      <c r="T1463" s="21">
        <f>IFERROR(
(VLOOKUP(MONTH(R1463),Meses!$B$3:$C$14,2,FALSE)-DAY(R1463))/VLOOKUP(MONTH(R1463),Meses!$B$3:$C$14,2,FALSE)*U1463,
"")</f>
        <v>4207.7241379310344</v>
      </c>
      <c r="U1463" s="22">
        <f t="shared" si="67"/>
        <v>4358</v>
      </c>
    </row>
    <row r="1464" spans="1:21" ht="31.8" hidden="1" thickBot="1" x14ac:dyDescent="0.6">
      <c r="A1464" s="10" t="s">
        <v>1855</v>
      </c>
      <c r="B1464" s="10" t="s">
        <v>1858</v>
      </c>
      <c r="C1464" s="12">
        <v>45309</v>
      </c>
      <c r="D1464" s="10" t="s">
        <v>14</v>
      </c>
      <c r="E1464" s="10" t="s">
        <v>14</v>
      </c>
      <c r="F1464" s="10">
        <v>3085</v>
      </c>
      <c r="G1464" s="10" t="s">
        <v>15</v>
      </c>
      <c r="H1464" s="10" t="s">
        <v>17</v>
      </c>
      <c r="I1464" s="10" t="s">
        <v>18</v>
      </c>
      <c r="J1464" s="10" t="s">
        <v>282</v>
      </c>
      <c r="K1464" s="10" t="s">
        <v>747</v>
      </c>
      <c r="L1464" s="10" t="s">
        <v>748</v>
      </c>
      <c r="M1464" s="12"/>
      <c r="N1464" s="10" t="s">
        <v>15</v>
      </c>
      <c r="O1464" s="10" t="s">
        <v>2054</v>
      </c>
      <c r="P1464" s="25" t="str">
        <f>IFERROR(
IF(OR(O1464="anulado",O1464="stand by"),CONCATENATE(O1464,": ",H1464),
IF(OR(YEAR(M1464)=2022,YEAR(M1464)=2023),CONCATENATE("Se activó en ",YEAR(M1464)),
IF(AND(OR(O1464="En proceso",O1464="facturando"),AND(J1464="-",M1464="")),"Por revisar",
IF(M1464="",IF(J1464="NUEVAS",CONCATENATE("Estado: ",O1464,", ",J1464),
IF(L1464=Meses!$A$3,"Por revisar",
IF(H1464="","Sin registro","En programación Frcst."))),"En programación")))),
"Error")</f>
        <v>En programación Frcst.</v>
      </c>
      <c r="Q1464" s="9" t="str">
        <f t="shared" si="66"/>
        <v/>
      </c>
      <c r="R1464" s="25">
        <f>IF(P1464="En programación Frcst.",VLOOKUP(L1464,Meses!$A$1:$H$14,3+HLOOKUP(Cronograma!J1464,Meses!$D$1:$G$2,2,FALSE),FALSE),
IF(P1464="En programación",M1464,""))</f>
        <v>45323</v>
      </c>
      <c r="S1464" s="25" t="str">
        <f t="shared" si="68"/>
        <v>2024/2</v>
      </c>
      <c r="T1464" s="21">
        <f>IFERROR(
(VLOOKUP(MONTH(R1464),Meses!$B$3:$C$14,2,FALSE)-DAY(R1464))/VLOOKUP(MONTH(R1464),Meses!$B$3:$C$14,2,FALSE)*U1464,
"")</f>
        <v>2978.6206896551726</v>
      </c>
      <c r="U1464" s="22">
        <f t="shared" si="67"/>
        <v>3085</v>
      </c>
    </row>
    <row r="1465" spans="1:21" ht="31.8" hidden="1" thickBot="1" x14ac:dyDescent="0.6">
      <c r="A1465" s="10" t="s">
        <v>1855</v>
      </c>
      <c r="B1465" s="10" t="s">
        <v>1859</v>
      </c>
      <c r="C1465" s="12">
        <v>45309</v>
      </c>
      <c r="D1465" s="10" t="s">
        <v>14</v>
      </c>
      <c r="E1465" s="10" t="s">
        <v>14</v>
      </c>
      <c r="F1465" s="10">
        <v>6849</v>
      </c>
      <c r="G1465" s="10" t="s">
        <v>15</v>
      </c>
      <c r="H1465" s="10" t="s">
        <v>17</v>
      </c>
      <c r="I1465" s="10" t="s">
        <v>18</v>
      </c>
      <c r="J1465" s="10" t="s">
        <v>282</v>
      </c>
      <c r="K1465" s="10" t="s">
        <v>747</v>
      </c>
      <c r="L1465" s="10" t="s">
        <v>748</v>
      </c>
      <c r="M1465" s="12"/>
      <c r="N1465" s="10" t="s">
        <v>15</v>
      </c>
      <c r="O1465" s="10" t="s">
        <v>2054</v>
      </c>
      <c r="P1465" s="25" t="str">
        <f>IFERROR(
IF(OR(O1465="anulado",O1465="stand by"),CONCATENATE(O1465,": ",H1465),
IF(OR(YEAR(M1465)=2022,YEAR(M1465)=2023),CONCATENATE("Se activó en ",YEAR(M1465)),
IF(AND(OR(O1465="En proceso",O1465="facturando"),AND(J1465="-",M1465="")),"Por revisar",
IF(M1465="",IF(J1465="NUEVAS",CONCATENATE("Estado: ",O1465,", ",J1465),
IF(L1465=Meses!$A$3,"Por revisar",
IF(H1465="","Sin registro","En programación Frcst."))),"En programación")))),
"Error")</f>
        <v>En programación Frcst.</v>
      </c>
      <c r="Q1465" s="9" t="str">
        <f t="shared" si="66"/>
        <v/>
      </c>
      <c r="R1465" s="25">
        <f>IF(P1465="En programación Frcst.",VLOOKUP(L1465,Meses!$A$1:$H$14,3+HLOOKUP(Cronograma!J1465,Meses!$D$1:$G$2,2,FALSE),FALSE),
IF(P1465="En programación",M1465,""))</f>
        <v>45323</v>
      </c>
      <c r="S1465" s="25" t="str">
        <f t="shared" si="68"/>
        <v>2024/2</v>
      </c>
      <c r="T1465" s="21">
        <f>IFERROR(
(VLOOKUP(MONTH(R1465),Meses!$B$3:$C$14,2,FALSE)-DAY(R1465))/VLOOKUP(MONTH(R1465),Meses!$B$3:$C$14,2,FALSE)*U1465,
"")</f>
        <v>6612.8275862068967</v>
      </c>
      <c r="U1465" s="22">
        <f t="shared" si="67"/>
        <v>6849</v>
      </c>
    </row>
    <row r="1466" spans="1:21" ht="31.8" hidden="1" thickBot="1" x14ac:dyDescent="0.6">
      <c r="A1466" s="10" t="s">
        <v>1855</v>
      </c>
      <c r="B1466" s="10" t="s">
        <v>1860</v>
      </c>
      <c r="C1466" s="12">
        <v>45309</v>
      </c>
      <c r="D1466" s="10" t="s">
        <v>14</v>
      </c>
      <c r="E1466" s="10" t="s">
        <v>14</v>
      </c>
      <c r="F1466" s="10">
        <v>3324</v>
      </c>
      <c r="G1466" s="10" t="s">
        <v>15</v>
      </c>
      <c r="H1466" s="10" t="s">
        <v>2406</v>
      </c>
      <c r="I1466" s="10" t="s">
        <v>18</v>
      </c>
      <c r="J1466" s="10" t="s">
        <v>143</v>
      </c>
      <c r="K1466" s="10" t="s">
        <v>538</v>
      </c>
      <c r="L1466" s="10" t="s">
        <v>279</v>
      </c>
      <c r="M1466" s="12"/>
      <c r="N1466" s="10" t="s">
        <v>15</v>
      </c>
      <c r="O1466" s="10" t="s">
        <v>2054</v>
      </c>
      <c r="P1466" s="25" t="str">
        <f>IFERROR(
IF(OR(O1466="anulado",O1466="stand by"),CONCATENATE(O1466,": ",H1466),
IF(OR(YEAR(M1466)=2022,YEAR(M1466)=2023),CONCATENATE("Se activó en ",YEAR(M1466)),
IF(AND(OR(O1466="En proceso",O1466="facturando"),AND(J1466="-",M1466="")),"Por revisar",
IF(M1466="",IF(J1466="NUEVAS",CONCATENATE("Estado: ",O1466,", ",J1466),
IF(L1466=Meses!$A$3,"Por revisar",
IF(H1466="","Sin registro","En programación Frcst."))),"En programación")))),
"Error")</f>
        <v>En programación Frcst.</v>
      </c>
      <c r="Q1466" s="9" t="str">
        <f t="shared" si="66"/>
        <v/>
      </c>
      <c r="R1466" s="25">
        <f>IF(P1466="En programación Frcst.",VLOOKUP(L1466,Meses!$A$1:$H$14,3+HLOOKUP(Cronograma!J1466,Meses!$D$1:$G$2,2,FALSE),FALSE),
IF(P1466="En programación",M1466,""))</f>
        <v>45302</v>
      </c>
      <c r="S1466" s="25" t="str">
        <f t="shared" si="68"/>
        <v>2024/1</v>
      </c>
      <c r="T1466" s="21">
        <f>IFERROR(
(VLOOKUP(MONTH(R1466),Meses!$B$3:$C$14,2,FALSE)-DAY(R1466))/VLOOKUP(MONTH(R1466),Meses!$B$3:$C$14,2,FALSE)*U1466,
"")</f>
        <v>2144.516129032258</v>
      </c>
      <c r="U1466" s="22">
        <f t="shared" si="67"/>
        <v>3324</v>
      </c>
    </row>
    <row r="1467" spans="1:21" ht="47.4" hidden="1" thickBot="1" x14ac:dyDescent="0.6">
      <c r="A1467" s="10" t="s">
        <v>1861</v>
      </c>
      <c r="B1467" s="10" t="s">
        <v>1862</v>
      </c>
      <c r="C1467" s="12"/>
      <c r="D1467" s="10" t="s">
        <v>74</v>
      </c>
      <c r="E1467" s="10" t="s">
        <v>74</v>
      </c>
      <c r="F1467" s="10">
        <v>3284</v>
      </c>
      <c r="G1467" s="10" t="s">
        <v>15</v>
      </c>
      <c r="H1467" s="10" t="s">
        <v>2916</v>
      </c>
      <c r="I1467" s="10" t="s">
        <v>43</v>
      </c>
      <c r="J1467" s="10" t="s">
        <v>143</v>
      </c>
      <c r="K1467" s="10" t="s">
        <v>2895</v>
      </c>
      <c r="L1467" s="10" t="s">
        <v>2292</v>
      </c>
      <c r="M1467" s="12">
        <v>45400</v>
      </c>
      <c r="N1467" s="10" t="s">
        <v>15</v>
      </c>
      <c r="O1467" s="10" t="s">
        <v>2057</v>
      </c>
      <c r="P1467" s="25" t="str">
        <f>IFERROR(
IF(OR(O1467="anulado",O1467="stand by"),CONCATENATE(O1467,": ",H1467),
IF(OR(YEAR(M1467)=2022,YEAR(M1467)=2023),CONCATENATE("Se activó en ",YEAR(M1467)),
IF(AND(OR(O1467="En proceso",O1467="facturando"),AND(J1467="-",M1467="")),"Por revisar",
IF(M1467="",IF(J1467="NUEVAS",CONCATENATE("Estado: ",O1467,", ",J1467),
IF(L1467=Meses!$A$3,"Por revisar",
IF(H1467="","Sin registro","En programación Frcst."))),"En programación")))),
"Error")</f>
        <v>En programación</v>
      </c>
      <c r="Q1467" s="9" t="str">
        <f t="shared" si="66"/>
        <v/>
      </c>
      <c r="R1467" s="25">
        <f>IF(P1467="En programación Frcst.",VLOOKUP(L1467,Meses!$A$1:$H$14,3+HLOOKUP(Cronograma!J1467,Meses!$D$1:$G$2,2,FALSE),FALSE),
IF(P1467="En programación",M1467,""))</f>
        <v>45400</v>
      </c>
      <c r="S1467" s="25" t="str">
        <f t="shared" si="68"/>
        <v>2024/4</v>
      </c>
      <c r="T1467" s="21">
        <f>IFERROR(
(VLOOKUP(MONTH(R1467),Meses!$B$3:$C$14,2,FALSE)-DAY(R1467))/VLOOKUP(MONTH(R1467),Meses!$B$3:$C$14,2,FALSE)*U1467,
"")</f>
        <v>1313.6000000000001</v>
      </c>
      <c r="U1467" s="22">
        <f t="shared" si="67"/>
        <v>3284</v>
      </c>
    </row>
    <row r="1468" spans="1:21" ht="63" hidden="1" thickBot="1" x14ac:dyDescent="0.6">
      <c r="A1468" s="10" t="s">
        <v>1863</v>
      </c>
      <c r="B1468" s="10" t="s">
        <v>1864</v>
      </c>
      <c r="C1468" s="12">
        <v>45292</v>
      </c>
      <c r="D1468" s="10" t="s">
        <v>14</v>
      </c>
      <c r="E1468" s="10" t="s">
        <v>14</v>
      </c>
      <c r="F1468" s="10">
        <v>240000</v>
      </c>
      <c r="G1468" s="10" t="s">
        <v>15</v>
      </c>
      <c r="H1468" s="10" t="s">
        <v>17</v>
      </c>
      <c r="I1468" s="10" t="s">
        <v>18</v>
      </c>
      <c r="J1468" s="10" t="s">
        <v>282</v>
      </c>
      <c r="K1468" s="10" t="s">
        <v>283</v>
      </c>
      <c r="L1468" s="10" t="s">
        <v>279</v>
      </c>
      <c r="M1468" s="12"/>
      <c r="N1468" s="10" t="s">
        <v>15</v>
      </c>
      <c r="O1468" s="10" t="s">
        <v>2054</v>
      </c>
      <c r="P1468" s="25" t="str">
        <f>IFERROR(
IF(OR(O1468="anulado",O1468="stand by"),CONCATENATE(O1468,": ",H1468),
IF(OR(YEAR(M1468)=2022,YEAR(M1468)=2023),CONCATENATE("Se activó en ",YEAR(M1468)),
IF(AND(OR(O1468="En proceso",O1468="facturando"),AND(J1468="-",M1468="")),"Por revisar",
IF(M1468="",IF(J1468="NUEVAS",CONCATENATE("Estado: ",O1468,", ",J1468),
IF(L1468=Meses!$A$3,"Por revisar",
IF(H1468="","Sin registro","En programación Frcst."))),"En programación")))),
"Error")</f>
        <v>En programación Frcst.</v>
      </c>
      <c r="Q1468" s="9" t="str">
        <f t="shared" si="66"/>
        <v/>
      </c>
      <c r="R1468" s="25">
        <f>IF(P1468="En programación Frcst.",VLOOKUP(L1468,Meses!$A$1:$H$14,3+HLOOKUP(Cronograma!J1468,Meses!$D$1:$G$2,2,FALSE),FALSE),
IF(P1468="En programación",M1468,""))</f>
        <v>45295</v>
      </c>
      <c r="S1468" s="25" t="str">
        <f t="shared" si="68"/>
        <v>2024/1</v>
      </c>
      <c r="T1468" s="21">
        <f>IFERROR(
(VLOOKUP(MONTH(R1468),Meses!$B$3:$C$14,2,FALSE)-DAY(R1468))/VLOOKUP(MONTH(R1468),Meses!$B$3:$C$14,2,FALSE)*U1468,
"")</f>
        <v>209032.25806451612</v>
      </c>
      <c r="U1468" s="22">
        <f t="shared" si="67"/>
        <v>240000</v>
      </c>
    </row>
    <row r="1469" spans="1:21" ht="63" hidden="1" thickBot="1" x14ac:dyDescent="0.6">
      <c r="A1469" s="10" t="s">
        <v>1863</v>
      </c>
      <c r="B1469" s="10" t="s">
        <v>1865</v>
      </c>
      <c r="C1469" s="12">
        <v>45292</v>
      </c>
      <c r="D1469" s="10" t="s">
        <v>14</v>
      </c>
      <c r="E1469" s="10" t="s">
        <v>14</v>
      </c>
      <c r="F1469" s="10">
        <v>100000</v>
      </c>
      <c r="G1469" s="10" t="s">
        <v>15</v>
      </c>
      <c r="H1469" s="10" t="s">
        <v>17</v>
      </c>
      <c r="I1469" s="10" t="s">
        <v>18</v>
      </c>
      <c r="J1469" s="10" t="s">
        <v>282</v>
      </c>
      <c r="K1469" s="10" t="s">
        <v>283</v>
      </c>
      <c r="L1469" s="10" t="s">
        <v>279</v>
      </c>
      <c r="M1469" s="12"/>
      <c r="N1469" s="10" t="s">
        <v>15</v>
      </c>
      <c r="O1469" s="10" t="s">
        <v>2054</v>
      </c>
      <c r="P1469" s="25" t="str">
        <f>IFERROR(
IF(OR(O1469="anulado",O1469="stand by"),CONCATENATE(O1469,": ",H1469),
IF(OR(YEAR(M1469)=2022,YEAR(M1469)=2023),CONCATENATE("Se activó en ",YEAR(M1469)),
IF(AND(OR(O1469="En proceso",O1469="facturando"),AND(J1469="-",M1469="")),"Por revisar",
IF(M1469="",IF(J1469="NUEVAS",CONCATENATE("Estado: ",O1469,", ",J1469),
IF(L1469=Meses!$A$3,"Por revisar",
IF(H1469="","Sin registro","En programación Frcst."))),"En programación")))),
"Error")</f>
        <v>En programación Frcst.</v>
      </c>
      <c r="Q1469" s="9" t="str">
        <f t="shared" si="66"/>
        <v/>
      </c>
      <c r="R1469" s="25">
        <f>IF(P1469="En programación Frcst.",VLOOKUP(L1469,Meses!$A$1:$H$14,3+HLOOKUP(Cronograma!J1469,Meses!$D$1:$G$2,2,FALSE),FALSE),
IF(P1469="En programación",M1469,""))</f>
        <v>45295</v>
      </c>
      <c r="S1469" s="25" t="str">
        <f t="shared" si="68"/>
        <v>2024/1</v>
      </c>
      <c r="T1469" s="21">
        <f>IFERROR(
(VLOOKUP(MONTH(R1469),Meses!$B$3:$C$14,2,FALSE)-DAY(R1469))/VLOOKUP(MONTH(R1469),Meses!$B$3:$C$14,2,FALSE)*U1469,
"")</f>
        <v>87096.774193548394</v>
      </c>
      <c r="U1469" s="22">
        <f t="shared" si="67"/>
        <v>100000</v>
      </c>
    </row>
    <row r="1470" spans="1:21" ht="78.599999999999994" hidden="1" thickBot="1" x14ac:dyDescent="0.6">
      <c r="A1470" s="10" t="s">
        <v>1543</v>
      </c>
      <c r="B1470" s="10" t="s">
        <v>1866</v>
      </c>
      <c r="C1470" s="12"/>
      <c r="D1470" s="10" t="s">
        <v>14</v>
      </c>
      <c r="E1470" s="10" t="s">
        <v>14</v>
      </c>
      <c r="F1470" s="10">
        <v>521</v>
      </c>
      <c r="G1470" s="10" t="s">
        <v>15</v>
      </c>
      <c r="H1470" s="10" t="s">
        <v>1050</v>
      </c>
      <c r="I1470" s="10" t="s">
        <v>18</v>
      </c>
      <c r="J1470" s="10" t="s">
        <v>277</v>
      </c>
      <c r="K1470" s="10" t="s">
        <v>3327</v>
      </c>
      <c r="L1470" s="10" t="s">
        <v>2292</v>
      </c>
      <c r="M1470" s="12">
        <v>45400</v>
      </c>
      <c r="N1470" s="10" t="s">
        <v>15</v>
      </c>
      <c r="O1470" s="10" t="s">
        <v>2057</v>
      </c>
      <c r="P1470" s="25" t="str">
        <f>IFERROR(
IF(OR(O1470="anulado",O1470="stand by"),CONCATENATE(O1470,": ",H1470),
IF(OR(YEAR(M1470)=2022,YEAR(M1470)=2023),CONCATENATE("Se activó en ",YEAR(M1470)),
IF(AND(OR(O1470="En proceso",O1470="facturando"),AND(J1470="-",M1470="")),"Por revisar",
IF(M1470="",IF(J1470="NUEVAS",CONCATENATE("Estado: ",O1470,", ",J1470),
IF(L1470=Meses!$A$3,"Por revisar",
IF(H1470="","Sin registro","En programación Frcst."))),"En programación")))),
"Error")</f>
        <v>En programación</v>
      </c>
      <c r="Q1470" s="9" t="str">
        <f t="shared" si="66"/>
        <v/>
      </c>
      <c r="R1470" s="25">
        <f>IF(P1470="En programación Frcst.",VLOOKUP(L1470,Meses!$A$1:$H$14,3+HLOOKUP(Cronograma!J1470,Meses!$D$1:$G$2,2,FALSE),FALSE),
IF(P1470="En programación",M1470,""))</f>
        <v>45400</v>
      </c>
      <c r="S1470" s="25" t="str">
        <f t="shared" si="68"/>
        <v>2024/4</v>
      </c>
      <c r="T1470" s="21">
        <f>IFERROR(
(VLOOKUP(MONTH(R1470),Meses!$B$3:$C$14,2,FALSE)-DAY(R1470))/VLOOKUP(MONTH(R1470),Meses!$B$3:$C$14,2,FALSE)*U1470,
"")</f>
        <v>208.4</v>
      </c>
      <c r="U1470" s="22">
        <f t="shared" si="67"/>
        <v>521</v>
      </c>
    </row>
    <row r="1471" spans="1:21" ht="78.599999999999994" hidden="1" thickBot="1" x14ac:dyDescent="0.6">
      <c r="A1471" s="10" t="s">
        <v>1543</v>
      </c>
      <c r="B1471" s="10" t="s">
        <v>1867</v>
      </c>
      <c r="C1471" s="12"/>
      <c r="D1471" s="10" t="s">
        <v>14</v>
      </c>
      <c r="E1471" s="10" t="s">
        <v>14</v>
      </c>
      <c r="F1471" s="10">
        <v>67</v>
      </c>
      <c r="G1471" s="10" t="s">
        <v>15</v>
      </c>
      <c r="H1471" s="10" t="s">
        <v>1050</v>
      </c>
      <c r="I1471" s="10" t="s">
        <v>18</v>
      </c>
      <c r="J1471" s="10" t="s">
        <v>277</v>
      </c>
      <c r="K1471" s="10" t="s">
        <v>3327</v>
      </c>
      <c r="L1471" s="10" t="s">
        <v>2292</v>
      </c>
      <c r="M1471" s="12">
        <v>45400</v>
      </c>
      <c r="N1471" s="10" t="s">
        <v>15</v>
      </c>
      <c r="O1471" s="10" t="s">
        <v>2057</v>
      </c>
      <c r="P1471" s="25" t="str">
        <f>IFERROR(
IF(OR(O1471="anulado",O1471="stand by"),CONCATENATE(O1471,": ",H1471),
IF(OR(YEAR(M1471)=2022,YEAR(M1471)=2023),CONCATENATE("Se activó en ",YEAR(M1471)),
IF(AND(OR(O1471="En proceso",O1471="facturando"),AND(J1471="-",M1471="")),"Por revisar",
IF(M1471="",IF(J1471="NUEVAS",CONCATENATE("Estado: ",O1471,", ",J1471),
IF(L1471=Meses!$A$3,"Por revisar",
IF(H1471="","Sin registro","En programación Frcst."))),"En programación")))),
"Error")</f>
        <v>En programación</v>
      </c>
      <c r="Q1471" s="9" t="str">
        <f t="shared" si="66"/>
        <v/>
      </c>
      <c r="R1471" s="25">
        <f>IF(P1471="En programación Frcst.",VLOOKUP(L1471,Meses!$A$1:$H$14,3+HLOOKUP(Cronograma!J1471,Meses!$D$1:$G$2,2,FALSE),FALSE),
IF(P1471="En programación",M1471,""))</f>
        <v>45400</v>
      </c>
      <c r="S1471" s="25" t="str">
        <f t="shared" si="68"/>
        <v>2024/4</v>
      </c>
      <c r="T1471" s="21">
        <f>IFERROR(
(VLOOKUP(MONTH(R1471),Meses!$B$3:$C$14,2,FALSE)-DAY(R1471))/VLOOKUP(MONTH(R1471),Meses!$B$3:$C$14,2,FALSE)*U1471,
"")</f>
        <v>26.8</v>
      </c>
      <c r="U1471" s="22">
        <f t="shared" si="67"/>
        <v>67</v>
      </c>
    </row>
    <row r="1472" spans="1:21" ht="78.599999999999994" hidden="1" thickBot="1" x14ac:dyDescent="0.6">
      <c r="A1472" s="10" t="s">
        <v>1543</v>
      </c>
      <c r="B1472" s="10" t="s">
        <v>1868</v>
      </c>
      <c r="C1472" s="12"/>
      <c r="D1472" s="10" t="s">
        <v>14</v>
      </c>
      <c r="E1472" s="10" t="s">
        <v>14</v>
      </c>
      <c r="F1472" s="10">
        <v>50</v>
      </c>
      <c r="G1472" s="10" t="s">
        <v>15</v>
      </c>
      <c r="H1472" s="10" t="s">
        <v>1050</v>
      </c>
      <c r="I1472" s="10" t="s">
        <v>18</v>
      </c>
      <c r="J1472" s="10" t="s">
        <v>277</v>
      </c>
      <c r="K1472" s="10" t="s">
        <v>3327</v>
      </c>
      <c r="L1472" s="10" t="s">
        <v>2292</v>
      </c>
      <c r="M1472" s="12">
        <v>45400</v>
      </c>
      <c r="N1472" s="10" t="s">
        <v>15</v>
      </c>
      <c r="O1472" s="10" t="s">
        <v>2057</v>
      </c>
      <c r="P1472" s="25" t="str">
        <f>IFERROR(
IF(OR(O1472="anulado",O1472="stand by"),CONCATENATE(O1472,": ",H1472),
IF(OR(YEAR(M1472)=2022,YEAR(M1472)=2023),CONCATENATE("Se activó en ",YEAR(M1472)),
IF(AND(OR(O1472="En proceso",O1472="facturando"),AND(J1472="-",M1472="")),"Por revisar",
IF(M1472="",IF(J1472="NUEVAS",CONCATENATE("Estado: ",O1472,", ",J1472),
IF(L1472=Meses!$A$3,"Por revisar",
IF(H1472="","Sin registro","En programación Frcst."))),"En programación")))),
"Error")</f>
        <v>En programación</v>
      </c>
      <c r="Q1472" s="9" t="str">
        <f t="shared" si="66"/>
        <v/>
      </c>
      <c r="R1472" s="25">
        <f>IF(P1472="En programación Frcst.",VLOOKUP(L1472,Meses!$A$1:$H$14,3+HLOOKUP(Cronograma!J1472,Meses!$D$1:$G$2,2,FALSE),FALSE),
IF(P1472="En programación",M1472,""))</f>
        <v>45400</v>
      </c>
      <c r="S1472" s="25" t="str">
        <f t="shared" si="68"/>
        <v>2024/4</v>
      </c>
      <c r="T1472" s="21">
        <f>IFERROR(
(VLOOKUP(MONTH(R1472),Meses!$B$3:$C$14,2,FALSE)-DAY(R1472))/VLOOKUP(MONTH(R1472),Meses!$B$3:$C$14,2,FALSE)*U1472,
"")</f>
        <v>20</v>
      </c>
      <c r="U1472" s="22">
        <f t="shared" si="67"/>
        <v>50</v>
      </c>
    </row>
    <row r="1473" spans="1:21" ht="78.599999999999994" hidden="1" thickBot="1" x14ac:dyDescent="0.6">
      <c r="A1473" s="10" t="s">
        <v>1543</v>
      </c>
      <c r="B1473" s="10" t="s">
        <v>1869</v>
      </c>
      <c r="C1473" s="12"/>
      <c r="D1473" s="10" t="s">
        <v>14</v>
      </c>
      <c r="E1473" s="10" t="s">
        <v>14</v>
      </c>
      <c r="F1473" s="10">
        <v>60</v>
      </c>
      <c r="G1473" s="10" t="s">
        <v>15</v>
      </c>
      <c r="H1473" s="10" t="s">
        <v>1050</v>
      </c>
      <c r="I1473" s="10" t="s">
        <v>18</v>
      </c>
      <c r="J1473" s="10" t="s">
        <v>277</v>
      </c>
      <c r="K1473" s="10" t="s">
        <v>3327</v>
      </c>
      <c r="L1473" s="10" t="s">
        <v>2292</v>
      </c>
      <c r="M1473" s="12">
        <v>45400</v>
      </c>
      <c r="N1473" s="10" t="s">
        <v>15</v>
      </c>
      <c r="O1473" s="10" t="s">
        <v>2057</v>
      </c>
      <c r="P1473" s="25" t="str">
        <f>IFERROR(
IF(OR(O1473="anulado",O1473="stand by"),CONCATENATE(O1473,": ",H1473),
IF(OR(YEAR(M1473)=2022,YEAR(M1473)=2023),CONCATENATE("Se activó en ",YEAR(M1473)),
IF(AND(OR(O1473="En proceso",O1473="facturando"),AND(J1473="-",M1473="")),"Por revisar",
IF(M1473="",IF(J1473="NUEVAS",CONCATENATE("Estado: ",O1473,", ",J1473),
IF(L1473=Meses!$A$3,"Por revisar",
IF(H1473="","Sin registro","En programación Frcst."))),"En programación")))),
"Error")</f>
        <v>En programación</v>
      </c>
      <c r="Q1473" s="9" t="str">
        <f t="shared" si="66"/>
        <v/>
      </c>
      <c r="R1473" s="25">
        <f>IF(P1473="En programación Frcst.",VLOOKUP(L1473,Meses!$A$1:$H$14,3+HLOOKUP(Cronograma!J1473,Meses!$D$1:$G$2,2,FALSE),FALSE),
IF(P1473="En programación",M1473,""))</f>
        <v>45400</v>
      </c>
      <c r="S1473" s="25" t="str">
        <f t="shared" si="68"/>
        <v>2024/4</v>
      </c>
      <c r="T1473" s="21">
        <f>IFERROR(
(VLOOKUP(MONTH(R1473),Meses!$B$3:$C$14,2,FALSE)-DAY(R1473))/VLOOKUP(MONTH(R1473),Meses!$B$3:$C$14,2,FALSE)*U1473,
"")</f>
        <v>24</v>
      </c>
      <c r="U1473" s="22">
        <f t="shared" si="67"/>
        <v>60</v>
      </c>
    </row>
    <row r="1474" spans="1:21" ht="78.599999999999994" hidden="1" thickBot="1" x14ac:dyDescent="0.6">
      <c r="A1474" s="10" t="s">
        <v>1543</v>
      </c>
      <c r="B1474" s="10" t="s">
        <v>1870</v>
      </c>
      <c r="C1474" s="12"/>
      <c r="D1474" s="10" t="s">
        <v>14</v>
      </c>
      <c r="E1474" s="10" t="s">
        <v>14</v>
      </c>
      <c r="F1474" s="10">
        <v>2399</v>
      </c>
      <c r="G1474" s="10" t="s">
        <v>15</v>
      </c>
      <c r="H1474" s="10" t="s">
        <v>1050</v>
      </c>
      <c r="I1474" s="10" t="s">
        <v>18</v>
      </c>
      <c r="J1474" s="10" t="s">
        <v>277</v>
      </c>
      <c r="K1474" s="10" t="s">
        <v>3327</v>
      </c>
      <c r="L1474" s="10" t="s">
        <v>2292</v>
      </c>
      <c r="M1474" s="12">
        <v>45400</v>
      </c>
      <c r="N1474" s="10" t="s">
        <v>15</v>
      </c>
      <c r="O1474" s="10" t="s">
        <v>2057</v>
      </c>
      <c r="P1474" s="25" t="str">
        <f>IFERROR(
IF(OR(O1474="anulado",O1474="stand by"),CONCATENATE(O1474,": ",H1474),
IF(OR(YEAR(M1474)=2022,YEAR(M1474)=2023),CONCATENATE("Se activó en ",YEAR(M1474)),
IF(AND(OR(O1474="En proceso",O1474="facturando"),AND(J1474="-",M1474="")),"Por revisar",
IF(M1474="",IF(J1474="NUEVAS",CONCATENATE("Estado: ",O1474,", ",J1474),
IF(L1474=Meses!$A$3,"Por revisar",
IF(H1474="","Sin registro","En programación Frcst."))),"En programación")))),
"Error")</f>
        <v>En programación</v>
      </c>
      <c r="Q1474" s="9" t="str">
        <f t="shared" ref="Q1474:Q1537" si="69">IF(P1474="Por revisar",CONCATENATE("programación de act. ",N1474,", estado: ",O1474,", Comercializador: ",D1474,", Etapa: ",H1474),"")</f>
        <v/>
      </c>
      <c r="R1474" s="25">
        <f>IF(P1474="En programación Frcst.",VLOOKUP(L1474,Meses!$A$1:$H$14,3+HLOOKUP(Cronograma!J1474,Meses!$D$1:$G$2,2,FALSE),FALSE),
IF(P1474="En programación",M1474,""))</f>
        <v>45400</v>
      </c>
      <c r="S1474" s="25" t="str">
        <f t="shared" si="68"/>
        <v>2024/4</v>
      </c>
      <c r="T1474" s="21">
        <f>IFERROR(
(VLOOKUP(MONTH(R1474),Meses!$B$3:$C$14,2,FALSE)-DAY(R1474))/VLOOKUP(MONTH(R1474),Meses!$B$3:$C$14,2,FALSE)*U1474,
"")</f>
        <v>959.6</v>
      </c>
      <c r="U1474" s="22">
        <f t="shared" ref="U1474:U1537" si="70">F1474</f>
        <v>2399</v>
      </c>
    </row>
    <row r="1475" spans="1:21" ht="78.599999999999994" hidden="1" thickBot="1" x14ac:dyDescent="0.6">
      <c r="A1475" s="10" t="s">
        <v>1543</v>
      </c>
      <c r="B1475" s="10" t="s">
        <v>1871</v>
      </c>
      <c r="C1475" s="12"/>
      <c r="D1475" s="10" t="s">
        <v>14</v>
      </c>
      <c r="E1475" s="10" t="s">
        <v>14</v>
      </c>
      <c r="F1475" s="10">
        <v>80</v>
      </c>
      <c r="G1475" s="10" t="s">
        <v>15</v>
      </c>
      <c r="H1475" s="10" t="s">
        <v>1050</v>
      </c>
      <c r="I1475" s="10" t="s">
        <v>18</v>
      </c>
      <c r="J1475" s="10" t="s">
        <v>277</v>
      </c>
      <c r="K1475" s="10" t="s">
        <v>3327</v>
      </c>
      <c r="L1475" s="10" t="s">
        <v>2292</v>
      </c>
      <c r="M1475" s="12">
        <v>45400</v>
      </c>
      <c r="N1475" s="10" t="s">
        <v>15</v>
      </c>
      <c r="O1475" s="10" t="s">
        <v>2057</v>
      </c>
      <c r="P1475" s="25" t="str">
        <f>IFERROR(
IF(OR(O1475="anulado",O1475="stand by"),CONCATENATE(O1475,": ",H1475),
IF(OR(YEAR(M1475)=2022,YEAR(M1475)=2023),CONCATENATE("Se activó en ",YEAR(M1475)),
IF(AND(OR(O1475="En proceso",O1475="facturando"),AND(J1475="-",M1475="")),"Por revisar",
IF(M1475="",IF(J1475="NUEVAS",CONCATENATE("Estado: ",O1475,", ",J1475),
IF(L1475=Meses!$A$3,"Por revisar",
IF(H1475="","Sin registro","En programación Frcst."))),"En programación")))),
"Error")</f>
        <v>En programación</v>
      </c>
      <c r="Q1475" s="9" t="str">
        <f t="shared" si="69"/>
        <v/>
      </c>
      <c r="R1475" s="25">
        <f>IF(P1475="En programación Frcst.",VLOOKUP(L1475,Meses!$A$1:$H$14,3+HLOOKUP(Cronograma!J1475,Meses!$D$1:$G$2,2,FALSE),FALSE),
IF(P1475="En programación",M1475,""))</f>
        <v>45400</v>
      </c>
      <c r="S1475" s="25" t="str">
        <f t="shared" ref="S1475:S1538" si="71">IFERROR(CONCATENATE(YEAR(R1475),"/",MONTH(R1475)),"")</f>
        <v>2024/4</v>
      </c>
      <c r="T1475" s="21">
        <f>IFERROR(
(VLOOKUP(MONTH(R1475),Meses!$B$3:$C$14,2,FALSE)-DAY(R1475))/VLOOKUP(MONTH(R1475),Meses!$B$3:$C$14,2,FALSE)*U1475,
"")</f>
        <v>32</v>
      </c>
      <c r="U1475" s="22">
        <f t="shared" si="70"/>
        <v>80</v>
      </c>
    </row>
    <row r="1476" spans="1:21" ht="78.599999999999994" hidden="1" thickBot="1" x14ac:dyDescent="0.6">
      <c r="A1476" s="10" t="s">
        <v>1543</v>
      </c>
      <c r="B1476" s="10" t="s">
        <v>1872</v>
      </c>
      <c r="C1476" s="12"/>
      <c r="D1476" s="10" t="s">
        <v>14</v>
      </c>
      <c r="E1476" s="10" t="s">
        <v>14</v>
      </c>
      <c r="F1476" s="10">
        <v>291</v>
      </c>
      <c r="G1476" s="10" t="s">
        <v>15</v>
      </c>
      <c r="H1476" s="10" t="s">
        <v>1050</v>
      </c>
      <c r="I1476" s="10" t="s">
        <v>18</v>
      </c>
      <c r="J1476" s="10" t="s">
        <v>277</v>
      </c>
      <c r="K1476" s="10" t="s">
        <v>3327</v>
      </c>
      <c r="L1476" s="10" t="s">
        <v>2292</v>
      </c>
      <c r="M1476" s="12">
        <v>45400</v>
      </c>
      <c r="N1476" s="10" t="s">
        <v>15</v>
      </c>
      <c r="O1476" s="10" t="s">
        <v>2057</v>
      </c>
      <c r="P1476" s="25" t="str">
        <f>IFERROR(
IF(OR(O1476="anulado",O1476="stand by"),CONCATENATE(O1476,": ",H1476),
IF(OR(YEAR(M1476)=2022,YEAR(M1476)=2023),CONCATENATE("Se activó en ",YEAR(M1476)),
IF(AND(OR(O1476="En proceso",O1476="facturando"),AND(J1476="-",M1476="")),"Por revisar",
IF(M1476="",IF(J1476="NUEVAS",CONCATENATE("Estado: ",O1476,", ",J1476),
IF(L1476=Meses!$A$3,"Por revisar",
IF(H1476="","Sin registro","En programación Frcst."))),"En programación")))),
"Error")</f>
        <v>En programación</v>
      </c>
      <c r="Q1476" s="9" t="str">
        <f t="shared" si="69"/>
        <v/>
      </c>
      <c r="R1476" s="25">
        <f>IF(P1476="En programación Frcst.",VLOOKUP(L1476,Meses!$A$1:$H$14,3+HLOOKUP(Cronograma!J1476,Meses!$D$1:$G$2,2,FALSE),FALSE),
IF(P1476="En programación",M1476,""))</f>
        <v>45400</v>
      </c>
      <c r="S1476" s="25" t="str">
        <f t="shared" si="71"/>
        <v>2024/4</v>
      </c>
      <c r="T1476" s="21">
        <f>IFERROR(
(VLOOKUP(MONTH(R1476),Meses!$B$3:$C$14,2,FALSE)-DAY(R1476))/VLOOKUP(MONTH(R1476),Meses!$B$3:$C$14,2,FALSE)*U1476,
"")</f>
        <v>116.4</v>
      </c>
      <c r="U1476" s="22">
        <f t="shared" si="70"/>
        <v>291</v>
      </c>
    </row>
    <row r="1477" spans="1:21" ht="78.599999999999994" hidden="1" thickBot="1" x14ac:dyDescent="0.6">
      <c r="A1477" s="10" t="s">
        <v>1543</v>
      </c>
      <c r="B1477" s="10" t="s">
        <v>1873</v>
      </c>
      <c r="C1477" s="12"/>
      <c r="D1477" s="10" t="s">
        <v>14</v>
      </c>
      <c r="E1477" s="10" t="s">
        <v>14</v>
      </c>
      <c r="F1477" s="10">
        <v>402</v>
      </c>
      <c r="G1477" s="10" t="s">
        <v>15</v>
      </c>
      <c r="H1477" s="10" t="s">
        <v>1050</v>
      </c>
      <c r="I1477" s="10" t="s">
        <v>18</v>
      </c>
      <c r="J1477" s="10" t="s">
        <v>277</v>
      </c>
      <c r="K1477" s="10" t="s">
        <v>3327</v>
      </c>
      <c r="L1477" s="10" t="s">
        <v>2292</v>
      </c>
      <c r="M1477" s="12">
        <v>45400</v>
      </c>
      <c r="N1477" s="10" t="s">
        <v>15</v>
      </c>
      <c r="O1477" s="10" t="s">
        <v>2057</v>
      </c>
      <c r="P1477" s="25" t="str">
        <f>IFERROR(
IF(OR(O1477="anulado",O1477="stand by"),CONCATENATE(O1477,": ",H1477),
IF(OR(YEAR(M1477)=2022,YEAR(M1477)=2023),CONCATENATE("Se activó en ",YEAR(M1477)),
IF(AND(OR(O1477="En proceso",O1477="facturando"),AND(J1477="-",M1477="")),"Por revisar",
IF(M1477="",IF(J1477="NUEVAS",CONCATENATE("Estado: ",O1477,", ",J1477),
IF(L1477=Meses!$A$3,"Por revisar",
IF(H1477="","Sin registro","En programación Frcst."))),"En programación")))),
"Error")</f>
        <v>En programación</v>
      </c>
      <c r="Q1477" s="9" t="str">
        <f t="shared" si="69"/>
        <v/>
      </c>
      <c r="R1477" s="25">
        <f>IF(P1477="En programación Frcst.",VLOOKUP(L1477,Meses!$A$1:$H$14,3+HLOOKUP(Cronograma!J1477,Meses!$D$1:$G$2,2,FALSE),FALSE),
IF(P1477="En programación",M1477,""))</f>
        <v>45400</v>
      </c>
      <c r="S1477" s="25" t="str">
        <f t="shared" si="71"/>
        <v>2024/4</v>
      </c>
      <c r="T1477" s="21">
        <f>IFERROR(
(VLOOKUP(MONTH(R1477),Meses!$B$3:$C$14,2,FALSE)-DAY(R1477))/VLOOKUP(MONTH(R1477),Meses!$B$3:$C$14,2,FALSE)*U1477,
"")</f>
        <v>160.80000000000001</v>
      </c>
      <c r="U1477" s="22">
        <f t="shared" si="70"/>
        <v>402</v>
      </c>
    </row>
    <row r="1478" spans="1:21" ht="78.599999999999994" hidden="1" thickBot="1" x14ac:dyDescent="0.6">
      <c r="A1478" s="10" t="s">
        <v>1543</v>
      </c>
      <c r="B1478" s="10" t="s">
        <v>1874</v>
      </c>
      <c r="C1478" s="12"/>
      <c r="D1478" s="10" t="s">
        <v>14</v>
      </c>
      <c r="E1478" s="10" t="s">
        <v>14</v>
      </c>
      <c r="F1478" s="10">
        <v>5747</v>
      </c>
      <c r="G1478" s="10" t="s">
        <v>15</v>
      </c>
      <c r="H1478" s="10" t="s">
        <v>1050</v>
      </c>
      <c r="I1478" s="10" t="s">
        <v>18</v>
      </c>
      <c r="J1478" s="10" t="s">
        <v>277</v>
      </c>
      <c r="K1478" s="10" t="s">
        <v>3327</v>
      </c>
      <c r="L1478" s="10" t="s">
        <v>2292</v>
      </c>
      <c r="M1478" s="12">
        <v>45400</v>
      </c>
      <c r="N1478" s="10" t="s">
        <v>15</v>
      </c>
      <c r="O1478" s="10" t="s">
        <v>2057</v>
      </c>
      <c r="P1478" s="25" t="str">
        <f>IFERROR(
IF(OR(O1478="anulado",O1478="stand by"),CONCATENATE(O1478,": ",H1478),
IF(OR(YEAR(M1478)=2022,YEAR(M1478)=2023),CONCATENATE("Se activó en ",YEAR(M1478)),
IF(AND(OR(O1478="En proceso",O1478="facturando"),AND(J1478="-",M1478="")),"Por revisar",
IF(M1478="",IF(J1478="NUEVAS",CONCATENATE("Estado: ",O1478,", ",J1478),
IF(L1478=Meses!$A$3,"Por revisar",
IF(H1478="","Sin registro","En programación Frcst."))),"En programación")))),
"Error")</f>
        <v>En programación</v>
      </c>
      <c r="Q1478" s="9" t="str">
        <f t="shared" si="69"/>
        <v/>
      </c>
      <c r="R1478" s="25">
        <f>IF(P1478="En programación Frcst.",VLOOKUP(L1478,Meses!$A$1:$H$14,3+HLOOKUP(Cronograma!J1478,Meses!$D$1:$G$2,2,FALSE),FALSE),
IF(P1478="En programación",M1478,""))</f>
        <v>45400</v>
      </c>
      <c r="S1478" s="25" t="str">
        <f t="shared" si="71"/>
        <v>2024/4</v>
      </c>
      <c r="T1478" s="21">
        <f>IFERROR(
(VLOOKUP(MONTH(R1478),Meses!$B$3:$C$14,2,FALSE)-DAY(R1478))/VLOOKUP(MONTH(R1478),Meses!$B$3:$C$14,2,FALSE)*U1478,
"")</f>
        <v>2298.8000000000002</v>
      </c>
      <c r="U1478" s="22">
        <f t="shared" si="70"/>
        <v>5747</v>
      </c>
    </row>
    <row r="1479" spans="1:21" ht="78.599999999999994" hidden="1" thickBot="1" x14ac:dyDescent="0.6">
      <c r="A1479" s="10" t="s">
        <v>1543</v>
      </c>
      <c r="B1479" s="10" t="s">
        <v>1875</v>
      </c>
      <c r="C1479" s="12"/>
      <c r="D1479" s="10" t="s">
        <v>14</v>
      </c>
      <c r="E1479" s="10" t="s">
        <v>14</v>
      </c>
      <c r="F1479" s="10">
        <v>3201</v>
      </c>
      <c r="G1479" s="10" t="s">
        <v>15</v>
      </c>
      <c r="H1479" s="10" t="s">
        <v>1050</v>
      </c>
      <c r="I1479" s="10" t="s">
        <v>18</v>
      </c>
      <c r="J1479" s="10" t="s">
        <v>277</v>
      </c>
      <c r="K1479" s="10" t="s">
        <v>3327</v>
      </c>
      <c r="L1479" s="10" t="s">
        <v>2292</v>
      </c>
      <c r="M1479" s="12">
        <v>45400</v>
      </c>
      <c r="N1479" s="10" t="s">
        <v>15</v>
      </c>
      <c r="O1479" s="10" t="s">
        <v>2057</v>
      </c>
      <c r="P1479" s="25" t="str">
        <f>IFERROR(
IF(OR(O1479="anulado",O1479="stand by"),CONCATENATE(O1479,": ",H1479),
IF(OR(YEAR(M1479)=2022,YEAR(M1479)=2023),CONCATENATE("Se activó en ",YEAR(M1479)),
IF(AND(OR(O1479="En proceso",O1479="facturando"),AND(J1479="-",M1479="")),"Por revisar",
IF(M1479="",IF(J1479="NUEVAS",CONCATENATE("Estado: ",O1479,", ",J1479),
IF(L1479=Meses!$A$3,"Por revisar",
IF(H1479="","Sin registro","En programación Frcst."))),"En programación")))),
"Error")</f>
        <v>En programación</v>
      </c>
      <c r="Q1479" s="9" t="str">
        <f t="shared" si="69"/>
        <v/>
      </c>
      <c r="R1479" s="25">
        <f>IF(P1479="En programación Frcst.",VLOOKUP(L1479,Meses!$A$1:$H$14,3+HLOOKUP(Cronograma!J1479,Meses!$D$1:$G$2,2,FALSE),FALSE),
IF(P1479="En programación",M1479,""))</f>
        <v>45400</v>
      </c>
      <c r="S1479" s="25" t="str">
        <f t="shared" si="71"/>
        <v>2024/4</v>
      </c>
      <c r="T1479" s="21">
        <f>IFERROR(
(VLOOKUP(MONTH(R1479),Meses!$B$3:$C$14,2,FALSE)-DAY(R1479))/VLOOKUP(MONTH(R1479),Meses!$B$3:$C$14,2,FALSE)*U1479,
"")</f>
        <v>1280.4000000000001</v>
      </c>
      <c r="U1479" s="22">
        <f t="shared" si="70"/>
        <v>3201</v>
      </c>
    </row>
    <row r="1480" spans="1:21" ht="31.8" hidden="1" thickBot="1" x14ac:dyDescent="0.6">
      <c r="A1480" s="10" t="s">
        <v>1876</v>
      </c>
      <c r="B1480" s="10" t="s">
        <v>1877</v>
      </c>
      <c r="C1480" s="12">
        <v>45292</v>
      </c>
      <c r="D1480" s="10" t="s">
        <v>181</v>
      </c>
      <c r="E1480" s="10" t="s">
        <v>41</v>
      </c>
      <c r="F1480" s="10">
        <v>190000</v>
      </c>
      <c r="G1480" s="10" t="s">
        <v>20</v>
      </c>
      <c r="H1480" s="10" t="s">
        <v>17</v>
      </c>
      <c r="I1480" s="10" t="s">
        <v>66</v>
      </c>
      <c r="J1480" s="10" t="s">
        <v>282</v>
      </c>
      <c r="K1480" s="10" t="s">
        <v>283</v>
      </c>
      <c r="L1480" s="10" t="s">
        <v>279</v>
      </c>
      <c r="M1480" s="12"/>
      <c r="N1480" s="10" t="s">
        <v>15</v>
      </c>
      <c r="O1480" s="10" t="s">
        <v>2054</v>
      </c>
      <c r="P1480" s="25" t="str">
        <f>IFERROR(
IF(OR(O1480="anulado",O1480="stand by"),CONCATENATE(O1480,": ",H1480),
IF(OR(YEAR(M1480)=2022,YEAR(M1480)=2023),CONCATENATE("Se activó en ",YEAR(M1480)),
IF(AND(OR(O1480="En proceso",O1480="facturando"),AND(J1480="-",M1480="")),"Por revisar",
IF(M1480="",IF(J1480="NUEVAS",CONCATENATE("Estado: ",O1480,", ",J1480),
IF(L1480=Meses!$A$3,"Por revisar",
IF(H1480="","Sin registro","En programación Frcst."))),"En programación")))),
"Error")</f>
        <v>En programación Frcst.</v>
      </c>
      <c r="Q1480" s="9" t="str">
        <f t="shared" si="69"/>
        <v/>
      </c>
      <c r="R1480" s="25">
        <f>IF(P1480="En programación Frcst.",VLOOKUP(L1480,Meses!$A$1:$H$14,3+HLOOKUP(Cronograma!J1480,Meses!$D$1:$G$2,2,FALSE),FALSE),
IF(P1480="En programación",M1480,""))</f>
        <v>45295</v>
      </c>
      <c r="S1480" s="25" t="str">
        <f t="shared" si="71"/>
        <v>2024/1</v>
      </c>
      <c r="T1480" s="21">
        <f>IFERROR(
(VLOOKUP(MONTH(R1480),Meses!$B$3:$C$14,2,FALSE)-DAY(R1480))/VLOOKUP(MONTH(R1480),Meses!$B$3:$C$14,2,FALSE)*U1480,
"")</f>
        <v>165483.87096774194</v>
      </c>
      <c r="U1480" s="22">
        <f t="shared" si="70"/>
        <v>190000</v>
      </c>
    </row>
    <row r="1481" spans="1:21" ht="63" hidden="1" thickBot="1" x14ac:dyDescent="0.6">
      <c r="A1481" s="10" t="s">
        <v>1878</v>
      </c>
      <c r="B1481" s="10" t="s">
        <v>1879</v>
      </c>
      <c r="C1481" s="12"/>
      <c r="D1481" s="10" t="s">
        <v>14</v>
      </c>
      <c r="E1481" s="10" t="s">
        <v>14</v>
      </c>
      <c r="F1481" s="10">
        <v>30210</v>
      </c>
      <c r="G1481" s="10" t="s">
        <v>15</v>
      </c>
      <c r="H1481" s="10" t="s">
        <v>1050</v>
      </c>
      <c r="I1481" s="10" t="s">
        <v>18</v>
      </c>
      <c r="J1481" s="10" t="s">
        <v>277</v>
      </c>
      <c r="K1481" s="10" t="s">
        <v>3327</v>
      </c>
      <c r="L1481" s="10" t="s">
        <v>2292</v>
      </c>
      <c r="M1481" s="12">
        <v>45400</v>
      </c>
      <c r="N1481" s="10" t="s">
        <v>15</v>
      </c>
      <c r="O1481" s="10" t="s">
        <v>2057</v>
      </c>
      <c r="P1481" s="25" t="str">
        <f>IFERROR(
IF(OR(O1481="anulado",O1481="stand by"),CONCATENATE(O1481,": ",H1481),
IF(OR(YEAR(M1481)=2022,YEAR(M1481)=2023),CONCATENATE("Se activó en ",YEAR(M1481)),
IF(AND(OR(O1481="En proceso",O1481="facturando"),AND(J1481="-",M1481="")),"Por revisar",
IF(M1481="",IF(J1481="NUEVAS",CONCATENATE("Estado: ",O1481,", ",J1481),
IF(L1481=Meses!$A$3,"Por revisar",
IF(H1481="","Sin registro","En programación Frcst."))),"En programación")))),
"Error")</f>
        <v>En programación</v>
      </c>
      <c r="Q1481" s="9" t="str">
        <f t="shared" si="69"/>
        <v/>
      </c>
      <c r="R1481" s="25">
        <f>IF(P1481="En programación Frcst.",VLOOKUP(L1481,Meses!$A$1:$H$14,3+HLOOKUP(Cronograma!J1481,Meses!$D$1:$G$2,2,FALSE),FALSE),
IF(P1481="En programación",M1481,""))</f>
        <v>45400</v>
      </c>
      <c r="S1481" s="25" t="str">
        <f t="shared" si="71"/>
        <v>2024/4</v>
      </c>
      <c r="T1481" s="21">
        <f>IFERROR(
(VLOOKUP(MONTH(R1481),Meses!$B$3:$C$14,2,FALSE)-DAY(R1481))/VLOOKUP(MONTH(R1481),Meses!$B$3:$C$14,2,FALSE)*U1481,
"")</f>
        <v>12084</v>
      </c>
      <c r="U1481" s="22">
        <f t="shared" si="70"/>
        <v>30210</v>
      </c>
    </row>
    <row r="1482" spans="1:21" ht="63" hidden="1" thickBot="1" x14ac:dyDescent="0.6">
      <c r="A1482" s="10" t="s">
        <v>1880</v>
      </c>
      <c r="B1482" s="10" t="s">
        <v>1881</v>
      </c>
      <c r="C1482" s="12">
        <v>45292</v>
      </c>
      <c r="D1482" s="10" t="s">
        <v>14</v>
      </c>
      <c r="E1482" s="10" t="s">
        <v>14</v>
      </c>
      <c r="F1482" s="10">
        <v>36358</v>
      </c>
      <c r="G1482" s="10" t="s">
        <v>20</v>
      </c>
      <c r="H1482" s="10" t="s">
        <v>17</v>
      </c>
      <c r="I1482" s="10" t="s">
        <v>18</v>
      </c>
      <c r="J1482" s="10" t="s">
        <v>143</v>
      </c>
      <c r="K1482" s="10" t="s">
        <v>144</v>
      </c>
      <c r="L1482" s="10" t="s">
        <v>145</v>
      </c>
      <c r="M1482" s="12"/>
      <c r="N1482" s="10" t="s">
        <v>15</v>
      </c>
      <c r="O1482" s="10" t="s">
        <v>2054</v>
      </c>
      <c r="P1482" s="25" t="str">
        <f>IFERROR(
IF(OR(O1482="anulado",O1482="stand by"),CONCATENATE(O1482,": ",H1482),
IF(OR(YEAR(M1482)=2022,YEAR(M1482)=2023),CONCATENATE("Se activó en ",YEAR(M1482)),
IF(AND(OR(O1482="En proceso",O1482="facturando"),AND(J1482="-",M1482="")),"Por revisar",
IF(M1482="",IF(J1482="NUEVAS",CONCATENATE("Estado: ",O1482,", ",J1482),
IF(L1482=Meses!$A$3,"Por revisar",
IF(H1482="","Sin registro","En programación Frcst."))),"En programación")))),
"Error")</f>
        <v>Por revisar</v>
      </c>
      <c r="Q1482" s="9" t="str">
        <f t="shared" si="69"/>
        <v>programación de act. SI, estado: Facturando, Comercializador: ENEL, Etapa: Instalado y Activado</v>
      </c>
      <c r="R1482" s="25" t="str">
        <f>IF(P1482="En programación Frcst.",VLOOKUP(L1482,Meses!$A$1:$H$14,3+HLOOKUP(Cronograma!J1482,Meses!$D$1:$G$2,2,FALSE),FALSE),
IF(P1482="En programación",M1482,""))</f>
        <v/>
      </c>
      <c r="S1482" s="25" t="str">
        <f t="shared" si="71"/>
        <v/>
      </c>
      <c r="T1482" s="21" t="str">
        <f>IFERROR(
(VLOOKUP(MONTH(R1482),Meses!$B$3:$C$14,2,FALSE)-DAY(R1482))/VLOOKUP(MONTH(R1482),Meses!$B$3:$C$14,2,FALSE)*U1482,
"")</f>
        <v/>
      </c>
      <c r="U1482" s="22">
        <f t="shared" si="70"/>
        <v>36358</v>
      </c>
    </row>
    <row r="1483" spans="1:21" ht="63" hidden="1" thickBot="1" x14ac:dyDescent="0.6">
      <c r="A1483" s="10" t="s">
        <v>1880</v>
      </c>
      <c r="B1483" s="10" t="s">
        <v>1882</v>
      </c>
      <c r="C1483" s="12">
        <v>45292</v>
      </c>
      <c r="D1483" s="10" t="s">
        <v>14</v>
      </c>
      <c r="E1483" s="10" t="s">
        <v>14</v>
      </c>
      <c r="F1483" s="10">
        <v>30213</v>
      </c>
      <c r="G1483" s="10" t="s">
        <v>20</v>
      </c>
      <c r="H1483" s="10" t="s">
        <v>17</v>
      </c>
      <c r="I1483" s="10" t="s">
        <v>18</v>
      </c>
      <c r="J1483" s="10" t="s">
        <v>143</v>
      </c>
      <c r="K1483" s="10" t="s">
        <v>144</v>
      </c>
      <c r="L1483" s="10" t="s">
        <v>145</v>
      </c>
      <c r="M1483" s="12"/>
      <c r="N1483" s="10" t="s">
        <v>15</v>
      </c>
      <c r="O1483" s="10" t="s">
        <v>2054</v>
      </c>
      <c r="P1483" s="25" t="str">
        <f>IFERROR(
IF(OR(O1483="anulado",O1483="stand by"),CONCATENATE(O1483,": ",H1483),
IF(OR(YEAR(M1483)=2022,YEAR(M1483)=2023),CONCATENATE("Se activó en ",YEAR(M1483)),
IF(AND(OR(O1483="En proceso",O1483="facturando"),AND(J1483="-",M1483="")),"Por revisar",
IF(M1483="",IF(J1483="NUEVAS",CONCATENATE("Estado: ",O1483,", ",J1483),
IF(L1483=Meses!$A$3,"Por revisar",
IF(H1483="","Sin registro","En programación Frcst."))),"En programación")))),
"Error")</f>
        <v>Por revisar</v>
      </c>
      <c r="Q1483" s="9" t="str">
        <f t="shared" si="69"/>
        <v>programación de act. SI, estado: Facturando, Comercializador: ENEL, Etapa: Instalado y Activado</v>
      </c>
      <c r="R1483" s="25" t="str">
        <f>IF(P1483="En programación Frcst.",VLOOKUP(L1483,Meses!$A$1:$H$14,3+HLOOKUP(Cronograma!J1483,Meses!$D$1:$G$2,2,FALSE),FALSE),
IF(P1483="En programación",M1483,""))</f>
        <v/>
      </c>
      <c r="S1483" s="25" t="str">
        <f t="shared" si="71"/>
        <v/>
      </c>
      <c r="T1483" s="21" t="str">
        <f>IFERROR(
(VLOOKUP(MONTH(R1483),Meses!$B$3:$C$14,2,FALSE)-DAY(R1483))/VLOOKUP(MONTH(R1483),Meses!$B$3:$C$14,2,FALSE)*U1483,
"")</f>
        <v/>
      </c>
      <c r="U1483" s="22">
        <f t="shared" si="70"/>
        <v>30213</v>
      </c>
    </row>
    <row r="1484" spans="1:21" ht="31.8" hidden="1" thickBot="1" x14ac:dyDescent="0.6">
      <c r="A1484" s="10" t="s">
        <v>1883</v>
      </c>
      <c r="B1484" s="10" t="s">
        <v>1884</v>
      </c>
      <c r="C1484" s="12">
        <v>45295</v>
      </c>
      <c r="D1484" s="10" t="s">
        <v>74</v>
      </c>
      <c r="E1484" s="10" t="s">
        <v>74</v>
      </c>
      <c r="F1484" s="10">
        <v>153084</v>
      </c>
      <c r="G1484" s="10" t="s">
        <v>20</v>
      </c>
      <c r="H1484" s="10" t="s">
        <v>2406</v>
      </c>
      <c r="I1484" s="10" t="s">
        <v>43</v>
      </c>
      <c r="J1484" s="10" t="s">
        <v>143</v>
      </c>
      <c r="K1484" s="10" t="s">
        <v>538</v>
      </c>
      <c r="L1484" s="10" t="s">
        <v>279</v>
      </c>
      <c r="M1484" s="12"/>
      <c r="N1484" s="10" t="s">
        <v>15</v>
      </c>
      <c r="O1484" s="10" t="s">
        <v>2054</v>
      </c>
      <c r="P1484" s="25" t="str">
        <f>IFERROR(
IF(OR(O1484="anulado",O1484="stand by"),CONCATENATE(O1484,": ",H1484),
IF(OR(YEAR(M1484)=2022,YEAR(M1484)=2023),CONCATENATE("Se activó en ",YEAR(M1484)),
IF(AND(OR(O1484="En proceso",O1484="facturando"),AND(J1484="-",M1484="")),"Por revisar",
IF(M1484="",IF(J1484="NUEVAS",CONCATENATE("Estado: ",O1484,", ",J1484),
IF(L1484=Meses!$A$3,"Por revisar",
IF(H1484="","Sin registro","En programación Frcst."))),"En programación")))),
"Error")</f>
        <v>En programación Frcst.</v>
      </c>
      <c r="Q1484" s="9" t="str">
        <f t="shared" si="69"/>
        <v/>
      </c>
      <c r="R1484" s="25">
        <f>IF(P1484="En programación Frcst.",VLOOKUP(L1484,Meses!$A$1:$H$14,3+HLOOKUP(Cronograma!J1484,Meses!$D$1:$G$2,2,FALSE),FALSE),
IF(P1484="En programación",M1484,""))</f>
        <v>45302</v>
      </c>
      <c r="S1484" s="25" t="str">
        <f t="shared" si="71"/>
        <v>2024/1</v>
      </c>
      <c r="T1484" s="21">
        <f>IFERROR(
(VLOOKUP(MONTH(R1484),Meses!$B$3:$C$14,2,FALSE)-DAY(R1484))/VLOOKUP(MONTH(R1484),Meses!$B$3:$C$14,2,FALSE)*U1484,
"")</f>
        <v>98763.870967741939</v>
      </c>
      <c r="U1484" s="22">
        <f t="shared" si="70"/>
        <v>153084</v>
      </c>
    </row>
    <row r="1485" spans="1:21" ht="109.8" hidden="1" thickBot="1" x14ac:dyDescent="0.6">
      <c r="A1485" s="10" t="s">
        <v>1885</v>
      </c>
      <c r="B1485" s="10" t="s">
        <v>1886</v>
      </c>
      <c r="C1485" s="12">
        <v>45295</v>
      </c>
      <c r="D1485" s="10" t="s">
        <v>171</v>
      </c>
      <c r="E1485" s="10" t="s">
        <v>14</v>
      </c>
      <c r="F1485" s="10">
        <v>478145</v>
      </c>
      <c r="G1485" s="10" t="s">
        <v>15</v>
      </c>
      <c r="H1485" s="10" t="s">
        <v>17</v>
      </c>
      <c r="I1485" s="10" t="s">
        <v>66</v>
      </c>
      <c r="J1485" s="10" t="s">
        <v>143</v>
      </c>
      <c r="K1485" s="10" t="s">
        <v>538</v>
      </c>
      <c r="L1485" s="10" t="s">
        <v>279</v>
      </c>
      <c r="M1485" s="12"/>
      <c r="N1485" s="10" t="s">
        <v>15</v>
      </c>
      <c r="O1485" s="10" t="s">
        <v>2054</v>
      </c>
      <c r="P1485" s="25" t="str">
        <f>IFERROR(
IF(OR(O1485="anulado",O1485="stand by"),CONCATENATE(O1485,": ",H1485),
IF(OR(YEAR(M1485)=2022,YEAR(M1485)=2023),CONCATENATE("Se activó en ",YEAR(M1485)),
IF(AND(OR(O1485="En proceso",O1485="facturando"),AND(J1485="-",M1485="")),"Por revisar",
IF(M1485="",IF(J1485="NUEVAS",CONCATENATE("Estado: ",O1485,", ",J1485),
IF(L1485=Meses!$A$3,"Por revisar",
IF(H1485="","Sin registro","En programación Frcst."))),"En programación")))),
"Error")</f>
        <v>En programación Frcst.</v>
      </c>
      <c r="Q1485" s="9" t="str">
        <f t="shared" si="69"/>
        <v/>
      </c>
      <c r="R1485" s="25">
        <f>IF(P1485="En programación Frcst.",VLOOKUP(L1485,Meses!$A$1:$H$14,3+HLOOKUP(Cronograma!J1485,Meses!$D$1:$G$2,2,FALSE),FALSE),
IF(P1485="En programación",M1485,""))</f>
        <v>45302</v>
      </c>
      <c r="S1485" s="25" t="str">
        <f t="shared" si="71"/>
        <v>2024/1</v>
      </c>
      <c r="T1485" s="21">
        <f>IFERROR(
(VLOOKUP(MONTH(R1485),Meses!$B$3:$C$14,2,FALSE)-DAY(R1485))/VLOOKUP(MONTH(R1485),Meses!$B$3:$C$14,2,FALSE)*U1485,
"")</f>
        <v>308480.6451612903</v>
      </c>
      <c r="U1485" s="22">
        <f t="shared" si="70"/>
        <v>478145</v>
      </c>
    </row>
    <row r="1486" spans="1:21" ht="78.599999999999994" hidden="1" thickBot="1" x14ac:dyDescent="0.6">
      <c r="A1486" s="10" t="s">
        <v>1887</v>
      </c>
      <c r="B1486" s="10" t="s">
        <v>1888</v>
      </c>
      <c r="C1486" s="12">
        <v>45292</v>
      </c>
      <c r="D1486" s="10" t="s">
        <v>171</v>
      </c>
      <c r="E1486" s="10" t="s">
        <v>14</v>
      </c>
      <c r="F1486" s="10">
        <v>180000</v>
      </c>
      <c r="G1486" s="10" t="s">
        <v>20</v>
      </c>
      <c r="H1486" s="10" t="s">
        <v>17</v>
      </c>
      <c r="I1486" s="10" t="s">
        <v>66</v>
      </c>
      <c r="J1486" s="10" t="s">
        <v>143</v>
      </c>
      <c r="K1486" s="10" t="s">
        <v>538</v>
      </c>
      <c r="L1486" s="10" t="s">
        <v>279</v>
      </c>
      <c r="M1486" s="12"/>
      <c r="N1486" s="10" t="s">
        <v>15</v>
      </c>
      <c r="O1486" s="10" t="s">
        <v>2054</v>
      </c>
      <c r="P1486" s="25" t="str">
        <f>IFERROR(
IF(OR(O1486="anulado",O1486="stand by"),CONCATENATE(O1486,": ",H1486),
IF(OR(YEAR(M1486)=2022,YEAR(M1486)=2023),CONCATENATE("Se activó en ",YEAR(M1486)),
IF(AND(OR(O1486="En proceso",O1486="facturando"),AND(J1486="-",M1486="")),"Por revisar",
IF(M1486="",IF(J1486="NUEVAS",CONCATENATE("Estado: ",O1486,", ",J1486),
IF(L1486=Meses!$A$3,"Por revisar",
IF(H1486="","Sin registro","En programación Frcst."))),"En programación")))),
"Error")</f>
        <v>En programación Frcst.</v>
      </c>
      <c r="Q1486" s="9" t="str">
        <f t="shared" si="69"/>
        <v/>
      </c>
      <c r="R1486" s="25">
        <f>IF(P1486="En programación Frcst.",VLOOKUP(L1486,Meses!$A$1:$H$14,3+HLOOKUP(Cronograma!J1486,Meses!$D$1:$G$2,2,FALSE),FALSE),
IF(P1486="En programación",M1486,""))</f>
        <v>45302</v>
      </c>
      <c r="S1486" s="25" t="str">
        <f t="shared" si="71"/>
        <v>2024/1</v>
      </c>
      <c r="T1486" s="21">
        <f>IFERROR(
(VLOOKUP(MONTH(R1486),Meses!$B$3:$C$14,2,FALSE)-DAY(R1486))/VLOOKUP(MONTH(R1486),Meses!$B$3:$C$14,2,FALSE)*U1486,
"")</f>
        <v>116129.03225806452</v>
      </c>
      <c r="U1486" s="22">
        <f t="shared" si="70"/>
        <v>180000</v>
      </c>
    </row>
    <row r="1487" spans="1:21" ht="63" hidden="1" thickBot="1" x14ac:dyDescent="0.6">
      <c r="A1487" s="10" t="s">
        <v>1889</v>
      </c>
      <c r="B1487" s="10" t="s">
        <v>1890</v>
      </c>
      <c r="C1487" s="12">
        <v>45295</v>
      </c>
      <c r="D1487" s="10" t="s">
        <v>171</v>
      </c>
      <c r="E1487" s="10" t="s">
        <v>156</v>
      </c>
      <c r="F1487" s="10">
        <v>35000</v>
      </c>
      <c r="G1487" s="10" t="s">
        <v>20</v>
      </c>
      <c r="H1487" s="10" t="s">
        <v>2406</v>
      </c>
      <c r="I1487" s="10" t="s">
        <v>66</v>
      </c>
      <c r="J1487" s="10" t="s">
        <v>143</v>
      </c>
      <c r="K1487" s="10" t="s">
        <v>538</v>
      </c>
      <c r="L1487" s="10" t="s">
        <v>279</v>
      </c>
      <c r="M1487" s="12"/>
      <c r="N1487" s="10" t="s">
        <v>15</v>
      </c>
      <c r="O1487" s="10" t="s">
        <v>2054</v>
      </c>
      <c r="P1487" s="25" t="str">
        <f>IFERROR(
IF(OR(O1487="anulado",O1487="stand by"),CONCATENATE(O1487,": ",H1487),
IF(OR(YEAR(M1487)=2022,YEAR(M1487)=2023),CONCATENATE("Se activó en ",YEAR(M1487)),
IF(AND(OR(O1487="En proceso",O1487="facturando"),AND(J1487="-",M1487="")),"Por revisar",
IF(M1487="",IF(J1487="NUEVAS",CONCATENATE("Estado: ",O1487,", ",J1487),
IF(L1487=Meses!$A$3,"Por revisar",
IF(H1487="","Sin registro","En programación Frcst."))),"En programación")))),
"Error")</f>
        <v>En programación Frcst.</v>
      </c>
      <c r="Q1487" s="9" t="str">
        <f t="shared" si="69"/>
        <v/>
      </c>
      <c r="R1487" s="25">
        <f>IF(P1487="En programación Frcst.",VLOOKUP(L1487,Meses!$A$1:$H$14,3+HLOOKUP(Cronograma!J1487,Meses!$D$1:$G$2,2,FALSE),FALSE),
IF(P1487="En programación",M1487,""))</f>
        <v>45302</v>
      </c>
      <c r="S1487" s="25" t="str">
        <f t="shared" si="71"/>
        <v>2024/1</v>
      </c>
      <c r="T1487" s="21">
        <f>IFERROR(
(VLOOKUP(MONTH(R1487),Meses!$B$3:$C$14,2,FALSE)-DAY(R1487))/VLOOKUP(MONTH(R1487),Meses!$B$3:$C$14,2,FALSE)*U1487,
"")</f>
        <v>22580.645161290322</v>
      </c>
      <c r="U1487" s="22">
        <f t="shared" si="70"/>
        <v>35000</v>
      </c>
    </row>
    <row r="1488" spans="1:21" ht="47.4" hidden="1" thickBot="1" x14ac:dyDescent="0.6">
      <c r="A1488" s="10" t="s">
        <v>1891</v>
      </c>
      <c r="B1488" s="10" t="s">
        <v>1892</v>
      </c>
      <c r="C1488" s="12"/>
      <c r="D1488" s="10" t="s">
        <v>1207</v>
      </c>
      <c r="E1488" s="10" t="s">
        <v>23</v>
      </c>
      <c r="F1488" s="10">
        <v>20</v>
      </c>
      <c r="G1488" s="10" t="s">
        <v>15</v>
      </c>
      <c r="H1488" s="10" t="s">
        <v>140</v>
      </c>
      <c r="I1488" s="10" t="s">
        <v>66</v>
      </c>
      <c r="J1488" s="10" t="s">
        <v>292</v>
      </c>
      <c r="K1488" s="10" t="s">
        <v>1697</v>
      </c>
      <c r="L1488" s="10" t="s">
        <v>1120</v>
      </c>
      <c r="M1488" s="12">
        <v>45379</v>
      </c>
      <c r="N1488" s="10" t="s">
        <v>15</v>
      </c>
      <c r="O1488" s="10" t="s">
        <v>2056</v>
      </c>
      <c r="P1488" s="25" t="str">
        <f>IFERROR(
IF(OR(O1488="anulado",O1488="stand by"),CONCATENATE(O1488,": ",H1488),
IF(OR(YEAR(M1488)=2022,YEAR(M1488)=2023),CONCATENATE("Se activó en ",YEAR(M1488)),
IF(AND(OR(O1488="En proceso",O1488="facturando"),AND(J1488="-",M1488="")),"Por revisar",
IF(M1488="",IF(J1488="NUEVAS",CONCATENATE("Estado: ",O1488,", ",J1488),
IF(L1488=Meses!$A$3,"Por revisar",
IF(H1488="","Sin registro","En programación Frcst."))),"En programación")))),
"Error")</f>
        <v>anulado: Desistido</v>
      </c>
      <c r="Q1488" s="9" t="str">
        <f t="shared" si="69"/>
        <v/>
      </c>
      <c r="R1488" s="25" t="str">
        <f>IF(P1488="En programación Frcst.",VLOOKUP(L1488,Meses!$A$1:$H$14,3+HLOOKUP(Cronograma!J1488,Meses!$D$1:$G$2,2,FALSE),FALSE),
IF(P1488="En programación",M1488,""))</f>
        <v/>
      </c>
      <c r="S1488" s="25" t="str">
        <f t="shared" si="71"/>
        <v/>
      </c>
      <c r="T1488" s="21" t="str">
        <f>IFERROR(
(VLOOKUP(MONTH(R1488),Meses!$B$3:$C$14,2,FALSE)-DAY(R1488))/VLOOKUP(MONTH(R1488),Meses!$B$3:$C$14,2,FALSE)*U1488,
"")</f>
        <v/>
      </c>
      <c r="U1488" s="22">
        <f t="shared" si="70"/>
        <v>20</v>
      </c>
    </row>
    <row r="1489" spans="1:21" ht="47.4" hidden="1" thickBot="1" x14ac:dyDescent="0.6">
      <c r="A1489" s="10" t="s">
        <v>1891</v>
      </c>
      <c r="B1489" s="10" t="s">
        <v>1893</v>
      </c>
      <c r="C1489" s="12"/>
      <c r="D1489" s="10" t="s">
        <v>1207</v>
      </c>
      <c r="E1489" s="10" t="s">
        <v>23</v>
      </c>
      <c r="F1489" s="10">
        <v>10</v>
      </c>
      <c r="G1489" s="10" t="s">
        <v>15</v>
      </c>
      <c r="H1489" s="10" t="s">
        <v>140</v>
      </c>
      <c r="I1489" s="10" t="s">
        <v>66</v>
      </c>
      <c r="J1489" s="10" t="s">
        <v>292</v>
      </c>
      <c r="K1489" s="10" t="s">
        <v>1697</v>
      </c>
      <c r="L1489" s="10" t="s">
        <v>1120</v>
      </c>
      <c r="M1489" s="12">
        <v>45379</v>
      </c>
      <c r="N1489" s="10" t="s">
        <v>15</v>
      </c>
      <c r="O1489" s="10" t="s">
        <v>2056</v>
      </c>
      <c r="P1489" s="25" t="str">
        <f>IFERROR(
IF(OR(O1489="anulado",O1489="stand by"),CONCATENATE(O1489,": ",H1489),
IF(OR(YEAR(M1489)=2022,YEAR(M1489)=2023),CONCATENATE("Se activó en ",YEAR(M1489)),
IF(AND(OR(O1489="En proceso",O1489="facturando"),AND(J1489="-",M1489="")),"Por revisar",
IF(M1489="",IF(J1489="NUEVAS",CONCATENATE("Estado: ",O1489,", ",J1489),
IF(L1489=Meses!$A$3,"Por revisar",
IF(H1489="","Sin registro","En programación Frcst."))),"En programación")))),
"Error")</f>
        <v>anulado: Desistido</v>
      </c>
      <c r="Q1489" s="9" t="str">
        <f t="shared" si="69"/>
        <v/>
      </c>
      <c r="R1489" s="25" t="str">
        <f>IF(P1489="En programación Frcst.",VLOOKUP(L1489,Meses!$A$1:$H$14,3+HLOOKUP(Cronograma!J1489,Meses!$D$1:$G$2,2,FALSE),FALSE),
IF(P1489="En programación",M1489,""))</f>
        <v/>
      </c>
      <c r="S1489" s="25" t="str">
        <f t="shared" si="71"/>
        <v/>
      </c>
      <c r="T1489" s="21" t="str">
        <f>IFERROR(
(VLOOKUP(MONTH(R1489),Meses!$B$3:$C$14,2,FALSE)-DAY(R1489))/VLOOKUP(MONTH(R1489),Meses!$B$3:$C$14,2,FALSE)*U1489,
"")</f>
        <v/>
      </c>
      <c r="U1489" s="22">
        <f t="shared" si="70"/>
        <v>10</v>
      </c>
    </row>
    <row r="1490" spans="1:21" ht="47.4" hidden="1" thickBot="1" x14ac:dyDescent="0.6">
      <c r="A1490" s="10" t="s">
        <v>1891</v>
      </c>
      <c r="B1490" s="10" t="s">
        <v>1894</v>
      </c>
      <c r="C1490" s="12">
        <v>45302</v>
      </c>
      <c r="D1490" s="10" t="s">
        <v>1207</v>
      </c>
      <c r="E1490" s="10" t="s">
        <v>23</v>
      </c>
      <c r="F1490" s="10">
        <v>1000</v>
      </c>
      <c r="G1490" s="10" t="s">
        <v>15</v>
      </c>
      <c r="H1490" s="10" t="s">
        <v>2406</v>
      </c>
      <c r="I1490" s="10" t="s">
        <v>66</v>
      </c>
      <c r="J1490" s="10" t="s">
        <v>292</v>
      </c>
      <c r="K1490" s="10" t="s">
        <v>293</v>
      </c>
      <c r="L1490" s="10" t="s">
        <v>279</v>
      </c>
      <c r="M1490" s="12"/>
      <c r="N1490" s="10" t="s">
        <v>15</v>
      </c>
      <c r="O1490" s="10" t="s">
        <v>2054</v>
      </c>
      <c r="P1490" s="25" t="str">
        <f>IFERROR(
IF(OR(O1490="anulado",O1490="stand by"),CONCATENATE(O1490,": ",H1490),
IF(OR(YEAR(M1490)=2022,YEAR(M1490)=2023),CONCATENATE("Se activó en ",YEAR(M1490)),
IF(AND(OR(O1490="En proceso",O1490="facturando"),AND(J1490="-",M1490="")),"Por revisar",
IF(M1490="",IF(J1490="NUEVAS",CONCATENATE("Estado: ",O1490,", ",J1490),
IF(L1490=Meses!$A$3,"Por revisar",
IF(H1490="","Sin registro","En programación Frcst."))),"En programación")))),
"Error")</f>
        <v>En programación Frcst.</v>
      </c>
      <c r="Q1490" s="9" t="str">
        <f t="shared" si="69"/>
        <v/>
      </c>
      <c r="R1490" s="25">
        <f>IF(P1490="En programación Frcst.",VLOOKUP(L1490,Meses!$A$1:$H$14,3+HLOOKUP(Cronograma!J1490,Meses!$D$1:$G$2,2,FALSE),FALSE),
IF(P1490="En programación",M1490,""))</f>
        <v>45316</v>
      </c>
      <c r="S1490" s="25" t="str">
        <f t="shared" si="71"/>
        <v>2024/1</v>
      </c>
      <c r="T1490" s="21">
        <f>IFERROR(
(VLOOKUP(MONTH(R1490),Meses!$B$3:$C$14,2,FALSE)-DAY(R1490))/VLOOKUP(MONTH(R1490),Meses!$B$3:$C$14,2,FALSE)*U1490,
"")</f>
        <v>193.54838709677418</v>
      </c>
      <c r="U1490" s="22">
        <f t="shared" si="70"/>
        <v>1000</v>
      </c>
    </row>
    <row r="1491" spans="1:21" ht="47.4" hidden="1" thickBot="1" x14ac:dyDescent="0.6">
      <c r="A1491" s="10" t="s">
        <v>1891</v>
      </c>
      <c r="B1491" s="10" t="s">
        <v>1895</v>
      </c>
      <c r="C1491" s="12">
        <v>45302</v>
      </c>
      <c r="D1491" s="10" t="s">
        <v>1207</v>
      </c>
      <c r="E1491" s="10" t="s">
        <v>23</v>
      </c>
      <c r="F1491" s="10">
        <v>1000</v>
      </c>
      <c r="G1491" s="10" t="s">
        <v>15</v>
      </c>
      <c r="H1491" s="10" t="s">
        <v>2406</v>
      </c>
      <c r="I1491" s="10" t="s">
        <v>66</v>
      </c>
      <c r="J1491" s="10" t="s">
        <v>292</v>
      </c>
      <c r="K1491" s="10" t="s">
        <v>293</v>
      </c>
      <c r="L1491" s="10" t="s">
        <v>279</v>
      </c>
      <c r="M1491" s="12"/>
      <c r="N1491" s="10" t="s">
        <v>15</v>
      </c>
      <c r="O1491" s="10" t="s">
        <v>2054</v>
      </c>
      <c r="P1491" s="25" t="str">
        <f>IFERROR(
IF(OR(O1491="anulado",O1491="stand by"),CONCATENATE(O1491,": ",H1491),
IF(OR(YEAR(M1491)=2022,YEAR(M1491)=2023),CONCATENATE("Se activó en ",YEAR(M1491)),
IF(AND(OR(O1491="En proceso",O1491="facturando"),AND(J1491="-",M1491="")),"Por revisar",
IF(M1491="",IF(J1491="NUEVAS",CONCATENATE("Estado: ",O1491,", ",J1491),
IF(L1491=Meses!$A$3,"Por revisar",
IF(H1491="","Sin registro","En programación Frcst."))),"En programación")))),
"Error")</f>
        <v>En programación Frcst.</v>
      </c>
      <c r="Q1491" s="9" t="str">
        <f t="shared" si="69"/>
        <v/>
      </c>
      <c r="R1491" s="25">
        <f>IF(P1491="En programación Frcst.",VLOOKUP(L1491,Meses!$A$1:$H$14,3+HLOOKUP(Cronograma!J1491,Meses!$D$1:$G$2,2,FALSE),FALSE),
IF(P1491="En programación",M1491,""))</f>
        <v>45316</v>
      </c>
      <c r="S1491" s="25" t="str">
        <f t="shared" si="71"/>
        <v>2024/1</v>
      </c>
      <c r="T1491" s="21">
        <f>IFERROR(
(VLOOKUP(MONTH(R1491),Meses!$B$3:$C$14,2,FALSE)-DAY(R1491))/VLOOKUP(MONTH(R1491),Meses!$B$3:$C$14,2,FALSE)*U1491,
"")</f>
        <v>193.54838709677418</v>
      </c>
      <c r="U1491" s="22">
        <f t="shared" si="70"/>
        <v>1000</v>
      </c>
    </row>
    <row r="1492" spans="1:21" ht="47.4" hidden="1" thickBot="1" x14ac:dyDescent="0.6">
      <c r="A1492" s="10" t="s">
        <v>1891</v>
      </c>
      <c r="B1492" s="10" t="s">
        <v>1896</v>
      </c>
      <c r="C1492" s="12">
        <v>45302</v>
      </c>
      <c r="D1492" s="10" t="s">
        <v>1207</v>
      </c>
      <c r="E1492" s="10" t="s">
        <v>23</v>
      </c>
      <c r="F1492" s="10">
        <v>600</v>
      </c>
      <c r="G1492" s="10" t="s">
        <v>15</v>
      </c>
      <c r="H1492" s="10" t="s">
        <v>3311</v>
      </c>
      <c r="I1492" s="10" t="s">
        <v>66</v>
      </c>
      <c r="J1492" s="10" t="s">
        <v>292</v>
      </c>
      <c r="K1492" s="10" t="s">
        <v>293</v>
      </c>
      <c r="L1492" s="10" t="s">
        <v>279</v>
      </c>
      <c r="M1492" s="12"/>
      <c r="N1492" s="10" t="s">
        <v>15</v>
      </c>
      <c r="O1492" s="10" t="s">
        <v>3311</v>
      </c>
      <c r="P1492" s="25" t="str">
        <f>IFERROR(
IF(OR(O1492="anulado",O1492="stand by"),CONCATENATE(O1492,": ",H1492),
IF(OR(YEAR(M1492)=2022,YEAR(M1492)=2023),CONCATENATE("Se activó en ",YEAR(M1492)),
IF(AND(OR(O1492="En proceso",O1492="facturando"),AND(J1492="-",M1492="")),"Por revisar",
IF(M1492="",IF(J1492="NUEVAS",CONCATENATE("Estado: ",O1492,", ",J1492),
IF(L1492=Meses!$A$3,"Por revisar",
IF(H1492="","Sin registro","En programación Frcst."))),"En programación")))),
"Error")</f>
        <v>En programación Frcst.</v>
      </c>
      <c r="Q1492" s="9" t="str">
        <f t="shared" si="69"/>
        <v/>
      </c>
      <c r="R1492" s="25">
        <f>IF(P1492="En programación Frcst.",VLOOKUP(L1492,Meses!$A$1:$H$14,3+HLOOKUP(Cronograma!J1492,Meses!$D$1:$G$2,2,FALSE),FALSE),
IF(P1492="En programación",M1492,""))</f>
        <v>45316</v>
      </c>
      <c r="S1492" s="25" t="str">
        <f t="shared" si="71"/>
        <v>2024/1</v>
      </c>
      <c r="T1492" s="21">
        <f>IFERROR(
(VLOOKUP(MONTH(R1492),Meses!$B$3:$C$14,2,FALSE)-DAY(R1492))/VLOOKUP(MONTH(R1492),Meses!$B$3:$C$14,2,FALSE)*U1492,
"")</f>
        <v>116.12903225806451</v>
      </c>
      <c r="U1492" s="22">
        <f t="shared" si="70"/>
        <v>600</v>
      </c>
    </row>
    <row r="1493" spans="1:21" ht="47.4" hidden="1" thickBot="1" x14ac:dyDescent="0.6">
      <c r="A1493" s="10" t="s">
        <v>1891</v>
      </c>
      <c r="B1493" s="10" t="s">
        <v>1897</v>
      </c>
      <c r="C1493" s="12"/>
      <c r="D1493" s="10" t="s">
        <v>1207</v>
      </c>
      <c r="E1493" s="10" t="s">
        <v>23</v>
      </c>
      <c r="F1493" s="10">
        <v>5000</v>
      </c>
      <c r="G1493" s="10" t="s">
        <v>15</v>
      </c>
      <c r="H1493" s="10" t="s">
        <v>140</v>
      </c>
      <c r="I1493" s="10" t="s">
        <v>66</v>
      </c>
      <c r="J1493" s="10" t="s">
        <v>292</v>
      </c>
      <c r="K1493" s="10" t="s">
        <v>1697</v>
      </c>
      <c r="L1493" s="10" t="s">
        <v>1120</v>
      </c>
      <c r="M1493" s="12">
        <v>45379</v>
      </c>
      <c r="N1493" s="10" t="s">
        <v>15</v>
      </c>
      <c r="O1493" s="10" t="s">
        <v>2056</v>
      </c>
      <c r="P1493" s="25" t="str">
        <f>IFERROR(
IF(OR(O1493="anulado",O1493="stand by"),CONCATENATE(O1493,": ",H1493),
IF(OR(YEAR(M1493)=2022,YEAR(M1493)=2023),CONCATENATE("Se activó en ",YEAR(M1493)),
IF(AND(OR(O1493="En proceso",O1493="facturando"),AND(J1493="-",M1493="")),"Por revisar",
IF(M1493="",IF(J1493="NUEVAS",CONCATENATE("Estado: ",O1493,", ",J1493),
IF(L1493=Meses!$A$3,"Por revisar",
IF(H1493="","Sin registro","En programación Frcst."))),"En programación")))),
"Error")</f>
        <v>anulado: Desistido</v>
      </c>
      <c r="Q1493" s="9" t="str">
        <f t="shared" si="69"/>
        <v/>
      </c>
      <c r="R1493" s="25" t="str">
        <f>IF(P1493="En programación Frcst.",VLOOKUP(L1493,Meses!$A$1:$H$14,3+HLOOKUP(Cronograma!J1493,Meses!$D$1:$G$2,2,FALSE),FALSE),
IF(P1493="En programación",M1493,""))</f>
        <v/>
      </c>
      <c r="S1493" s="25" t="str">
        <f t="shared" si="71"/>
        <v/>
      </c>
      <c r="T1493" s="21" t="str">
        <f>IFERROR(
(VLOOKUP(MONTH(R1493),Meses!$B$3:$C$14,2,FALSE)-DAY(R1493))/VLOOKUP(MONTH(R1493),Meses!$B$3:$C$14,2,FALSE)*U1493,
"")</f>
        <v/>
      </c>
      <c r="U1493" s="22">
        <f t="shared" si="70"/>
        <v>5000</v>
      </c>
    </row>
    <row r="1494" spans="1:21" ht="47.4" hidden="1" thickBot="1" x14ac:dyDescent="0.6">
      <c r="A1494" s="10" t="s">
        <v>1891</v>
      </c>
      <c r="B1494" s="10" t="s">
        <v>1898</v>
      </c>
      <c r="C1494" s="12">
        <v>45302</v>
      </c>
      <c r="D1494" s="10" t="s">
        <v>1207</v>
      </c>
      <c r="E1494" s="10" t="s">
        <v>23</v>
      </c>
      <c r="F1494" s="10">
        <v>3000</v>
      </c>
      <c r="G1494" s="10" t="s">
        <v>15</v>
      </c>
      <c r="H1494" s="10" t="s">
        <v>2406</v>
      </c>
      <c r="I1494" s="10" t="s">
        <v>66</v>
      </c>
      <c r="J1494" s="10" t="s">
        <v>292</v>
      </c>
      <c r="K1494" s="10" t="s">
        <v>293</v>
      </c>
      <c r="L1494" s="10" t="s">
        <v>279</v>
      </c>
      <c r="M1494" s="12"/>
      <c r="N1494" s="10" t="s">
        <v>15</v>
      </c>
      <c r="O1494" s="10" t="s">
        <v>2054</v>
      </c>
      <c r="P1494" s="25" t="str">
        <f>IFERROR(
IF(OR(O1494="anulado",O1494="stand by"),CONCATENATE(O1494,": ",H1494),
IF(OR(YEAR(M1494)=2022,YEAR(M1494)=2023),CONCATENATE("Se activó en ",YEAR(M1494)),
IF(AND(OR(O1494="En proceso",O1494="facturando"),AND(J1494="-",M1494="")),"Por revisar",
IF(M1494="",IF(J1494="NUEVAS",CONCATENATE("Estado: ",O1494,", ",J1494),
IF(L1494=Meses!$A$3,"Por revisar",
IF(H1494="","Sin registro","En programación Frcst."))),"En programación")))),
"Error")</f>
        <v>En programación Frcst.</v>
      </c>
      <c r="Q1494" s="9" t="str">
        <f t="shared" si="69"/>
        <v/>
      </c>
      <c r="R1494" s="25">
        <f>IF(P1494="En programación Frcst.",VLOOKUP(L1494,Meses!$A$1:$H$14,3+HLOOKUP(Cronograma!J1494,Meses!$D$1:$G$2,2,FALSE),FALSE),
IF(P1494="En programación",M1494,""))</f>
        <v>45316</v>
      </c>
      <c r="S1494" s="25" t="str">
        <f t="shared" si="71"/>
        <v>2024/1</v>
      </c>
      <c r="T1494" s="21">
        <f>IFERROR(
(VLOOKUP(MONTH(R1494),Meses!$B$3:$C$14,2,FALSE)-DAY(R1494))/VLOOKUP(MONTH(R1494),Meses!$B$3:$C$14,2,FALSE)*U1494,
"")</f>
        <v>580.64516129032256</v>
      </c>
      <c r="U1494" s="22">
        <f t="shared" si="70"/>
        <v>3000</v>
      </c>
    </row>
    <row r="1495" spans="1:21" ht="47.4" hidden="1" thickBot="1" x14ac:dyDescent="0.6">
      <c r="A1495" s="10" t="s">
        <v>1891</v>
      </c>
      <c r="B1495" s="10" t="s">
        <v>1899</v>
      </c>
      <c r="C1495" s="12">
        <v>45302</v>
      </c>
      <c r="D1495" s="10" t="s">
        <v>1207</v>
      </c>
      <c r="E1495" s="10" t="s">
        <v>23</v>
      </c>
      <c r="F1495" s="10">
        <v>3000</v>
      </c>
      <c r="G1495" s="10" t="s">
        <v>15</v>
      </c>
      <c r="H1495" s="10" t="s">
        <v>2406</v>
      </c>
      <c r="I1495" s="10" t="s">
        <v>66</v>
      </c>
      <c r="J1495" s="10" t="s">
        <v>292</v>
      </c>
      <c r="K1495" s="10" t="s">
        <v>293</v>
      </c>
      <c r="L1495" s="10" t="s">
        <v>279</v>
      </c>
      <c r="M1495" s="12"/>
      <c r="N1495" s="10" t="s">
        <v>15</v>
      </c>
      <c r="O1495" s="10" t="s">
        <v>2054</v>
      </c>
      <c r="P1495" s="25" t="str">
        <f>IFERROR(
IF(OR(O1495="anulado",O1495="stand by"),CONCATENATE(O1495,": ",H1495),
IF(OR(YEAR(M1495)=2022,YEAR(M1495)=2023),CONCATENATE("Se activó en ",YEAR(M1495)),
IF(AND(OR(O1495="En proceso",O1495="facturando"),AND(J1495="-",M1495="")),"Por revisar",
IF(M1495="",IF(J1495="NUEVAS",CONCATENATE("Estado: ",O1495,", ",J1495),
IF(L1495=Meses!$A$3,"Por revisar",
IF(H1495="","Sin registro","En programación Frcst."))),"En programación")))),
"Error")</f>
        <v>En programación Frcst.</v>
      </c>
      <c r="Q1495" s="9" t="str">
        <f t="shared" si="69"/>
        <v/>
      </c>
      <c r="R1495" s="25">
        <f>IF(P1495="En programación Frcst.",VLOOKUP(L1495,Meses!$A$1:$H$14,3+HLOOKUP(Cronograma!J1495,Meses!$D$1:$G$2,2,FALSE),FALSE),
IF(P1495="En programación",M1495,""))</f>
        <v>45316</v>
      </c>
      <c r="S1495" s="25" t="str">
        <f t="shared" si="71"/>
        <v>2024/1</v>
      </c>
      <c r="T1495" s="21">
        <f>IFERROR(
(VLOOKUP(MONTH(R1495),Meses!$B$3:$C$14,2,FALSE)-DAY(R1495))/VLOOKUP(MONTH(R1495),Meses!$B$3:$C$14,2,FALSE)*U1495,
"")</f>
        <v>580.64516129032256</v>
      </c>
      <c r="U1495" s="22">
        <f t="shared" si="70"/>
        <v>3000</v>
      </c>
    </row>
    <row r="1496" spans="1:21" ht="47.4" hidden="1" thickBot="1" x14ac:dyDescent="0.6">
      <c r="A1496" s="10" t="s">
        <v>1891</v>
      </c>
      <c r="B1496" s="10" t="s">
        <v>1900</v>
      </c>
      <c r="C1496" s="12"/>
      <c r="D1496" s="10" t="s">
        <v>1207</v>
      </c>
      <c r="E1496" s="10" t="s">
        <v>23</v>
      </c>
      <c r="F1496" s="10">
        <v>40000</v>
      </c>
      <c r="G1496" s="10" t="s">
        <v>15</v>
      </c>
      <c r="H1496" s="10" t="s">
        <v>140</v>
      </c>
      <c r="I1496" s="10" t="s">
        <v>66</v>
      </c>
      <c r="J1496" s="10" t="s">
        <v>292</v>
      </c>
      <c r="K1496" s="10" t="s">
        <v>1697</v>
      </c>
      <c r="L1496" s="10" t="s">
        <v>1120</v>
      </c>
      <c r="M1496" s="12">
        <v>45379</v>
      </c>
      <c r="N1496" s="10" t="s">
        <v>15</v>
      </c>
      <c r="O1496" s="10" t="s">
        <v>2056</v>
      </c>
      <c r="P1496" s="25" t="str">
        <f>IFERROR(
IF(OR(O1496="anulado",O1496="stand by"),CONCATENATE(O1496,": ",H1496),
IF(OR(YEAR(M1496)=2022,YEAR(M1496)=2023),CONCATENATE("Se activó en ",YEAR(M1496)),
IF(AND(OR(O1496="En proceso",O1496="facturando"),AND(J1496="-",M1496="")),"Por revisar",
IF(M1496="",IF(J1496="NUEVAS",CONCATENATE("Estado: ",O1496,", ",J1496),
IF(L1496=Meses!$A$3,"Por revisar",
IF(H1496="","Sin registro","En programación Frcst."))),"En programación")))),
"Error")</f>
        <v>anulado: Desistido</v>
      </c>
      <c r="Q1496" s="9" t="str">
        <f t="shared" si="69"/>
        <v/>
      </c>
      <c r="R1496" s="25" t="str">
        <f>IF(P1496="En programación Frcst.",VLOOKUP(L1496,Meses!$A$1:$H$14,3+HLOOKUP(Cronograma!J1496,Meses!$D$1:$G$2,2,FALSE),FALSE),
IF(P1496="En programación",M1496,""))</f>
        <v/>
      </c>
      <c r="S1496" s="25" t="str">
        <f t="shared" si="71"/>
        <v/>
      </c>
      <c r="T1496" s="21" t="str">
        <f>IFERROR(
(VLOOKUP(MONTH(R1496),Meses!$B$3:$C$14,2,FALSE)-DAY(R1496))/VLOOKUP(MONTH(R1496),Meses!$B$3:$C$14,2,FALSE)*U1496,
"")</f>
        <v/>
      </c>
      <c r="U1496" s="22">
        <f t="shared" si="70"/>
        <v>40000</v>
      </c>
    </row>
    <row r="1497" spans="1:21" ht="47.4" hidden="1" thickBot="1" x14ac:dyDescent="0.6">
      <c r="A1497" s="10" t="s">
        <v>1891</v>
      </c>
      <c r="B1497" s="10" t="s">
        <v>1901</v>
      </c>
      <c r="C1497" s="12"/>
      <c r="D1497" s="10" t="s">
        <v>1207</v>
      </c>
      <c r="E1497" s="10" t="s">
        <v>23</v>
      </c>
      <c r="F1497" s="10">
        <v>30000</v>
      </c>
      <c r="G1497" s="10" t="s">
        <v>15</v>
      </c>
      <c r="H1497" s="10" t="s">
        <v>140</v>
      </c>
      <c r="I1497" s="10" t="s">
        <v>66</v>
      </c>
      <c r="J1497" s="10" t="s">
        <v>292</v>
      </c>
      <c r="K1497" s="10" t="s">
        <v>1697</v>
      </c>
      <c r="L1497" s="10" t="s">
        <v>1120</v>
      </c>
      <c r="M1497" s="12">
        <v>45379</v>
      </c>
      <c r="N1497" s="10" t="s">
        <v>15</v>
      </c>
      <c r="O1497" s="10" t="s">
        <v>2056</v>
      </c>
      <c r="P1497" s="25" t="str">
        <f>IFERROR(
IF(OR(O1497="anulado",O1497="stand by"),CONCATENATE(O1497,": ",H1497),
IF(OR(YEAR(M1497)=2022,YEAR(M1497)=2023),CONCATENATE("Se activó en ",YEAR(M1497)),
IF(AND(OR(O1497="En proceso",O1497="facturando"),AND(J1497="-",M1497="")),"Por revisar",
IF(M1497="",IF(J1497="NUEVAS",CONCATENATE("Estado: ",O1497,", ",J1497),
IF(L1497=Meses!$A$3,"Por revisar",
IF(H1497="","Sin registro","En programación Frcst."))),"En programación")))),
"Error")</f>
        <v>anulado: Desistido</v>
      </c>
      <c r="Q1497" s="9" t="str">
        <f t="shared" si="69"/>
        <v/>
      </c>
      <c r="R1497" s="25" t="str">
        <f>IF(P1497="En programación Frcst.",VLOOKUP(L1497,Meses!$A$1:$H$14,3+HLOOKUP(Cronograma!J1497,Meses!$D$1:$G$2,2,FALSE),FALSE),
IF(P1497="En programación",M1497,""))</f>
        <v/>
      </c>
      <c r="S1497" s="25" t="str">
        <f t="shared" si="71"/>
        <v/>
      </c>
      <c r="T1497" s="21" t="str">
        <f>IFERROR(
(VLOOKUP(MONTH(R1497),Meses!$B$3:$C$14,2,FALSE)-DAY(R1497))/VLOOKUP(MONTH(R1497),Meses!$B$3:$C$14,2,FALSE)*U1497,
"")</f>
        <v/>
      </c>
      <c r="U1497" s="22">
        <f t="shared" si="70"/>
        <v>30000</v>
      </c>
    </row>
    <row r="1498" spans="1:21" ht="47.4" hidden="1" thickBot="1" x14ac:dyDescent="0.6">
      <c r="A1498" s="10" t="s">
        <v>1891</v>
      </c>
      <c r="B1498" s="10" t="s">
        <v>1902</v>
      </c>
      <c r="C1498" s="12">
        <v>45302</v>
      </c>
      <c r="D1498" s="10" t="s">
        <v>1207</v>
      </c>
      <c r="E1498" s="10" t="s">
        <v>23</v>
      </c>
      <c r="F1498" s="10">
        <v>2300</v>
      </c>
      <c r="G1498" s="10" t="s">
        <v>15</v>
      </c>
      <c r="H1498" s="10" t="s">
        <v>2406</v>
      </c>
      <c r="I1498" s="10" t="s">
        <v>66</v>
      </c>
      <c r="J1498" s="10" t="s">
        <v>292</v>
      </c>
      <c r="K1498" s="10" t="s">
        <v>293</v>
      </c>
      <c r="L1498" s="10" t="s">
        <v>279</v>
      </c>
      <c r="M1498" s="12"/>
      <c r="N1498" s="10" t="s">
        <v>15</v>
      </c>
      <c r="O1498" s="10" t="s">
        <v>2054</v>
      </c>
      <c r="P1498" s="25" t="str">
        <f>IFERROR(
IF(OR(O1498="anulado",O1498="stand by"),CONCATENATE(O1498,": ",H1498),
IF(OR(YEAR(M1498)=2022,YEAR(M1498)=2023),CONCATENATE("Se activó en ",YEAR(M1498)),
IF(AND(OR(O1498="En proceso",O1498="facturando"),AND(J1498="-",M1498="")),"Por revisar",
IF(M1498="",IF(J1498="NUEVAS",CONCATENATE("Estado: ",O1498,", ",J1498),
IF(L1498=Meses!$A$3,"Por revisar",
IF(H1498="","Sin registro","En programación Frcst."))),"En programación")))),
"Error")</f>
        <v>En programación Frcst.</v>
      </c>
      <c r="Q1498" s="9" t="str">
        <f t="shared" si="69"/>
        <v/>
      </c>
      <c r="R1498" s="25">
        <f>IF(P1498="En programación Frcst.",VLOOKUP(L1498,Meses!$A$1:$H$14,3+HLOOKUP(Cronograma!J1498,Meses!$D$1:$G$2,2,FALSE),FALSE),
IF(P1498="En programación",M1498,""))</f>
        <v>45316</v>
      </c>
      <c r="S1498" s="25" t="str">
        <f t="shared" si="71"/>
        <v>2024/1</v>
      </c>
      <c r="T1498" s="21">
        <f>IFERROR(
(VLOOKUP(MONTH(R1498),Meses!$B$3:$C$14,2,FALSE)-DAY(R1498))/VLOOKUP(MONTH(R1498),Meses!$B$3:$C$14,2,FALSE)*U1498,
"")</f>
        <v>445.16129032258061</v>
      </c>
      <c r="U1498" s="22">
        <f t="shared" si="70"/>
        <v>2300</v>
      </c>
    </row>
    <row r="1499" spans="1:21" ht="47.4" hidden="1" thickBot="1" x14ac:dyDescent="0.6">
      <c r="A1499" s="10" t="s">
        <v>1891</v>
      </c>
      <c r="B1499" s="10" t="s">
        <v>1903</v>
      </c>
      <c r="C1499" s="12">
        <v>45302</v>
      </c>
      <c r="D1499" s="10" t="s">
        <v>1207</v>
      </c>
      <c r="E1499" s="10" t="s">
        <v>23</v>
      </c>
      <c r="F1499" s="10">
        <v>1</v>
      </c>
      <c r="G1499" s="10" t="s">
        <v>15</v>
      </c>
      <c r="H1499" s="10" t="s">
        <v>3311</v>
      </c>
      <c r="I1499" s="10" t="s">
        <v>66</v>
      </c>
      <c r="J1499" s="10" t="s">
        <v>292</v>
      </c>
      <c r="K1499" s="10" t="s">
        <v>293</v>
      </c>
      <c r="L1499" s="10" t="s">
        <v>279</v>
      </c>
      <c r="M1499" s="12"/>
      <c r="N1499" s="10" t="s">
        <v>15</v>
      </c>
      <c r="O1499" s="10" t="s">
        <v>3311</v>
      </c>
      <c r="P1499" s="25" t="str">
        <f>IFERROR(
IF(OR(O1499="anulado",O1499="stand by"),CONCATENATE(O1499,": ",H1499),
IF(OR(YEAR(M1499)=2022,YEAR(M1499)=2023),CONCATENATE("Se activó en ",YEAR(M1499)),
IF(AND(OR(O1499="En proceso",O1499="facturando"),AND(J1499="-",M1499="")),"Por revisar",
IF(M1499="",IF(J1499="NUEVAS",CONCATENATE("Estado: ",O1499,", ",J1499),
IF(L1499=Meses!$A$3,"Por revisar",
IF(H1499="","Sin registro","En programación Frcst."))),"En programación")))),
"Error")</f>
        <v>En programación Frcst.</v>
      </c>
      <c r="Q1499" s="9" t="str">
        <f t="shared" si="69"/>
        <v/>
      </c>
      <c r="R1499" s="25">
        <f>IF(P1499="En programación Frcst.",VLOOKUP(L1499,Meses!$A$1:$H$14,3+HLOOKUP(Cronograma!J1499,Meses!$D$1:$G$2,2,FALSE),FALSE),
IF(P1499="En programación",M1499,""))</f>
        <v>45316</v>
      </c>
      <c r="S1499" s="25" t="str">
        <f t="shared" si="71"/>
        <v>2024/1</v>
      </c>
      <c r="T1499" s="21">
        <f>IFERROR(
(VLOOKUP(MONTH(R1499),Meses!$B$3:$C$14,2,FALSE)-DAY(R1499))/VLOOKUP(MONTH(R1499),Meses!$B$3:$C$14,2,FALSE)*U1499,
"")</f>
        <v>0.19354838709677419</v>
      </c>
      <c r="U1499" s="22">
        <f t="shared" si="70"/>
        <v>1</v>
      </c>
    </row>
    <row r="1500" spans="1:21" ht="47.4" hidden="1" thickBot="1" x14ac:dyDescent="0.6">
      <c r="A1500" s="10" t="s">
        <v>1891</v>
      </c>
      <c r="B1500" s="10" t="s">
        <v>1904</v>
      </c>
      <c r="C1500" s="12">
        <v>45302</v>
      </c>
      <c r="D1500" s="10" t="s">
        <v>1207</v>
      </c>
      <c r="E1500" s="10" t="s">
        <v>23</v>
      </c>
      <c r="F1500" s="10">
        <v>6000</v>
      </c>
      <c r="G1500" s="10" t="s">
        <v>15</v>
      </c>
      <c r="H1500" s="10" t="s">
        <v>2406</v>
      </c>
      <c r="I1500" s="10" t="s">
        <v>66</v>
      </c>
      <c r="J1500" s="10" t="s">
        <v>292</v>
      </c>
      <c r="K1500" s="10" t="s">
        <v>1697</v>
      </c>
      <c r="L1500" s="10" t="s">
        <v>1120</v>
      </c>
      <c r="M1500" s="12">
        <v>45379</v>
      </c>
      <c r="N1500" s="10" t="s">
        <v>15</v>
      </c>
      <c r="O1500" s="10" t="s">
        <v>2054</v>
      </c>
      <c r="P1500" s="25" t="str">
        <f>IFERROR(
IF(OR(O1500="anulado",O1500="stand by"),CONCATENATE(O1500,": ",H1500),
IF(OR(YEAR(M1500)=2022,YEAR(M1500)=2023),CONCATENATE("Se activó en ",YEAR(M1500)),
IF(AND(OR(O1500="En proceso",O1500="facturando"),AND(J1500="-",M1500="")),"Por revisar",
IF(M1500="",IF(J1500="NUEVAS",CONCATENATE("Estado: ",O1500,", ",J1500),
IF(L1500=Meses!$A$3,"Por revisar",
IF(H1500="","Sin registro","En programación Frcst."))),"En programación")))),
"Error")</f>
        <v>En programación</v>
      </c>
      <c r="Q1500" s="9" t="str">
        <f t="shared" si="69"/>
        <v/>
      </c>
      <c r="R1500" s="25">
        <f>IF(P1500="En programación Frcst.",VLOOKUP(L1500,Meses!$A$1:$H$14,3+HLOOKUP(Cronograma!J1500,Meses!$D$1:$G$2,2,FALSE),FALSE),
IF(P1500="En programación",M1500,""))</f>
        <v>45379</v>
      </c>
      <c r="S1500" s="25" t="str">
        <f t="shared" si="71"/>
        <v>2024/3</v>
      </c>
      <c r="T1500" s="21">
        <f>IFERROR(
(VLOOKUP(MONTH(R1500),Meses!$B$3:$C$14,2,FALSE)-DAY(R1500))/VLOOKUP(MONTH(R1500),Meses!$B$3:$C$14,2,FALSE)*U1500,
"")</f>
        <v>580.64516129032256</v>
      </c>
      <c r="U1500" s="22">
        <f t="shared" si="70"/>
        <v>6000</v>
      </c>
    </row>
    <row r="1501" spans="1:21" ht="47.4" hidden="1" thickBot="1" x14ac:dyDescent="0.6">
      <c r="A1501" s="10" t="s">
        <v>1891</v>
      </c>
      <c r="B1501" s="10" t="s">
        <v>1905</v>
      </c>
      <c r="C1501" s="12">
        <v>45302</v>
      </c>
      <c r="D1501" s="10" t="s">
        <v>1207</v>
      </c>
      <c r="E1501" s="10" t="s">
        <v>23</v>
      </c>
      <c r="F1501" s="10">
        <v>600</v>
      </c>
      <c r="G1501" s="10" t="s">
        <v>15</v>
      </c>
      <c r="H1501" s="10" t="s">
        <v>2406</v>
      </c>
      <c r="I1501" s="10" t="s">
        <v>66</v>
      </c>
      <c r="J1501" s="10" t="s">
        <v>292</v>
      </c>
      <c r="K1501" s="10" t="s">
        <v>293</v>
      </c>
      <c r="L1501" s="10" t="s">
        <v>279</v>
      </c>
      <c r="M1501" s="12"/>
      <c r="N1501" s="10" t="s">
        <v>15</v>
      </c>
      <c r="O1501" s="10" t="s">
        <v>2054</v>
      </c>
      <c r="P1501" s="25" t="str">
        <f>IFERROR(
IF(OR(O1501="anulado",O1501="stand by"),CONCATENATE(O1501,": ",H1501),
IF(OR(YEAR(M1501)=2022,YEAR(M1501)=2023),CONCATENATE("Se activó en ",YEAR(M1501)),
IF(AND(OR(O1501="En proceso",O1501="facturando"),AND(J1501="-",M1501="")),"Por revisar",
IF(M1501="",IF(J1501="NUEVAS",CONCATENATE("Estado: ",O1501,", ",J1501),
IF(L1501=Meses!$A$3,"Por revisar",
IF(H1501="","Sin registro","En programación Frcst."))),"En programación")))),
"Error")</f>
        <v>En programación Frcst.</v>
      </c>
      <c r="Q1501" s="9" t="str">
        <f t="shared" si="69"/>
        <v/>
      </c>
      <c r="R1501" s="25">
        <f>IF(P1501="En programación Frcst.",VLOOKUP(L1501,Meses!$A$1:$H$14,3+HLOOKUP(Cronograma!J1501,Meses!$D$1:$G$2,2,FALSE),FALSE),
IF(P1501="En programación",M1501,""))</f>
        <v>45316</v>
      </c>
      <c r="S1501" s="25" t="str">
        <f t="shared" si="71"/>
        <v>2024/1</v>
      </c>
      <c r="T1501" s="21">
        <f>IFERROR(
(VLOOKUP(MONTH(R1501),Meses!$B$3:$C$14,2,FALSE)-DAY(R1501))/VLOOKUP(MONTH(R1501),Meses!$B$3:$C$14,2,FALSE)*U1501,
"")</f>
        <v>116.12903225806451</v>
      </c>
      <c r="U1501" s="22">
        <f t="shared" si="70"/>
        <v>600</v>
      </c>
    </row>
    <row r="1502" spans="1:21" ht="47.4" hidden="1" thickBot="1" x14ac:dyDescent="0.6">
      <c r="A1502" s="10" t="s">
        <v>1891</v>
      </c>
      <c r="B1502" s="10" t="s">
        <v>1906</v>
      </c>
      <c r="C1502" s="12"/>
      <c r="D1502" s="10" t="s">
        <v>1207</v>
      </c>
      <c r="E1502" s="10" t="s">
        <v>23</v>
      </c>
      <c r="F1502" s="10">
        <v>10</v>
      </c>
      <c r="G1502" s="10" t="s">
        <v>15</v>
      </c>
      <c r="H1502" s="10" t="s">
        <v>140</v>
      </c>
      <c r="I1502" s="10" t="s">
        <v>66</v>
      </c>
      <c r="J1502" s="10" t="s">
        <v>292</v>
      </c>
      <c r="K1502" s="10" t="s">
        <v>1697</v>
      </c>
      <c r="L1502" s="10" t="s">
        <v>1120</v>
      </c>
      <c r="M1502" s="12">
        <v>45379</v>
      </c>
      <c r="N1502" s="10" t="s">
        <v>15</v>
      </c>
      <c r="O1502" s="10" t="s">
        <v>2056</v>
      </c>
      <c r="P1502" s="25" t="str">
        <f>IFERROR(
IF(OR(O1502="anulado",O1502="stand by"),CONCATENATE(O1502,": ",H1502),
IF(OR(YEAR(M1502)=2022,YEAR(M1502)=2023),CONCATENATE("Se activó en ",YEAR(M1502)),
IF(AND(OR(O1502="En proceso",O1502="facturando"),AND(J1502="-",M1502="")),"Por revisar",
IF(M1502="",IF(J1502="NUEVAS",CONCATENATE("Estado: ",O1502,", ",J1502),
IF(L1502=Meses!$A$3,"Por revisar",
IF(H1502="","Sin registro","En programación Frcst."))),"En programación")))),
"Error")</f>
        <v>anulado: Desistido</v>
      </c>
      <c r="Q1502" s="9" t="str">
        <f t="shared" si="69"/>
        <v/>
      </c>
      <c r="R1502" s="25" t="str">
        <f>IF(P1502="En programación Frcst.",VLOOKUP(L1502,Meses!$A$1:$H$14,3+HLOOKUP(Cronograma!J1502,Meses!$D$1:$G$2,2,FALSE),FALSE),
IF(P1502="En programación",M1502,""))</f>
        <v/>
      </c>
      <c r="S1502" s="25" t="str">
        <f t="shared" si="71"/>
        <v/>
      </c>
      <c r="T1502" s="21" t="str">
        <f>IFERROR(
(VLOOKUP(MONTH(R1502),Meses!$B$3:$C$14,2,FALSE)-DAY(R1502))/VLOOKUP(MONTH(R1502),Meses!$B$3:$C$14,2,FALSE)*U1502,
"")</f>
        <v/>
      </c>
      <c r="U1502" s="22">
        <f t="shared" si="70"/>
        <v>10</v>
      </c>
    </row>
    <row r="1503" spans="1:21" ht="47.4" hidden="1" thickBot="1" x14ac:dyDescent="0.6">
      <c r="A1503" s="10" t="s">
        <v>1891</v>
      </c>
      <c r="B1503" s="10" t="s">
        <v>1907</v>
      </c>
      <c r="C1503" s="12">
        <v>45302</v>
      </c>
      <c r="D1503" s="10" t="s">
        <v>1207</v>
      </c>
      <c r="E1503" s="10" t="s">
        <v>23</v>
      </c>
      <c r="F1503" s="10">
        <v>3000</v>
      </c>
      <c r="G1503" s="10" t="s">
        <v>15</v>
      </c>
      <c r="H1503" s="10" t="s">
        <v>2406</v>
      </c>
      <c r="I1503" s="10" t="s">
        <v>66</v>
      </c>
      <c r="J1503" s="10" t="s">
        <v>292</v>
      </c>
      <c r="K1503" s="10" t="s">
        <v>1697</v>
      </c>
      <c r="L1503" s="10" t="s">
        <v>1120</v>
      </c>
      <c r="M1503" s="12">
        <v>45379</v>
      </c>
      <c r="N1503" s="10" t="s">
        <v>15</v>
      </c>
      <c r="O1503" s="10" t="s">
        <v>2054</v>
      </c>
      <c r="P1503" s="25" t="str">
        <f>IFERROR(
IF(OR(O1503="anulado",O1503="stand by"),CONCATENATE(O1503,": ",H1503),
IF(OR(YEAR(M1503)=2022,YEAR(M1503)=2023),CONCATENATE("Se activó en ",YEAR(M1503)),
IF(AND(OR(O1503="En proceso",O1503="facturando"),AND(J1503="-",M1503="")),"Por revisar",
IF(M1503="",IF(J1503="NUEVAS",CONCATENATE("Estado: ",O1503,", ",J1503),
IF(L1503=Meses!$A$3,"Por revisar",
IF(H1503="","Sin registro","En programación Frcst."))),"En programación")))),
"Error")</f>
        <v>En programación</v>
      </c>
      <c r="Q1503" s="9" t="str">
        <f t="shared" si="69"/>
        <v/>
      </c>
      <c r="R1503" s="25">
        <f>IF(P1503="En programación Frcst.",VLOOKUP(L1503,Meses!$A$1:$H$14,3+HLOOKUP(Cronograma!J1503,Meses!$D$1:$G$2,2,FALSE),FALSE),
IF(P1503="En programación",M1503,""))</f>
        <v>45379</v>
      </c>
      <c r="S1503" s="25" t="str">
        <f t="shared" si="71"/>
        <v>2024/3</v>
      </c>
      <c r="T1503" s="21">
        <f>IFERROR(
(VLOOKUP(MONTH(R1503),Meses!$B$3:$C$14,2,FALSE)-DAY(R1503))/VLOOKUP(MONTH(R1503),Meses!$B$3:$C$14,2,FALSE)*U1503,
"")</f>
        <v>290.32258064516128</v>
      </c>
      <c r="U1503" s="22">
        <f t="shared" si="70"/>
        <v>3000</v>
      </c>
    </row>
    <row r="1504" spans="1:21" ht="47.4" hidden="1" thickBot="1" x14ac:dyDescent="0.6">
      <c r="A1504" s="10" t="s">
        <v>1891</v>
      </c>
      <c r="B1504" s="10" t="s">
        <v>1908</v>
      </c>
      <c r="C1504" s="12">
        <v>45309</v>
      </c>
      <c r="D1504" s="10" t="s">
        <v>1207</v>
      </c>
      <c r="E1504" s="10" t="s">
        <v>23</v>
      </c>
      <c r="F1504" s="10">
        <v>300</v>
      </c>
      <c r="G1504" s="10" t="s">
        <v>15</v>
      </c>
      <c r="H1504" s="10" t="s">
        <v>2406</v>
      </c>
      <c r="I1504" s="10" t="s">
        <v>66</v>
      </c>
      <c r="J1504" s="10" t="s">
        <v>292</v>
      </c>
      <c r="K1504" s="10" t="s">
        <v>293</v>
      </c>
      <c r="L1504" s="10" t="s">
        <v>279</v>
      </c>
      <c r="M1504" s="12"/>
      <c r="N1504" s="10" t="s">
        <v>15</v>
      </c>
      <c r="O1504" s="10" t="s">
        <v>2054</v>
      </c>
      <c r="P1504" s="25" t="str">
        <f>IFERROR(
IF(OR(O1504="anulado",O1504="stand by"),CONCATENATE(O1504,": ",H1504),
IF(OR(YEAR(M1504)=2022,YEAR(M1504)=2023),CONCATENATE("Se activó en ",YEAR(M1504)),
IF(AND(OR(O1504="En proceso",O1504="facturando"),AND(J1504="-",M1504="")),"Por revisar",
IF(M1504="",IF(J1504="NUEVAS",CONCATENATE("Estado: ",O1504,", ",J1504),
IF(L1504=Meses!$A$3,"Por revisar",
IF(H1504="","Sin registro","En programación Frcst."))),"En programación")))),
"Error")</f>
        <v>En programación Frcst.</v>
      </c>
      <c r="Q1504" s="9" t="str">
        <f t="shared" si="69"/>
        <v/>
      </c>
      <c r="R1504" s="25">
        <f>IF(P1504="En programación Frcst.",VLOOKUP(L1504,Meses!$A$1:$H$14,3+HLOOKUP(Cronograma!J1504,Meses!$D$1:$G$2,2,FALSE),FALSE),
IF(P1504="En programación",M1504,""))</f>
        <v>45316</v>
      </c>
      <c r="S1504" s="25" t="str">
        <f t="shared" si="71"/>
        <v>2024/1</v>
      </c>
      <c r="T1504" s="21">
        <f>IFERROR(
(VLOOKUP(MONTH(R1504),Meses!$B$3:$C$14,2,FALSE)-DAY(R1504))/VLOOKUP(MONTH(R1504),Meses!$B$3:$C$14,2,FALSE)*U1504,
"")</f>
        <v>58.064516129032256</v>
      </c>
      <c r="U1504" s="22">
        <f t="shared" si="70"/>
        <v>300</v>
      </c>
    </row>
    <row r="1505" spans="1:21" ht="47.4" hidden="1" thickBot="1" x14ac:dyDescent="0.6">
      <c r="A1505" s="10" t="s">
        <v>1891</v>
      </c>
      <c r="B1505" s="10" t="s">
        <v>1909</v>
      </c>
      <c r="C1505" s="12"/>
      <c r="D1505" s="10" t="s">
        <v>1207</v>
      </c>
      <c r="E1505" s="10" t="s">
        <v>23</v>
      </c>
      <c r="F1505" s="10">
        <v>50000</v>
      </c>
      <c r="G1505" s="10" t="s">
        <v>15</v>
      </c>
      <c r="H1505" s="10" t="s">
        <v>140</v>
      </c>
      <c r="I1505" s="10" t="s">
        <v>66</v>
      </c>
      <c r="J1505" s="10" t="s">
        <v>292</v>
      </c>
      <c r="K1505" s="10" t="s">
        <v>1697</v>
      </c>
      <c r="L1505" s="10" t="s">
        <v>1120</v>
      </c>
      <c r="M1505" s="12">
        <v>45379</v>
      </c>
      <c r="N1505" s="10" t="s">
        <v>15</v>
      </c>
      <c r="O1505" s="10" t="s">
        <v>2056</v>
      </c>
      <c r="P1505" s="25" t="str">
        <f>IFERROR(
IF(OR(O1505="anulado",O1505="stand by"),CONCATENATE(O1505,": ",H1505),
IF(OR(YEAR(M1505)=2022,YEAR(M1505)=2023),CONCATENATE("Se activó en ",YEAR(M1505)),
IF(AND(OR(O1505="En proceso",O1505="facturando"),AND(J1505="-",M1505="")),"Por revisar",
IF(M1505="",IF(J1505="NUEVAS",CONCATENATE("Estado: ",O1505,", ",J1505),
IF(L1505=Meses!$A$3,"Por revisar",
IF(H1505="","Sin registro","En programación Frcst."))),"En programación")))),
"Error")</f>
        <v>anulado: Desistido</v>
      </c>
      <c r="Q1505" s="9" t="str">
        <f t="shared" si="69"/>
        <v/>
      </c>
      <c r="R1505" s="25" t="str">
        <f>IF(P1505="En programación Frcst.",VLOOKUP(L1505,Meses!$A$1:$H$14,3+HLOOKUP(Cronograma!J1505,Meses!$D$1:$G$2,2,FALSE),FALSE),
IF(P1505="En programación",M1505,""))</f>
        <v/>
      </c>
      <c r="S1505" s="25" t="str">
        <f t="shared" si="71"/>
        <v/>
      </c>
      <c r="T1505" s="21" t="str">
        <f>IFERROR(
(VLOOKUP(MONTH(R1505),Meses!$B$3:$C$14,2,FALSE)-DAY(R1505))/VLOOKUP(MONTH(R1505),Meses!$B$3:$C$14,2,FALSE)*U1505,
"")</f>
        <v/>
      </c>
      <c r="U1505" s="22">
        <f t="shared" si="70"/>
        <v>50000</v>
      </c>
    </row>
    <row r="1506" spans="1:21" ht="47.4" hidden="1" thickBot="1" x14ac:dyDescent="0.6">
      <c r="A1506" s="10" t="s">
        <v>1891</v>
      </c>
      <c r="B1506" s="10" t="s">
        <v>1910</v>
      </c>
      <c r="C1506" s="12">
        <v>45302</v>
      </c>
      <c r="D1506" s="10" t="s">
        <v>1207</v>
      </c>
      <c r="E1506" s="10" t="s">
        <v>23</v>
      </c>
      <c r="F1506" s="10">
        <v>25000</v>
      </c>
      <c r="G1506" s="10" t="s">
        <v>15</v>
      </c>
      <c r="H1506" s="10" t="s">
        <v>2406</v>
      </c>
      <c r="I1506" s="10" t="s">
        <v>66</v>
      </c>
      <c r="J1506" s="10" t="s">
        <v>292</v>
      </c>
      <c r="K1506" s="10" t="s">
        <v>293</v>
      </c>
      <c r="L1506" s="10" t="s">
        <v>279</v>
      </c>
      <c r="M1506" s="12"/>
      <c r="N1506" s="10" t="s">
        <v>15</v>
      </c>
      <c r="O1506" s="10" t="s">
        <v>2054</v>
      </c>
      <c r="P1506" s="25" t="str">
        <f>IFERROR(
IF(OR(O1506="anulado",O1506="stand by"),CONCATENATE(O1506,": ",H1506),
IF(OR(YEAR(M1506)=2022,YEAR(M1506)=2023),CONCATENATE("Se activó en ",YEAR(M1506)),
IF(AND(OR(O1506="En proceso",O1506="facturando"),AND(J1506="-",M1506="")),"Por revisar",
IF(M1506="",IF(J1506="NUEVAS",CONCATENATE("Estado: ",O1506,", ",J1506),
IF(L1506=Meses!$A$3,"Por revisar",
IF(H1506="","Sin registro","En programación Frcst."))),"En programación")))),
"Error")</f>
        <v>En programación Frcst.</v>
      </c>
      <c r="Q1506" s="9" t="str">
        <f t="shared" si="69"/>
        <v/>
      </c>
      <c r="R1506" s="25">
        <f>IF(P1506="En programación Frcst.",VLOOKUP(L1506,Meses!$A$1:$H$14,3+HLOOKUP(Cronograma!J1506,Meses!$D$1:$G$2,2,FALSE),FALSE),
IF(P1506="En programación",M1506,""))</f>
        <v>45316</v>
      </c>
      <c r="S1506" s="25" t="str">
        <f t="shared" si="71"/>
        <v>2024/1</v>
      </c>
      <c r="T1506" s="21">
        <f>IFERROR(
(VLOOKUP(MONTH(R1506),Meses!$B$3:$C$14,2,FALSE)-DAY(R1506))/VLOOKUP(MONTH(R1506),Meses!$B$3:$C$14,2,FALSE)*U1506,
"")</f>
        <v>4838.7096774193551</v>
      </c>
      <c r="U1506" s="22">
        <f t="shared" si="70"/>
        <v>25000</v>
      </c>
    </row>
    <row r="1507" spans="1:21" ht="47.4" hidden="1" thickBot="1" x14ac:dyDescent="0.6">
      <c r="A1507" s="10" t="s">
        <v>1891</v>
      </c>
      <c r="B1507" s="10" t="s">
        <v>1911</v>
      </c>
      <c r="C1507" s="12">
        <v>45302</v>
      </c>
      <c r="D1507" s="10" t="s">
        <v>1207</v>
      </c>
      <c r="E1507" s="10" t="s">
        <v>23</v>
      </c>
      <c r="F1507" s="10">
        <v>1</v>
      </c>
      <c r="G1507" s="10" t="s">
        <v>15</v>
      </c>
      <c r="H1507" s="10" t="s">
        <v>3311</v>
      </c>
      <c r="I1507" s="10" t="s">
        <v>66</v>
      </c>
      <c r="J1507" s="10" t="s">
        <v>292</v>
      </c>
      <c r="K1507" s="10" t="s">
        <v>293</v>
      </c>
      <c r="L1507" s="10" t="s">
        <v>279</v>
      </c>
      <c r="M1507" s="12"/>
      <c r="N1507" s="10" t="s">
        <v>15</v>
      </c>
      <c r="O1507" s="10" t="s">
        <v>3311</v>
      </c>
      <c r="P1507" s="25" t="str">
        <f>IFERROR(
IF(OR(O1507="anulado",O1507="stand by"),CONCATENATE(O1507,": ",H1507),
IF(OR(YEAR(M1507)=2022,YEAR(M1507)=2023),CONCATENATE("Se activó en ",YEAR(M1507)),
IF(AND(OR(O1507="En proceso",O1507="facturando"),AND(J1507="-",M1507="")),"Por revisar",
IF(M1507="",IF(J1507="NUEVAS",CONCATENATE("Estado: ",O1507,", ",J1507),
IF(L1507=Meses!$A$3,"Por revisar",
IF(H1507="","Sin registro","En programación Frcst."))),"En programación")))),
"Error")</f>
        <v>En programación Frcst.</v>
      </c>
      <c r="Q1507" s="9" t="str">
        <f t="shared" si="69"/>
        <v/>
      </c>
      <c r="R1507" s="25">
        <f>IF(P1507="En programación Frcst.",VLOOKUP(L1507,Meses!$A$1:$H$14,3+HLOOKUP(Cronograma!J1507,Meses!$D$1:$G$2,2,FALSE),FALSE),
IF(P1507="En programación",M1507,""))</f>
        <v>45316</v>
      </c>
      <c r="S1507" s="25" t="str">
        <f t="shared" si="71"/>
        <v>2024/1</v>
      </c>
      <c r="T1507" s="21">
        <f>IFERROR(
(VLOOKUP(MONTH(R1507),Meses!$B$3:$C$14,2,FALSE)-DAY(R1507))/VLOOKUP(MONTH(R1507),Meses!$B$3:$C$14,2,FALSE)*U1507,
"")</f>
        <v>0.19354838709677419</v>
      </c>
      <c r="U1507" s="22">
        <f t="shared" si="70"/>
        <v>1</v>
      </c>
    </row>
    <row r="1508" spans="1:21" ht="47.4" hidden="1" thickBot="1" x14ac:dyDescent="0.6">
      <c r="A1508" s="10" t="s">
        <v>1891</v>
      </c>
      <c r="B1508" s="10" t="s">
        <v>1912</v>
      </c>
      <c r="C1508" s="12">
        <v>45302</v>
      </c>
      <c r="D1508" s="10" t="s">
        <v>1207</v>
      </c>
      <c r="E1508" s="10" t="s">
        <v>23</v>
      </c>
      <c r="F1508" s="10">
        <v>60000</v>
      </c>
      <c r="G1508" s="10" t="s">
        <v>15</v>
      </c>
      <c r="H1508" s="10" t="s">
        <v>2406</v>
      </c>
      <c r="I1508" s="10" t="s">
        <v>66</v>
      </c>
      <c r="J1508" s="10" t="s">
        <v>292</v>
      </c>
      <c r="K1508" s="10" t="s">
        <v>293</v>
      </c>
      <c r="L1508" s="10" t="s">
        <v>279</v>
      </c>
      <c r="M1508" s="12"/>
      <c r="N1508" s="10" t="s">
        <v>15</v>
      </c>
      <c r="O1508" s="10" t="s">
        <v>2054</v>
      </c>
      <c r="P1508" s="25" t="str">
        <f>IFERROR(
IF(OR(O1508="anulado",O1508="stand by"),CONCATENATE(O1508,": ",H1508),
IF(OR(YEAR(M1508)=2022,YEAR(M1508)=2023),CONCATENATE("Se activó en ",YEAR(M1508)),
IF(AND(OR(O1508="En proceso",O1508="facturando"),AND(J1508="-",M1508="")),"Por revisar",
IF(M1508="",IF(J1508="NUEVAS",CONCATENATE("Estado: ",O1508,", ",J1508),
IF(L1508=Meses!$A$3,"Por revisar",
IF(H1508="","Sin registro","En programación Frcst."))),"En programación")))),
"Error")</f>
        <v>En programación Frcst.</v>
      </c>
      <c r="Q1508" s="9" t="str">
        <f t="shared" si="69"/>
        <v/>
      </c>
      <c r="R1508" s="25">
        <f>IF(P1508="En programación Frcst.",VLOOKUP(L1508,Meses!$A$1:$H$14,3+HLOOKUP(Cronograma!J1508,Meses!$D$1:$G$2,2,FALSE),FALSE),
IF(P1508="En programación",M1508,""))</f>
        <v>45316</v>
      </c>
      <c r="S1508" s="25" t="str">
        <f t="shared" si="71"/>
        <v>2024/1</v>
      </c>
      <c r="T1508" s="21">
        <f>IFERROR(
(VLOOKUP(MONTH(R1508),Meses!$B$3:$C$14,2,FALSE)-DAY(R1508))/VLOOKUP(MONTH(R1508),Meses!$B$3:$C$14,2,FALSE)*U1508,
"")</f>
        <v>11612.903225806451</v>
      </c>
      <c r="U1508" s="22">
        <f t="shared" si="70"/>
        <v>60000</v>
      </c>
    </row>
    <row r="1509" spans="1:21" ht="47.4" hidden="1" thickBot="1" x14ac:dyDescent="0.6">
      <c r="A1509" s="10" t="s">
        <v>1891</v>
      </c>
      <c r="B1509" s="10" t="s">
        <v>1913</v>
      </c>
      <c r="C1509" s="12"/>
      <c r="D1509" s="10" t="s">
        <v>1207</v>
      </c>
      <c r="E1509" s="10" t="s">
        <v>23</v>
      </c>
      <c r="F1509" s="10">
        <v>2100</v>
      </c>
      <c r="G1509" s="10" t="s">
        <v>15</v>
      </c>
      <c r="H1509" s="10" t="s">
        <v>140</v>
      </c>
      <c r="I1509" s="10" t="s">
        <v>66</v>
      </c>
      <c r="J1509" s="10" t="s">
        <v>292</v>
      </c>
      <c r="K1509" s="10" t="s">
        <v>1697</v>
      </c>
      <c r="L1509" s="10" t="s">
        <v>1120</v>
      </c>
      <c r="M1509" s="12">
        <v>45379</v>
      </c>
      <c r="N1509" s="10" t="s">
        <v>15</v>
      </c>
      <c r="O1509" s="10" t="s">
        <v>2056</v>
      </c>
      <c r="P1509" s="25" t="str">
        <f>IFERROR(
IF(OR(O1509="anulado",O1509="stand by"),CONCATENATE(O1509,": ",H1509),
IF(OR(YEAR(M1509)=2022,YEAR(M1509)=2023),CONCATENATE("Se activó en ",YEAR(M1509)),
IF(AND(OR(O1509="En proceso",O1509="facturando"),AND(J1509="-",M1509="")),"Por revisar",
IF(M1509="",IF(J1509="NUEVAS",CONCATENATE("Estado: ",O1509,", ",J1509),
IF(L1509=Meses!$A$3,"Por revisar",
IF(H1509="","Sin registro","En programación Frcst."))),"En programación")))),
"Error")</f>
        <v>anulado: Desistido</v>
      </c>
      <c r="Q1509" s="9" t="str">
        <f t="shared" si="69"/>
        <v/>
      </c>
      <c r="R1509" s="25" t="str">
        <f>IF(P1509="En programación Frcst.",VLOOKUP(L1509,Meses!$A$1:$H$14,3+HLOOKUP(Cronograma!J1509,Meses!$D$1:$G$2,2,FALSE),FALSE),
IF(P1509="En programación",M1509,""))</f>
        <v/>
      </c>
      <c r="S1509" s="25" t="str">
        <f t="shared" si="71"/>
        <v/>
      </c>
      <c r="T1509" s="21" t="str">
        <f>IFERROR(
(VLOOKUP(MONTH(R1509),Meses!$B$3:$C$14,2,FALSE)-DAY(R1509))/VLOOKUP(MONTH(R1509),Meses!$B$3:$C$14,2,FALSE)*U1509,
"")</f>
        <v/>
      </c>
      <c r="U1509" s="22">
        <f t="shared" si="70"/>
        <v>2100</v>
      </c>
    </row>
    <row r="1510" spans="1:21" ht="47.4" hidden="1" thickBot="1" x14ac:dyDescent="0.6">
      <c r="A1510" s="10" t="s">
        <v>1891</v>
      </c>
      <c r="B1510" s="10" t="s">
        <v>1914</v>
      </c>
      <c r="C1510" s="12"/>
      <c r="D1510" s="10" t="s">
        <v>1207</v>
      </c>
      <c r="E1510" s="10" t="s">
        <v>23</v>
      </c>
      <c r="F1510" s="10">
        <v>1</v>
      </c>
      <c r="G1510" s="10" t="s">
        <v>15</v>
      </c>
      <c r="H1510" s="10" t="s">
        <v>140</v>
      </c>
      <c r="I1510" s="10" t="s">
        <v>66</v>
      </c>
      <c r="J1510" s="10" t="s">
        <v>292</v>
      </c>
      <c r="K1510" s="10" t="s">
        <v>1697</v>
      </c>
      <c r="L1510" s="10" t="s">
        <v>1120</v>
      </c>
      <c r="M1510" s="12">
        <v>45379</v>
      </c>
      <c r="N1510" s="10" t="s">
        <v>15</v>
      </c>
      <c r="O1510" s="10" t="s">
        <v>2056</v>
      </c>
      <c r="P1510" s="25" t="str">
        <f>IFERROR(
IF(OR(O1510="anulado",O1510="stand by"),CONCATENATE(O1510,": ",H1510),
IF(OR(YEAR(M1510)=2022,YEAR(M1510)=2023),CONCATENATE("Se activó en ",YEAR(M1510)),
IF(AND(OR(O1510="En proceso",O1510="facturando"),AND(J1510="-",M1510="")),"Por revisar",
IF(M1510="",IF(J1510="NUEVAS",CONCATENATE("Estado: ",O1510,", ",J1510),
IF(L1510=Meses!$A$3,"Por revisar",
IF(H1510="","Sin registro","En programación Frcst."))),"En programación")))),
"Error")</f>
        <v>anulado: Desistido</v>
      </c>
      <c r="Q1510" s="9" t="str">
        <f t="shared" si="69"/>
        <v/>
      </c>
      <c r="R1510" s="25" t="str">
        <f>IF(P1510="En programación Frcst.",VLOOKUP(L1510,Meses!$A$1:$H$14,3+HLOOKUP(Cronograma!J1510,Meses!$D$1:$G$2,2,FALSE),FALSE),
IF(P1510="En programación",M1510,""))</f>
        <v/>
      </c>
      <c r="S1510" s="25" t="str">
        <f t="shared" si="71"/>
        <v/>
      </c>
      <c r="T1510" s="21" t="str">
        <f>IFERROR(
(VLOOKUP(MONTH(R1510),Meses!$B$3:$C$14,2,FALSE)-DAY(R1510))/VLOOKUP(MONTH(R1510),Meses!$B$3:$C$14,2,FALSE)*U1510,
"")</f>
        <v/>
      </c>
      <c r="U1510" s="22">
        <f t="shared" si="70"/>
        <v>1</v>
      </c>
    </row>
    <row r="1511" spans="1:21" ht="47.4" hidden="1" thickBot="1" x14ac:dyDescent="0.6">
      <c r="A1511" s="10" t="s">
        <v>1891</v>
      </c>
      <c r="B1511" s="10" t="s">
        <v>1915</v>
      </c>
      <c r="C1511" s="12"/>
      <c r="D1511" s="10" t="s">
        <v>1207</v>
      </c>
      <c r="E1511" s="10" t="s">
        <v>23</v>
      </c>
      <c r="F1511" s="10">
        <v>500</v>
      </c>
      <c r="G1511" s="10" t="s">
        <v>15</v>
      </c>
      <c r="H1511" s="10" t="s">
        <v>140</v>
      </c>
      <c r="I1511" s="10" t="s">
        <v>66</v>
      </c>
      <c r="J1511" s="10" t="s">
        <v>292</v>
      </c>
      <c r="K1511" s="10" t="s">
        <v>1697</v>
      </c>
      <c r="L1511" s="10" t="s">
        <v>1120</v>
      </c>
      <c r="M1511" s="12">
        <v>45379</v>
      </c>
      <c r="N1511" s="10" t="s">
        <v>15</v>
      </c>
      <c r="O1511" s="10" t="s">
        <v>2056</v>
      </c>
      <c r="P1511" s="25" t="str">
        <f>IFERROR(
IF(OR(O1511="anulado",O1511="stand by"),CONCATENATE(O1511,": ",H1511),
IF(OR(YEAR(M1511)=2022,YEAR(M1511)=2023),CONCATENATE("Se activó en ",YEAR(M1511)),
IF(AND(OR(O1511="En proceso",O1511="facturando"),AND(J1511="-",M1511="")),"Por revisar",
IF(M1511="",IF(J1511="NUEVAS",CONCATENATE("Estado: ",O1511,", ",J1511),
IF(L1511=Meses!$A$3,"Por revisar",
IF(H1511="","Sin registro","En programación Frcst."))),"En programación")))),
"Error")</f>
        <v>anulado: Desistido</v>
      </c>
      <c r="Q1511" s="9" t="str">
        <f t="shared" si="69"/>
        <v/>
      </c>
      <c r="R1511" s="25" t="str">
        <f>IF(P1511="En programación Frcst.",VLOOKUP(L1511,Meses!$A$1:$H$14,3+HLOOKUP(Cronograma!J1511,Meses!$D$1:$G$2,2,FALSE),FALSE),
IF(P1511="En programación",M1511,""))</f>
        <v/>
      </c>
      <c r="S1511" s="25" t="str">
        <f t="shared" si="71"/>
        <v/>
      </c>
      <c r="T1511" s="21" t="str">
        <f>IFERROR(
(VLOOKUP(MONTH(R1511),Meses!$B$3:$C$14,2,FALSE)-DAY(R1511))/VLOOKUP(MONTH(R1511),Meses!$B$3:$C$14,2,FALSE)*U1511,
"")</f>
        <v/>
      </c>
      <c r="U1511" s="22">
        <f t="shared" si="70"/>
        <v>500</v>
      </c>
    </row>
    <row r="1512" spans="1:21" ht="47.4" hidden="1" thickBot="1" x14ac:dyDescent="0.6">
      <c r="A1512" s="10" t="s">
        <v>1891</v>
      </c>
      <c r="B1512" s="10" t="s">
        <v>1916</v>
      </c>
      <c r="C1512" s="12">
        <v>45302</v>
      </c>
      <c r="D1512" s="10" t="s">
        <v>1207</v>
      </c>
      <c r="E1512" s="10" t="s">
        <v>23</v>
      </c>
      <c r="F1512" s="10">
        <v>200</v>
      </c>
      <c r="G1512" s="10" t="s">
        <v>15</v>
      </c>
      <c r="H1512" s="10" t="s">
        <v>3311</v>
      </c>
      <c r="I1512" s="10" t="s">
        <v>66</v>
      </c>
      <c r="J1512" s="10" t="s">
        <v>292</v>
      </c>
      <c r="K1512" s="10" t="s">
        <v>293</v>
      </c>
      <c r="L1512" s="10" t="s">
        <v>279</v>
      </c>
      <c r="M1512" s="12"/>
      <c r="N1512" s="10" t="s">
        <v>15</v>
      </c>
      <c r="O1512" s="10" t="s">
        <v>3311</v>
      </c>
      <c r="P1512" s="25" t="str">
        <f>IFERROR(
IF(OR(O1512="anulado",O1512="stand by"),CONCATENATE(O1512,": ",H1512),
IF(OR(YEAR(M1512)=2022,YEAR(M1512)=2023),CONCATENATE("Se activó en ",YEAR(M1512)),
IF(AND(OR(O1512="En proceso",O1512="facturando"),AND(J1512="-",M1512="")),"Por revisar",
IF(M1512="",IF(J1512="NUEVAS",CONCATENATE("Estado: ",O1512,", ",J1512),
IF(L1512=Meses!$A$3,"Por revisar",
IF(H1512="","Sin registro","En programación Frcst."))),"En programación")))),
"Error")</f>
        <v>En programación Frcst.</v>
      </c>
      <c r="Q1512" s="9" t="str">
        <f t="shared" si="69"/>
        <v/>
      </c>
      <c r="R1512" s="25">
        <f>IF(P1512="En programación Frcst.",VLOOKUP(L1512,Meses!$A$1:$H$14,3+HLOOKUP(Cronograma!J1512,Meses!$D$1:$G$2,2,FALSE),FALSE),
IF(P1512="En programación",M1512,""))</f>
        <v>45316</v>
      </c>
      <c r="S1512" s="25" t="str">
        <f t="shared" si="71"/>
        <v>2024/1</v>
      </c>
      <c r="T1512" s="21">
        <f>IFERROR(
(VLOOKUP(MONTH(R1512),Meses!$B$3:$C$14,2,FALSE)-DAY(R1512))/VLOOKUP(MONTH(R1512),Meses!$B$3:$C$14,2,FALSE)*U1512,
"")</f>
        <v>38.70967741935484</v>
      </c>
      <c r="U1512" s="22">
        <f t="shared" si="70"/>
        <v>200</v>
      </c>
    </row>
    <row r="1513" spans="1:21" ht="47.4" hidden="1" thickBot="1" x14ac:dyDescent="0.6">
      <c r="A1513" s="10" t="s">
        <v>1891</v>
      </c>
      <c r="B1513" s="10" t="s">
        <v>1917</v>
      </c>
      <c r="C1513" s="12"/>
      <c r="D1513" s="10" t="s">
        <v>1207</v>
      </c>
      <c r="E1513" s="10" t="s">
        <v>23</v>
      </c>
      <c r="F1513" s="10">
        <v>1000</v>
      </c>
      <c r="G1513" s="10" t="s">
        <v>15</v>
      </c>
      <c r="H1513" s="10" t="s">
        <v>140</v>
      </c>
      <c r="I1513" s="10" t="s">
        <v>66</v>
      </c>
      <c r="J1513" s="10" t="s">
        <v>292</v>
      </c>
      <c r="K1513" s="10" t="s">
        <v>1697</v>
      </c>
      <c r="L1513" s="10" t="s">
        <v>1120</v>
      </c>
      <c r="M1513" s="12">
        <v>45379</v>
      </c>
      <c r="N1513" s="10" t="s">
        <v>15</v>
      </c>
      <c r="O1513" s="10" t="s">
        <v>2056</v>
      </c>
      <c r="P1513" s="25" t="str">
        <f>IFERROR(
IF(OR(O1513="anulado",O1513="stand by"),CONCATENATE(O1513,": ",H1513),
IF(OR(YEAR(M1513)=2022,YEAR(M1513)=2023),CONCATENATE("Se activó en ",YEAR(M1513)),
IF(AND(OR(O1513="En proceso",O1513="facturando"),AND(J1513="-",M1513="")),"Por revisar",
IF(M1513="",IF(J1513="NUEVAS",CONCATENATE("Estado: ",O1513,", ",J1513),
IF(L1513=Meses!$A$3,"Por revisar",
IF(H1513="","Sin registro","En programación Frcst."))),"En programación")))),
"Error")</f>
        <v>anulado: Desistido</v>
      </c>
      <c r="Q1513" s="9" t="str">
        <f t="shared" si="69"/>
        <v/>
      </c>
      <c r="R1513" s="25" t="str">
        <f>IF(P1513="En programación Frcst.",VLOOKUP(L1513,Meses!$A$1:$H$14,3+HLOOKUP(Cronograma!J1513,Meses!$D$1:$G$2,2,FALSE),FALSE),
IF(P1513="En programación",M1513,""))</f>
        <v/>
      </c>
      <c r="S1513" s="25" t="str">
        <f t="shared" si="71"/>
        <v/>
      </c>
      <c r="T1513" s="21" t="str">
        <f>IFERROR(
(VLOOKUP(MONTH(R1513),Meses!$B$3:$C$14,2,FALSE)-DAY(R1513))/VLOOKUP(MONTH(R1513),Meses!$B$3:$C$14,2,FALSE)*U1513,
"")</f>
        <v/>
      </c>
      <c r="U1513" s="22">
        <f t="shared" si="70"/>
        <v>1000</v>
      </c>
    </row>
    <row r="1514" spans="1:21" ht="47.4" hidden="1" thickBot="1" x14ac:dyDescent="0.6">
      <c r="A1514" s="10" t="s">
        <v>1891</v>
      </c>
      <c r="B1514" s="10" t="s">
        <v>1918</v>
      </c>
      <c r="C1514" s="12"/>
      <c r="D1514" s="10" t="s">
        <v>1207</v>
      </c>
      <c r="E1514" s="10" t="s">
        <v>23</v>
      </c>
      <c r="F1514" s="10">
        <v>400</v>
      </c>
      <c r="G1514" s="10" t="s">
        <v>15</v>
      </c>
      <c r="H1514" s="10" t="s">
        <v>140</v>
      </c>
      <c r="I1514" s="10" t="s">
        <v>66</v>
      </c>
      <c r="J1514" s="10" t="s">
        <v>292</v>
      </c>
      <c r="K1514" s="10" t="s">
        <v>1697</v>
      </c>
      <c r="L1514" s="10" t="s">
        <v>1120</v>
      </c>
      <c r="M1514" s="12">
        <v>45379</v>
      </c>
      <c r="N1514" s="10" t="s">
        <v>15</v>
      </c>
      <c r="O1514" s="10" t="s">
        <v>2056</v>
      </c>
      <c r="P1514" s="25" t="str">
        <f>IFERROR(
IF(OR(O1514="anulado",O1514="stand by"),CONCATENATE(O1514,": ",H1514),
IF(OR(YEAR(M1514)=2022,YEAR(M1514)=2023),CONCATENATE("Se activó en ",YEAR(M1514)),
IF(AND(OR(O1514="En proceso",O1514="facturando"),AND(J1514="-",M1514="")),"Por revisar",
IF(M1514="",IF(J1514="NUEVAS",CONCATENATE("Estado: ",O1514,", ",J1514),
IF(L1514=Meses!$A$3,"Por revisar",
IF(H1514="","Sin registro","En programación Frcst."))),"En programación")))),
"Error")</f>
        <v>anulado: Desistido</v>
      </c>
      <c r="Q1514" s="9" t="str">
        <f t="shared" si="69"/>
        <v/>
      </c>
      <c r="R1514" s="25" t="str">
        <f>IF(P1514="En programación Frcst.",VLOOKUP(L1514,Meses!$A$1:$H$14,3+HLOOKUP(Cronograma!J1514,Meses!$D$1:$G$2,2,FALSE),FALSE),
IF(P1514="En programación",M1514,""))</f>
        <v/>
      </c>
      <c r="S1514" s="25" t="str">
        <f t="shared" si="71"/>
        <v/>
      </c>
      <c r="T1514" s="21" t="str">
        <f>IFERROR(
(VLOOKUP(MONTH(R1514),Meses!$B$3:$C$14,2,FALSE)-DAY(R1514))/VLOOKUP(MONTH(R1514),Meses!$B$3:$C$14,2,FALSE)*U1514,
"")</f>
        <v/>
      </c>
      <c r="U1514" s="22">
        <f t="shared" si="70"/>
        <v>400</v>
      </c>
    </row>
    <row r="1515" spans="1:21" ht="47.4" hidden="1" thickBot="1" x14ac:dyDescent="0.6">
      <c r="A1515" s="10" t="s">
        <v>1891</v>
      </c>
      <c r="B1515" s="10" t="s">
        <v>1919</v>
      </c>
      <c r="C1515" s="12">
        <v>45302</v>
      </c>
      <c r="D1515" s="10" t="s">
        <v>1207</v>
      </c>
      <c r="E1515" s="10" t="s">
        <v>23</v>
      </c>
      <c r="F1515" s="10">
        <v>1200</v>
      </c>
      <c r="G1515" s="10" t="s">
        <v>15</v>
      </c>
      <c r="H1515" s="10" t="s">
        <v>3311</v>
      </c>
      <c r="I1515" s="10" t="s">
        <v>66</v>
      </c>
      <c r="J1515" s="10" t="s">
        <v>292</v>
      </c>
      <c r="K1515" s="10" t="s">
        <v>293</v>
      </c>
      <c r="L1515" s="10" t="s">
        <v>279</v>
      </c>
      <c r="M1515" s="12"/>
      <c r="N1515" s="10" t="s">
        <v>15</v>
      </c>
      <c r="O1515" s="10" t="s">
        <v>3311</v>
      </c>
      <c r="P1515" s="25" t="str">
        <f>IFERROR(
IF(OR(O1515="anulado",O1515="stand by"),CONCATENATE(O1515,": ",H1515),
IF(OR(YEAR(M1515)=2022,YEAR(M1515)=2023),CONCATENATE("Se activó en ",YEAR(M1515)),
IF(AND(OR(O1515="En proceso",O1515="facturando"),AND(J1515="-",M1515="")),"Por revisar",
IF(M1515="",IF(J1515="NUEVAS",CONCATENATE("Estado: ",O1515,", ",J1515),
IF(L1515=Meses!$A$3,"Por revisar",
IF(H1515="","Sin registro","En programación Frcst."))),"En programación")))),
"Error")</f>
        <v>En programación Frcst.</v>
      </c>
      <c r="Q1515" s="9" t="str">
        <f t="shared" si="69"/>
        <v/>
      </c>
      <c r="R1515" s="25">
        <f>IF(P1515="En programación Frcst.",VLOOKUP(L1515,Meses!$A$1:$H$14,3+HLOOKUP(Cronograma!J1515,Meses!$D$1:$G$2,2,FALSE),FALSE),
IF(P1515="En programación",M1515,""))</f>
        <v>45316</v>
      </c>
      <c r="S1515" s="25" t="str">
        <f t="shared" si="71"/>
        <v>2024/1</v>
      </c>
      <c r="T1515" s="21">
        <f>IFERROR(
(VLOOKUP(MONTH(R1515),Meses!$B$3:$C$14,2,FALSE)-DAY(R1515))/VLOOKUP(MONTH(R1515),Meses!$B$3:$C$14,2,FALSE)*U1515,
"")</f>
        <v>232.25806451612902</v>
      </c>
      <c r="U1515" s="22">
        <f t="shared" si="70"/>
        <v>1200</v>
      </c>
    </row>
    <row r="1516" spans="1:21" ht="47.4" hidden="1" thickBot="1" x14ac:dyDescent="0.6">
      <c r="A1516" s="10" t="s">
        <v>1891</v>
      </c>
      <c r="B1516" s="10" t="s">
        <v>1920</v>
      </c>
      <c r="C1516" s="12"/>
      <c r="D1516" s="10" t="s">
        <v>1207</v>
      </c>
      <c r="E1516" s="10" t="s">
        <v>23</v>
      </c>
      <c r="F1516" s="10">
        <v>150</v>
      </c>
      <c r="G1516" s="10" t="s">
        <v>15</v>
      </c>
      <c r="H1516" s="10" t="s">
        <v>140</v>
      </c>
      <c r="I1516" s="10" t="s">
        <v>66</v>
      </c>
      <c r="J1516" s="10" t="s">
        <v>292</v>
      </c>
      <c r="K1516" s="10" t="s">
        <v>1697</v>
      </c>
      <c r="L1516" s="10" t="s">
        <v>1120</v>
      </c>
      <c r="M1516" s="12">
        <v>45379</v>
      </c>
      <c r="N1516" s="10" t="s">
        <v>15</v>
      </c>
      <c r="O1516" s="10" t="s">
        <v>2056</v>
      </c>
      <c r="P1516" s="25" t="str">
        <f>IFERROR(
IF(OR(O1516="anulado",O1516="stand by"),CONCATENATE(O1516,": ",H1516),
IF(OR(YEAR(M1516)=2022,YEAR(M1516)=2023),CONCATENATE("Se activó en ",YEAR(M1516)),
IF(AND(OR(O1516="En proceso",O1516="facturando"),AND(J1516="-",M1516="")),"Por revisar",
IF(M1516="",IF(J1516="NUEVAS",CONCATENATE("Estado: ",O1516,", ",J1516),
IF(L1516=Meses!$A$3,"Por revisar",
IF(H1516="","Sin registro","En programación Frcst."))),"En programación")))),
"Error")</f>
        <v>anulado: Desistido</v>
      </c>
      <c r="Q1516" s="9" t="str">
        <f t="shared" si="69"/>
        <v/>
      </c>
      <c r="R1516" s="25" t="str">
        <f>IF(P1516="En programación Frcst.",VLOOKUP(L1516,Meses!$A$1:$H$14,3+HLOOKUP(Cronograma!J1516,Meses!$D$1:$G$2,2,FALSE),FALSE),
IF(P1516="En programación",M1516,""))</f>
        <v/>
      </c>
      <c r="S1516" s="25" t="str">
        <f t="shared" si="71"/>
        <v/>
      </c>
      <c r="T1516" s="21" t="str">
        <f>IFERROR(
(VLOOKUP(MONTH(R1516),Meses!$B$3:$C$14,2,FALSE)-DAY(R1516))/VLOOKUP(MONTH(R1516),Meses!$B$3:$C$14,2,FALSE)*U1516,
"")</f>
        <v/>
      </c>
      <c r="U1516" s="22">
        <f t="shared" si="70"/>
        <v>150</v>
      </c>
    </row>
    <row r="1517" spans="1:21" ht="47.4" hidden="1" thickBot="1" x14ac:dyDescent="0.6">
      <c r="A1517" s="10" t="s">
        <v>1891</v>
      </c>
      <c r="B1517" s="10" t="s">
        <v>1921</v>
      </c>
      <c r="C1517" s="12"/>
      <c r="D1517" s="10" t="s">
        <v>1207</v>
      </c>
      <c r="E1517" s="10" t="s">
        <v>23</v>
      </c>
      <c r="F1517" s="10">
        <v>140</v>
      </c>
      <c r="G1517" s="10" t="s">
        <v>15</v>
      </c>
      <c r="H1517" s="10" t="s">
        <v>140</v>
      </c>
      <c r="I1517" s="10" t="s">
        <v>66</v>
      </c>
      <c r="J1517" s="10" t="s">
        <v>292</v>
      </c>
      <c r="K1517" s="10" t="s">
        <v>1697</v>
      </c>
      <c r="L1517" s="10" t="s">
        <v>1120</v>
      </c>
      <c r="M1517" s="12">
        <v>45379</v>
      </c>
      <c r="N1517" s="10" t="s">
        <v>15</v>
      </c>
      <c r="O1517" s="10" t="s">
        <v>2056</v>
      </c>
      <c r="P1517" s="25" t="str">
        <f>IFERROR(
IF(OR(O1517="anulado",O1517="stand by"),CONCATENATE(O1517,": ",H1517),
IF(OR(YEAR(M1517)=2022,YEAR(M1517)=2023),CONCATENATE("Se activó en ",YEAR(M1517)),
IF(AND(OR(O1517="En proceso",O1517="facturando"),AND(J1517="-",M1517="")),"Por revisar",
IF(M1517="",IF(J1517="NUEVAS",CONCATENATE("Estado: ",O1517,", ",J1517),
IF(L1517=Meses!$A$3,"Por revisar",
IF(H1517="","Sin registro","En programación Frcst."))),"En programación")))),
"Error")</f>
        <v>anulado: Desistido</v>
      </c>
      <c r="Q1517" s="9" t="str">
        <f t="shared" si="69"/>
        <v/>
      </c>
      <c r="R1517" s="25" t="str">
        <f>IF(P1517="En programación Frcst.",VLOOKUP(L1517,Meses!$A$1:$H$14,3+HLOOKUP(Cronograma!J1517,Meses!$D$1:$G$2,2,FALSE),FALSE),
IF(P1517="En programación",M1517,""))</f>
        <v/>
      </c>
      <c r="S1517" s="25" t="str">
        <f t="shared" si="71"/>
        <v/>
      </c>
      <c r="T1517" s="21" t="str">
        <f>IFERROR(
(VLOOKUP(MONTH(R1517),Meses!$B$3:$C$14,2,FALSE)-DAY(R1517))/VLOOKUP(MONTH(R1517),Meses!$B$3:$C$14,2,FALSE)*U1517,
"")</f>
        <v/>
      </c>
      <c r="U1517" s="22">
        <f t="shared" si="70"/>
        <v>140</v>
      </c>
    </row>
    <row r="1518" spans="1:21" ht="47.4" hidden="1" thickBot="1" x14ac:dyDescent="0.6">
      <c r="A1518" s="10" t="s">
        <v>1891</v>
      </c>
      <c r="B1518" s="10" t="s">
        <v>1922</v>
      </c>
      <c r="C1518" s="12">
        <v>45302</v>
      </c>
      <c r="D1518" s="10" t="s">
        <v>1207</v>
      </c>
      <c r="E1518" s="10" t="s">
        <v>23</v>
      </c>
      <c r="F1518" s="10">
        <v>350</v>
      </c>
      <c r="G1518" s="10" t="s">
        <v>15</v>
      </c>
      <c r="H1518" s="10" t="s">
        <v>2406</v>
      </c>
      <c r="I1518" s="10" t="s">
        <v>66</v>
      </c>
      <c r="J1518" s="10" t="s">
        <v>292</v>
      </c>
      <c r="K1518" s="10" t="s">
        <v>293</v>
      </c>
      <c r="L1518" s="10" t="s">
        <v>279</v>
      </c>
      <c r="M1518" s="12"/>
      <c r="N1518" s="10" t="s">
        <v>15</v>
      </c>
      <c r="O1518" s="10" t="s">
        <v>2054</v>
      </c>
      <c r="P1518" s="25" t="str">
        <f>IFERROR(
IF(OR(O1518="anulado",O1518="stand by"),CONCATENATE(O1518,": ",H1518),
IF(OR(YEAR(M1518)=2022,YEAR(M1518)=2023),CONCATENATE("Se activó en ",YEAR(M1518)),
IF(AND(OR(O1518="En proceso",O1518="facturando"),AND(J1518="-",M1518="")),"Por revisar",
IF(M1518="",IF(J1518="NUEVAS",CONCATENATE("Estado: ",O1518,", ",J1518),
IF(L1518=Meses!$A$3,"Por revisar",
IF(H1518="","Sin registro","En programación Frcst."))),"En programación")))),
"Error")</f>
        <v>En programación Frcst.</v>
      </c>
      <c r="Q1518" s="9" t="str">
        <f t="shared" si="69"/>
        <v/>
      </c>
      <c r="R1518" s="25">
        <f>IF(P1518="En programación Frcst.",VLOOKUP(L1518,Meses!$A$1:$H$14,3+HLOOKUP(Cronograma!J1518,Meses!$D$1:$G$2,2,FALSE),FALSE),
IF(P1518="En programación",M1518,""))</f>
        <v>45316</v>
      </c>
      <c r="S1518" s="25" t="str">
        <f t="shared" si="71"/>
        <v>2024/1</v>
      </c>
      <c r="T1518" s="21">
        <f>IFERROR(
(VLOOKUP(MONTH(R1518),Meses!$B$3:$C$14,2,FALSE)-DAY(R1518))/VLOOKUP(MONTH(R1518),Meses!$B$3:$C$14,2,FALSE)*U1518,
"")</f>
        <v>67.741935483870961</v>
      </c>
      <c r="U1518" s="22">
        <f t="shared" si="70"/>
        <v>350</v>
      </c>
    </row>
    <row r="1519" spans="1:21" ht="47.4" hidden="1" thickBot="1" x14ac:dyDescent="0.6">
      <c r="A1519" s="10" t="s">
        <v>1891</v>
      </c>
      <c r="B1519" s="10" t="s">
        <v>1923</v>
      </c>
      <c r="C1519" s="12">
        <v>45302</v>
      </c>
      <c r="D1519" s="10" t="s">
        <v>1207</v>
      </c>
      <c r="E1519" s="10" t="s">
        <v>23</v>
      </c>
      <c r="F1519" s="10">
        <v>350</v>
      </c>
      <c r="G1519" s="10" t="s">
        <v>15</v>
      </c>
      <c r="H1519" s="10" t="s">
        <v>2406</v>
      </c>
      <c r="I1519" s="10" t="s">
        <v>66</v>
      </c>
      <c r="J1519" s="10" t="s">
        <v>292</v>
      </c>
      <c r="K1519" s="10" t="s">
        <v>293</v>
      </c>
      <c r="L1519" s="10" t="s">
        <v>279</v>
      </c>
      <c r="M1519" s="12"/>
      <c r="N1519" s="10" t="s">
        <v>15</v>
      </c>
      <c r="O1519" s="10" t="s">
        <v>2054</v>
      </c>
      <c r="P1519" s="25" t="str">
        <f>IFERROR(
IF(OR(O1519="anulado",O1519="stand by"),CONCATENATE(O1519,": ",H1519),
IF(OR(YEAR(M1519)=2022,YEAR(M1519)=2023),CONCATENATE("Se activó en ",YEAR(M1519)),
IF(AND(OR(O1519="En proceso",O1519="facturando"),AND(J1519="-",M1519="")),"Por revisar",
IF(M1519="",IF(J1519="NUEVAS",CONCATENATE("Estado: ",O1519,", ",J1519),
IF(L1519=Meses!$A$3,"Por revisar",
IF(H1519="","Sin registro","En programación Frcst."))),"En programación")))),
"Error")</f>
        <v>En programación Frcst.</v>
      </c>
      <c r="Q1519" s="9" t="str">
        <f t="shared" si="69"/>
        <v/>
      </c>
      <c r="R1519" s="25">
        <f>IF(P1519="En programación Frcst.",VLOOKUP(L1519,Meses!$A$1:$H$14,3+HLOOKUP(Cronograma!J1519,Meses!$D$1:$G$2,2,FALSE),FALSE),
IF(P1519="En programación",M1519,""))</f>
        <v>45316</v>
      </c>
      <c r="S1519" s="25" t="str">
        <f t="shared" si="71"/>
        <v>2024/1</v>
      </c>
      <c r="T1519" s="21">
        <f>IFERROR(
(VLOOKUP(MONTH(R1519),Meses!$B$3:$C$14,2,FALSE)-DAY(R1519))/VLOOKUP(MONTH(R1519),Meses!$B$3:$C$14,2,FALSE)*U1519,
"")</f>
        <v>67.741935483870961</v>
      </c>
      <c r="U1519" s="22">
        <f t="shared" si="70"/>
        <v>350</v>
      </c>
    </row>
    <row r="1520" spans="1:21" ht="47.4" hidden="1" thickBot="1" x14ac:dyDescent="0.6">
      <c r="A1520" s="10" t="s">
        <v>1891</v>
      </c>
      <c r="B1520" s="10" t="s">
        <v>1924</v>
      </c>
      <c r="C1520" s="12">
        <v>45302</v>
      </c>
      <c r="D1520" s="10" t="s">
        <v>1207</v>
      </c>
      <c r="E1520" s="10" t="s">
        <v>23</v>
      </c>
      <c r="F1520" s="10">
        <v>9500</v>
      </c>
      <c r="G1520" s="10" t="s">
        <v>15</v>
      </c>
      <c r="H1520" s="10" t="s">
        <v>2406</v>
      </c>
      <c r="I1520" s="10" t="s">
        <v>66</v>
      </c>
      <c r="J1520" s="10" t="s">
        <v>292</v>
      </c>
      <c r="K1520" s="10" t="s">
        <v>293</v>
      </c>
      <c r="L1520" s="10" t="s">
        <v>279</v>
      </c>
      <c r="M1520" s="12"/>
      <c r="N1520" s="10" t="s">
        <v>15</v>
      </c>
      <c r="O1520" s="10" t="s">
        <v>2054</v>
      </c>
      <c r="P1520" s="25" t="str">
        <f>IFERROR(
IF(OR(O1520="anulado",O1520="stand by"),CONCATENATE(O1520,": ",H1520),
IF(OR(YEAR(M1520)=2022,YEAR(M1520)=2023),CONCATENATE("Se activó en ",YEAR(M1520)),
IF(AND(OR(O1520="En proceso",O1520="facturando"),AND(J1520="-",M1520="")),"Por revisar",
IF(M1520="",IF(J1520="NUEVAS",CONCATENATE("Estado: ",O1520,", ",J1520),
IF(L1520=Meses!$A$3,"Por revisar",
IF(H1520="","Sin registro","En programación Frcst."))),"En programación")))),
"Error")</f>
        <v>En programación Frcst.</v>
      </c>
      <c r="Q1520" s="9" t="str">
        <f t="shared" si="69"/>
        <v/>
      </c>
      <c r="R1520" s="25">
        <f>IF(P1520="En programación Frcst.",VLOOKUP(L1520,Meses!$A$1:$H$14,3+HLOOKUP(Cronograma!J1520,Meses!$D$1:$G$2,2,FALSE),FALSE),
IF(P1520="En programación",M1520,""))</f>
        <v>45316</v>
      </c>
      <c r="S1520" s="25" t="str">
        <f t="shared" si="71"/>
        <v>2024/1</v>
      </c>
      <c r="T1520" s="21">
        <f>IFERROR(
(VLOOKUP(MONTH(R1520),Meses!$B$3:$C$14,2,FALSE)-DAY(R1520))/VLOOKUP(MONTH(R1520),Meses!$B$3:$C$14,2,FALSE)*U1520,
"")</f>
        <v>1838.7096774193549</v>
      </c>
      <c r="U1520" s="22">
        <f t="shared" si="70"/>
        <v>9500</v>
      </c>
    </row>
    <row r="1521" spans="1:21" ht="47.4" hidden="1" thickBot="1" x14ac:dyDescent="0.6">
      <c r="A1521" s="10" t="s">
        <v>1891</v>
      </c>
      <c r="B1521" s="10" t="s">
        <v>1925</v>
      </c>
      <c r="C1521" s="12">
        <v>45302</v>
      </c>
      <c r="D1521" s="10" t="s">
        <v>1207</v>
      </c>
      <c r="E1521" s="10" t="s">
        <v>23</v>
      </c>
      <c r="F1521" s="10">
        <v>100</v>
      </c>
      <c r="G1521" s="10" t="s">
        <v>15</v>
      </c>
      <c r="H1521" s="10" t="s">
        <v>2406</v>
      </c>
      <c r="I1521" s="10" t="s">
        <v>66</v>
      </c>
      <c r="J1521" s="10" t="s">
        <v>292</v>
      </c>
      <c r="K1521" s="10" t="s">
        <v>293</v>
      </c>
      <c r="L1521" s="10" t="s">
        <v>279</v>
      </c>
      <c r="M1521" s="12"/>
      <c r="N1521" s="10" t="s">
        <v>15</v>
      </c>
      <c r="O1521" s="10" t="s">
        <v>2054</v>
      </c>
      <c r="P1521" s="25" t="str">
        <f>IFERROR(
IF(OR(O1521="anulado",O1521="stand by"),CONCATENATE(O1521,": ",H1521),
IF(OR(YEAR(M1521)=2022,YEAR(M1521)=2023),CONCATENATE("Se activó en ",YEAR(M1521)),
IF(AND(OR(O1521="En proceso",O1521="facturando"),AND(J1521="-",M1521="")),"Por revisar",
IF(M1521="",IF(J1521="NUEVAS",CONCATENATE("Estado: ",O1521,", ",J1521),
IF(L1521=Meses!$A$3,"Por revisar",
IF(H1521="","Sin registro","En programación Frcst."))),"En programación")))),
"Error")</f>
        <v>En programación Frcst.</v>
      </c>
      <c r="Q1521" s="9" t="str">
        <f t="shared" si="69"/>
        <v/>
      </c>
      <c r="R1521" s="25">
        <f>IF(P1521="En programación Frcst.",VLOOKUP(L1521,Meses!$A$1:$H$14,3+HLOOKUP(Cronograma!J1521,Meses!$D$1:$G$2,2,FALSE),FALSE),
IF(P1521="En programación",M1521,""))</f>
        <v>45316</v>
      </c>
      <c r="S1521" s="25" t="str">
        <f t="shared" si="71"/>
        <v>2024/1</v>
      </c>
      <c r="T1521" s="21">
        <f>IFERROR(
(VLOOKUP(MONTH(R1521),Meses!$B$3:$C$14,2,FALSE)-DAY(R1521))/VLOOKUP(MONTH(R1521),Meses!$B$3:$C$14,2,FALSE)*U1521,
"")</f>
        <v>19.35483870967742</v>
      </c>
      <c r="U1521" s="22">
        <f t="shared" si="70"/>
        <v>100</v>
      </c>
    </row>
    <row r="1522" spans="1:21" ht="47.4" hidden="1" thickBot="1" x14ac:dyDescent="0.6">
      <c r="A1522" s="10" t="s">
        <v>1891</v>
      </c>
      <c r="B1522" s="10" t="s">
        <v>1926</v>
      </c>
      <c r="C1522" s="12"/>
      <c r="D1522" s="10" t="s">
        <v>1207</v>
      </c>
      <c r="E1522" s="10" t="s">
        <v>23</v>
      </c>
      <c r="F1522" s="10">
        <v>100</v>
      </c>
      <c r="G1522" s="10" t="s">
        <v>15</v>
      </c>
      <c r="H1522" s="10" t="s">
        <v>140</v>
      </c>
      <c r="I1522" s="10" t="s">
        <v>66</v>
      </c>
      <c r="J1522" s="10" t="s">
        <v>292</v>
      </c>
      <c r="K1522" s="10" t="s">
        <v>1697</v>
      </c>
      <c r="L1522" s="10" t="s">
        <v>1120</v>
      </c>
      <c r="M1522" s="12">
        <v>45379</v>
      </c>
      <c r="N1522" s="10" t="s">
        <v>15</v>
      </c>
      <c r="O1522" s="10" t="s">
        <v>2056</v>
      </c>
      <c r="P1522" s="25" t="str">
        <f>IFERROR(
IF(OR(O1522="anulado",O1522="stand by"),CONCATENATE(O1522,": ",H1522),
IF(OR(YEAR(M1522)=2022,YEAR(M1522)=2023),CONCATENATE("Se activó en ",YEAR(M1522)),
IF(AND(OR(O1522="En proceso",O1522="facturando"),AND(J1522="-",M1522="")),"Por revisar",
IF(M1522="",IF(J1522="NUEVAS",CONCATENATE("Estado: ",O1522,", ",J1522),
IF(L1522=Meses!$A$3,"Por revisar",
IF(H1522="","Sin registro","En programación Frcst."))),"En programación")))),
"Error")</f>
        <v>anulado: Desistido</v>
      </c>
      <c r="Q1522" s="9" t="str">
        <f t="shared" si="69"/>
        <v/>
      </c>
      <c r="R1522" s="25" t="str">
        <f>IF(P1522="En programación Frcst.",VLOOKUP(L1522,Meses!$A$1:$H$14,3+HLOOKUP(Cronograma!J1522,Meses!$D$1:$G$2,2,FALSE),FALSE),
IF(P1522="En programación",M1522,""))</f>
        <v/>
      </c>
      <c r="S1522" s="25" t="str">
        <f t="shared" si="71"/>
        <v/>
      </c>
      <c r="T1522" s="21" t="str">
        <f>IFERROR(
(VLOOKUP(MONTH(R1522),Meses!$B$3:$C$14,2,FALSE)-DAY(R1522))/VLOOKUP(MONTH(R1522),Meses!$B$3:$C$14,2,FALSE)*U1522,
"")</f>
        <v/>
      </c>
      <c r="U1522" s="22">
        <f t="shared" si="70"/>
        <v>100</v>
      </c>
    </row>
    <row r="1523" spans="1:21" ht="47.4" hidden="1" thickBot="1" x14ac:dyDescent="0.6">
      <c r="A1523" s="10" t="s">
        <v>1891</v>
      </c>
      <c r="B1523" s="10" t="s">
        <v>1927</v>
      </c>
      <c r="C1523" s="12">
        <v>45302</v>
      </c>
      <c r="D1523" s="10" t="s">
        <v>1207</v>
      </c>
      <c r="E1523" s="10" t="s">
        <v>23</v>
      </c>
      <c r="F1523" s="10">
        <v>5000</v>
      </c>
      <c r="G1523" s="10" t="s">
        <v>15</v>
      </c>
      <c r="H1523" s="10" t="s">
        <v>2406</v>
      </c>
      <c r="I1523" s="10" t="s">
        <v>66</v>
      </c>
      <c r="J1523" s="10" t="s">
        <v>292</v>
      </c>
      <c r="K1523" s="10" t="s">
        <v>293</v>
      </c>
      <c r="L1523" s="10" t="s">
        <v>279</v>
      </c>
      <c r="M1523" s="12"/>
      <c r="N1523" s="10" t="s">
        <v>15</v>
      </c>
      <c r="O1523" s="10" t="s">
        <v>2054</v>
      </c>
      <c r="P1523" s="25" t="str">
        <f>IFERROR(
IF(OR(O1523="anulado",O1523="stand by"),CONCATENATE(O1523,": ",H1523),
IF(OR(YEAR(M1523)=2022,YEAR(M1523)=2023),CONCATENATE("Se activó en ",YEAR(M1523)),
IF(AND(OR(O1523="En proceso",O1523="facturando"),AND(J1523="-",M1523="")),"Por revisar",
IF(M1523="",IF(J1523="NUEVAS",CONCATENATE("Estado: ",O1523,", ",J1523),
IF(L1523=Meses!$A$3,"Por revisar",
IF(H1523="","Sin registro","En programación Frcst."))),"En programación")))),
"Error")</f>
        <v>En programación Frcst.</v>
      </c>
      <c r="Q1523" s="9" t="str">
        <f t="shared" si="69"/>
        <v/>
      </c>
      <c r="R1523" s="25">
        <f>IF(P1523="En programación Frcst.",VLOOKUP(L1523,Meses!$A$1:$H$14,3+HLOOKUP(Cronograma!J1523,Meses!$D$1:$G$2,2,FALSE),FALSE),
IF(P1523="En programación",M1523,""))</f>
        <v>45316</v>
      </c>
      <c r="S1523" s="25" t="str">
        <f t="shared" si="71"/>
        <v>2024/1</v>
      </c>
      <c r="T1523" s="21">
        <f>IFERROR(
(VLOOKUP(MONTH(R1523),Meses!$B$3:$C$14,2,FALSE)-DAY(R1523))/VLOOKUP(MONTH(R1523),Meses!$B$3:$C$14,2,FALSE)*U1523,
"")</f>
        <v>967.74193548387098</v>
      </c>
      <c r="U1523" s="22">
        <f t="shared" si="70"/>
        <v>5000</v>
      </c>
    </row>
    <row r="1524" spans="1:21" ht="47.4" hidden="1" thickBot="1" x14ac:dyDescent="0.6">
      <c r="A1524" s="10" t="s">
        <v>1891</v>
      </c>
      <c r="B1524" s="10" t="s">
        <v>1928</v>
      </c>
      <c r="C1524" s="12">
        <v>45309</v>
      </c>
      <c r="D1524" s="10" t="s">
        <v>1207</v>
      </c>
      <c r="E1524" s="10" t="s">
        <v>23</v>
      </c>
      <c r="F1524" s="10">
        <v>6300</v>
      </c>
      <c r="G1524" s="10" t="s">
        <v>15</v>
      </c>
      <c r="H1524" s="10" t="s">
        <v>2406</v>
      </c>
      <c r="I1524" s="10" t="s">
        <v>66</v>
      </c>
      <c r="J1524" s="10" t="s">
        <v>143</v>
      </c>
      <c r="K1524" s="10" t="s">
        <v>538</v>
      </c>
      <c r="L1524" s="10" t="s">
        <v>279</v>
      </c>
      <c r="M1524" s="12"/>
      <c r="N1524" s="10" t="s">
        <v>15</v>
      </c>
      <c r="O1524" s="10" t="s">
        <v>2054</v>
      </c>
      <c r="P1524" s="25" t="str">
        <f>IFERROR(
IF(OR(O1524="anulado",O1524="stand by"),CONCATENATE(O1524,": ",H1524),
IF(OR(YEAR(M1524)=2022,YEAR(M1524)=2023),CONCATENATE("Se activó en ",YEAR(M1524)),
IF(AND(OR(O1524="En proceso",O1524="facturando"),AND(J1524="-",M1524="")),"Por revisar",
IF(M1524="",IF(J1524="NUEVAS",CONCATENATE("Estado: ",O1524,", ",J1524),
IF(L1524=Meses!$A$3,"Por revisar",
IF(H1524="","Sin registro","En programación Frcst."))),"En programación")))),
"Error")</f>
        <v>En programación Frcst.</v>
      </c>
      <c r="Q1524" s="9" t="str">
        <f t="shared" si="69"/>
        <v/>
      </c>
      <c r="R1524" s="25">
        <f>IF(P1524="En programación Frcst.",VLOOKUP(L1524,Meses!$A$1:$H$14,3+HLOOKUP(Cronograma!J1524,Meses!$D$1:$G$2,2,FALSE),FALSE),
IF(P1524="En programación",M1524,""))</f>
        <v>45302</v>
      </c>
      <c r="S1524" s="25" t="str">
        <f t="shared" si="71"/>
        <v>2024/1</v>
      </c>
      <c r="T1524" s="21">
        <f>IFERROR(
(VLOOKUP(MONTH(R1524),Meses!$B$3:$C$14,2,FALSE)-DAY(R1524))/VLOOKUP(MONTH(R1524),Meses!$B$3:$C$14,2,FALSE)*U1524,
"")</f>
        <v>4064.516129032258</v>
      </c>
      <c r="U1524" s="22">
        <f t="shared" si="70"/>
        <v>6300</v>
      </c>
    </row>
    <row r="1525" spans="1:21" ht="47.4" hidden="1" thickBot="1" x14ac:dyDescent="0.6">
      <c r="A1525" s="10" t="s">
        <v>1891</v>
      </c>
      <c r="B1525" s="10" t="s">
        <v>1929</v>
      </c>
      <c r="C1525" s="12">
        <v>45323</v>
      </c>
      <c r="D1525" s="10" t="s">
        <v>1207</v>
      </c>
      <c r="E1525" s="10" t="s">
        <v>23</v>
      </c>
      <c r="F1525" s="10">
        <v>11000</v>
      </c>
      <c r="G1525" s="10" t="s">
        <v>15</v>
      </c>
      <c r="H1525" s="10" t="s">
        <v>2406</v>
      </c>
      <c r="I1525" s="10" t="s">
        <v>66</v>
      </c>
      <c r="J1525" s="10" t="s">
        <v>282</v>
      </c>
      <c r="K1525" s="10" t="s">
        <v>747</v>
      </c>
      <c r="L1525" s="10" t="s">
        <v>279</v>
      </c>
      <c r="M1525" s="12"/>
      <c r="N1525" s="10" t="s">
        <v>15</v>
      </c>
      <c r="O1525" s="10" t="s">
        <v>2054</v>
      </c>
      <c r="P1525" s="25" t="str">
        <f>IFERROR(
IF(OR(O1525="anulado",O1525="stand by"),CONCATENATE(O1525,": ",H1525),
IF(OR(YEAR(M1525)=2022,YEAR(M1525)=2023),CONCATENATE("Se activó en ",YEAR(M1525)),
IF(AND(OR(O1525="En proceso",O1525="facturando"),AND(J1525="-",M1525="")),"Por revisar",
IF(M1525="",IF(J1525="NUEVAS",CONCATENATE("Estado: ",O1525,", ",J1525),
IF(L1525=Meses!$A$3,"Por revisar",
IF(H1525="","Sin registro","En programación Frcst."))),"En programación")))),
"Error")</f>
        <v>En programación Frcst.</v>
      </c>
      <c r="Q1525" s="9" t="str">
        <f t="shared" si="69"/>
        <v/>
      </c>
      <c r="R1525" s="25">
        <f>IF(P1525="En programación Frcst.",VLOOKUP(L1525,Meses!$A$1:$H$14,3+HLOOKUP(Cronograma!J1525,Meses!$D$1:$G$2,2,FALSE),FALSE),
IF(P1525="En programación",M1525,""))</f>
        <v>45295</v>
      </c>
      <c r="S1525" s="25" t="str">
        <f t="shared" si="71"/>
        <v>2024/1</v>
      </c>
      <c r="T1525" s="21">
        <f>IFERROR(
(VLOOKUP(MONTH(R1525),Meses!$B$3:$C$14,2,FALSE)-DAY(R1525))/VLOOKUP(MONTH(R1525),Meses!$B$3:$C$14,2,FALSE)*U1525,
"")</f>
        <v>9580.645161290322</v>
      </c>
      <c r="U1525" s="22">
        <f t="shared" si="70"/>
        <v>11000</v>
      </c>
    </row>
    <row r="1526" spans="1:21" ht="47.4" hidden="1" thickBot="1" x14ac:dyDescent="0.6">
      <c r="A1526" s="10" t="s">
        <v>1891</v>
      </c>
      <c r="B1526" s="10" t="s">
        <v>1930</v>
      </c>
      <c r="C1526" s="12">
        <v>45302</v>
      </c>
      <c r="D1526" s="10" t="s">
        <v>1207</v>
      </c>
      <c r="E1526" s="10" t="s">
        <v>23</v>
      </c>
      <c r="F1526" s="10">
        <v>1300</v>
      </c>
      <c r="G1526" s="10" t="s">
        <v>15</v>
      </c>
      <c r="H1526" s="10" t="s">
        <v>2406</v>
      </c>
      <c r="I1526" s="10" t="s">
        <v>66</v>
      </c>
      <c r="J1526" s="10" t="s">
        <v>143</v>
      </c>
      <c r="K1526" s="10" t="s">
        <v>538</v>
      </c>
      <c r="L1526" s="10" t="s">
        <v>279</v>
      </c>
      <c r="M1526" s="12"/>
      <c r="N1526" s="10" t="s">
        <v>15</v>
      </c>
      <c r="O1526" s="10" t="s">
        <v>2054</v>
      </c>
      <c r="P1526" s="25" t="str">
        <f>IFERROR(
IF(OR(O1526="anulado",O1526="stand by"),CONCATENATE(O1526,": ",H1526),
IF(OR(YEAR(M1526)=2022,YEAR(M1526)=2023),CONCATENATE("Se activó en ",YEAR(M1526)),
IF(AND(OR(O1526="En proceso",O1526="facturando"),AND(J1526="-",M1526="")),"Por revisar",
IF(M1526="",IF(J1526="NUEVAS",CONCATENATE("Estado: ",O1526,", ",J1526),
IF(L1526=Meses!$A$3,"Por revisar",
IF(H1526="","Sin registro","En programación Frcst."))),"En programación")))),
"Error")</f>
        <v>En programación Frcst.</v>
      </c>
      <c r="Q1526" s="9" t="str">
        <f t="shared" si="69"/>
        <v/>
      </c>
      <c r="R1526" s="25">
        <f>IF(P1526="En programación Frcst.",VLOOKUP(L1526,Meses!$A$1:$H$14,3+HLOOKUP(Cronograma!J1526,Meses!$D$1:$G$2,2,FALSE),FALSE),
IF(P1526="En programación",M1526,""))</f>
        <v>45302</v>
      </c>
      <c r="S1526" s="25" t="str">
        <f t="shared" si="71"/>
        <v>2024/1</v>
      </c>
      <c r="T1526" s="21">
        <f>IFERROR(
(VLOOKUP(MONTH(R1526),Meses!$B$3:$C$14,2,FALSE)-DAY(R1526))/VLOOKUP(MONTH(R1526),Meses!$B$3:$C$14,2,FALSE)*U1526,
"")</f>
        <v>838.70967741935476</v>
      </c>
      <c r="U1526" s="22">
        <f t="shared" si="70"/>
        <v>1300</v>
      </c>
    </row>
    <row r="1527" spans="1:21" ht="47.4" hidden="1" thickBot="1" x14ac:dyDescent="0.6">
      <c r="A1527" s="10" t="s">
        <v>1891</v>
      </c>
      <c r="B1527" s="10" t="s">
        <v>1931</v>
      </c>
      <c r="C1527" s="12">
        <v>45302</v>
      </c>
      <c r="D1527" s="10" t="s">
        <v>1207</v>
      </c>
      <c r="E1527" s="10" t="s">
        <v>23</v>
      </c>
      <c r="F1527" s="10">
        <v>4000</v>
      </c>
      <c r="G1527" s="10" t="s">
        <v>15</v>
      </c>
      <c r="H1527" s="10" t="s">
        <v>2406</v>
      </c>
      <c r="I1527" s="10" t="s">
        <v>66</v>
      </c>
      <c r="J1527" s="10" t="s">
        <v>143</v>
      </c>
      <c r="K1527" s="10" t="s">
        <v>538</v>
      </c>
      <c r="L1527" s="10" t="s">
        <v>279</v>
      </c>
      <c r="M1527" s="12"/>
      <c r="N1527" s="10" t="s">
        <v>15</v>
      </c>
      <c r="O1527" s="10" t="s">
        <v>2054</v>
      </c>
      <c r="P1527" s="25" t="str">
        <f>IFERROR(
IF(OR(O1527="anulado",O1527="stand by"),CONCATENATE(O1527,": ",H1527),
IF(OR(YEAR(M1527)=2022,YEAR(M1527)=2023),CONCATENATE("Se activó en ",YEAR(M1527)),
IF(AND(OR(O1527="En proceso",O1527="facturando"),AND(J1527="-",M1527="")),"Por revisar",
IF(M1527="",IF(J1527="NUEVAS",CONCATENATE("Estado: ",O1527,", ",J1527),
IF(L1527=Meses!$A$3,"Por revisar",
IF(H1527="","Sin registro","En programación Frcst."))),"En programación")))),
"Error")</f>
        <v>En programación Frcst.</v>
      </c>
      <c r="Q1527" s="9" t="str">
        <f t="shared" si="69"/>
        <v/>
      </c>
      <c r="R1527" s="25">
        <f>IF(P1527="En programación Frcst.",VLOOKUP(L1527,Meses!$A$1:$H$14,3+HLOOKUP(Cronograma!J1527,Meses!$D$1:$G$2,2,FALSE),FALSE),
IF(P1527="En programación",M1527,""))</f>
        <v>45302</v>
      </c>
      <c r="S1527" s="25" t="str">
        <f t="shared" si="71"/>
        <v>2024/1</v>
      </c>
      <c r="T1527" s="21">
        <f>IFERROR(
(VLOOKUP(MONTH(R1527),Meses!$B$3:$C$14,2,FALSE)-DAY(R1527))/VLOOKUP(MONTH(R1527),Meses!$B$3:$C$14,2,FALSE)*U1527,
"")</f>
        <v>2580.6451612903224</v>
      </c>
      <c r="U1527" s="22">
        <f t="shared" si="70"/>
        <v>4000</v>
      </c>
    </row>
    <row r="1528" spans="1:21" ht="47.4" hidden="1" thickBot="1" x14ac:dyDescent="0.6">
      <c r="A1528" s="10" t="s">
        <v>1891</v>
      </c>
      <c r="B1528" s="10" t="s">
        <v>1932</v>
      </c>
      <c r="C1528" s="12">
        <v>45302</v>
      </c>
      <c r="D1528" s="10" t="s">
        <v>1207</v>
      </c>
      <c r="E1528" s="10" t="s">
        <v>23</v>
      </c>
      <c r="F1528" s="10">
        <v>11000</v>
      </c>
      <c r="G1528" s="10" t="s">
        <v>15</v>
      </c>
      <c r="H1528" s="10" t="s">
        <v>2406</v>
      </c>
      <c r="I1528" s="10" t="s">
        <v>66</v>
      </c>
      <c r="J1528" s="10" t="s">
        <v>143</v>
      </c>
      <c r="K1528" s="10" t="s">
        <v>538</v>
      </c>
      <c r="L1528" s="10" t="s">
        <v>279</v>
      </c>
      <c r="M1528" s="12"/>
      <c r="N1528" s="10" t="s">
        <v>15</v>
      </c>
      <c r="O1528" s="10" t="s">
        <v>2054</v>
      </c>
      <c r="P1528" s="25" t="str">
        <f>IFERROR(
IF(OR(O1528="anulado",O1528="stand by"),CONCATENATE(O1528,": ",H1528),
IF(OR(YEAR(M1528)=2022,YEAR(M1528)=2023),CONCATENATE("Se activó en ",YEAR(M1528)),
IF(AND(OR(O1528="En proceso",O1528="facturando"),AND(J1528="-",M1528="")),"Por revisar",
IF(M1528="",IF(J1528="NUEVAS",CONCATENATE("Estado: ",O1528,", ",J1528),
IF(L1528=Meses!$A$3,"Por revisar",
IF(H1528="","Sin registro","En programación Frcst."))),"En programación")))),
"Error")</f>
        <v>En programación Frcst.</v>
      </c>
      <c r="Q1528" s="9" t="str">
        <f t="shared" si="69"/>
        <v/>
      </c>
      <c r="R1528" s="25">
        <f>IF(P1528="En programación Frcst.",VLOOKUP(L1528,Meses!$A$1:$H$14,3+HLOOKUP(Cronograma!J1528,Meses!$D$1:$G$2,2,FALSE),FALSE),
IF(P1528="En programación",M1528,""))</f>
        <v>45302</v>
      </c>
      <c r="S1528" s="25" t="str">
        <f t="shared" si="71"/>
        <v>2024/1</v>
      </c>
      <c r="T1528" s="21">
        <f>IFERROR(
(VLOOKUP(MONTH(R1528),Meses!$B$3:$C$14,2,FALSE)-DAY(R1528))/VLOOKUP(MONTH(R1528),Meses!$B$3:$C$14,2,FALSE)*U1528,
"")</f>
        <v>7096.7741935483873</v>
      </c>
      <c r="U1528" s="22">
        <f t="shared" si="70"/>
        <v>11000</v>
      </c>
    </row>
    <row r="1529" spans="1:21" ht="47.4" hidden="1" thickBot="1" x14ac:dyDescent="0.6">
      <c r="A1529" s="10" t="s">
        <v>1891</v>
      </c>
      <c r="B1529" s="10" t="s">
        <v>1933</v>
      </c>
      <c r="C1529" s="12">
        <v>45302</v>
      </c>
      <c r="D1529" s="10" t="s">
        <v>1207</v>
      </c>
      <c r="E1529" s="10" t="s">
        <v>23</v>
      </c>
      <c r="F1529" s="10">
        <v>70</v>
      </c>
      <c r="G1529" s="10" t="s">
        <v>15</v>
      </c>
      <c r="H1529" s="10" t="s">
        <v>17</v>
      </c>
      <c r="I1529" s="10" t="s">
        <v>66</v>
      </c>
      <c r="J1529" s="10" t="s">
        <v>143</v>
      </c>
      <c r="K1529" s="10" t="s">
        <v>538</v>
      </c>
      <c r="L1529" s="10" t="s">
        <v>279</v>
      </c>
      <c r="M1529" s="12"/>
      <c r="N1529" s="10" t="s">
        <v>15</v>
      </c>
      <c r="O1529" s="10" t="s">
        <v>2054</v>
      </c>
      <c r="P1529" s="25" t="str">
        <f>IFERROR(
IF(OR(O1529="anulado",O1529="stand by"),CONCATENATE(O1529,": ",H1529),
IF(OR(YEAR(M1529)=2022,YEAR(M1529)=2023),CONCATENATE("Se activó en ",YEAR(M1529)),
IF(AND(OR(O1529="En proceso",O1529="facturando"),AND(J1529="-",M1529="")),"Por revisar",
IF(M1529="",IF(J1529="NUEVAS",CONCATENATE("Estado: ",O1529,", ",J1529),
IF(L1529=Meses!$A$3,"Por revisar",
IF(H1529="","Sin registro","En programación Frcst."))),"En programación")))),
"Error")</f>
        <v>En programación Frcst.</v>
      </c>
      <c r="Q1529" s="9" t="str">
        <f t="shared" si="69"/>
        <v/>
      </c>
      <c r="R1529" s="25">
        <f>IF(P1529="En programación Frcst.",VLOOKUP(L1529,Meses!$A$1:$H$14,3+HLOOKUP(Cronograma!J1529,Meses!$D$1:$G$2,2,FALSE),FALSE),
IF(P1529="En programación",M1529,""))</f>
        <v>45302</v>
      </c>
      <c r="S1529" s="25" t="str">
        <f t="shared" si="71"/>
        <v>2024/1</v>
      </c>
      <c r="T1529" s="21">
        <f>IFERROR(
(VLOOKUP(MONTH(R1529),Meses!$B$3:$C$14,2,FALSE)-DAY(R1529))/VLOOKUP(MONTH(R1529),Meses!$B$3:$C$14,2,FALSE)*U1529,
"")</f>
        <v>45.161290322580641</v>
      </c>
      <c r="U1529" s="22">
        <f t="shared" si="70"/>
        <v>70</v>
      </c>
    </row>
    <row r="1530" spans="1:21" ht="47.4" hidden="1" thickBot="1" x14ac:dyDescent="0.6">
      <c r="A1530" s="10" t="s">
        <v>1891</v>
      </c>
      <c r="B1530" s="10" t="s">
        <v>1934</v>
      </c>
      <c r="C1530" s="12"/>
      <c r="D1530" s="10" t="s">
        <v>1207</v>
      </c>
      <c r="E1530" s="10" t="s">
        <v>23</v>
      </c>
      <c r="F1530" s="10">
        <v>110</v>
      </c>
      <c r="G1530" s="10" t="s">
        <v>15</v>
      </c>
      <c r="H1530" s="10" t="s">
        <v>140</v>
      </c>
      <c r="I1530" s="10" t="s">
        <v>66</v>
      </c>
      <c r="J1530" s="10" t="s">
        <v>292</v>
      </c>
      <c r="K1530" s="10" t="s">
        <v>1697</v>
      </c>
      <c r="L1530" s="10" t="s">
        <v>1120</v>
      </c>
      <c r="M1530" s="12">
        <v>45379</v>
      </c>
      <c r="N1530" s="10" t="s">
        <v>15</v>
      </c>
      <c r="O1530" s="10" t="s">
        <v>2056</v>
      </c>
      <c r="P1530" s="25" t="str">
        <f>IFERROR(
IF(OR(O1530="anulado",O1530="stand by"),CONCATENATE(O1530,": ",H1530),
IF(OR(YEAR(M1530)=2022,YEAR(M1530)=2023),CONCATENATE("Se activó en ",YEAR(M1530)),
IF(AND(OR(O1530="En proceso",O1530="facturando"),AND(J1530="-",M1530="")),"Por revisar",
IF(M1530="",IF(J1530="NUEVAS",CONCATENATE("Estado: ",O1530,", ",J1530),
IF(L1530=Meses!$A$3,"Por revisar",
IF(H1530="","Sin registro","En programación Frcst."))),"En programación")))),
"Error")</f>
        <v>anulado: Desistido</v>
      </c>
      <c r="Q1530" s="9" t="str">
        <f t="shared" si="69"/>
        <v/>
      </c>
      <c r="R1530" s="25" t="str">
        <f>IF(P1530="En programación Frcst.",VLOOKUP(L1530,Meses!$A$1:$H$14,3+HLOOKUP(Cronograma!J1530,Meses!$D$1:$G$2,2,FALSE),FALSE),
IF(P1530="En programación",M1530,""))</f>
        <v/>
      </c>
      <c r="S1530" s="25" t="str">
        <f t="shared" si="71"/>
        <v/>
      </c>
      <c r="T1530" s="21" t="str">
        <f>IFERROR(
(VLOOKUP(MONTH(R1530),Meses!$B$3:$C$14,2,FALSE)-DAY(R1530))/VLOOKUP(MONTH(R1530),Meses!$B$3:$C$14,2,FALSE)*U1530,
"")</f>
        <v/>
      </c>
      <c r="U1530" s="22">
        <f t="shared" si="70"/>
        <v>110</v>
      </c>
    </row>
    <row r="1531" spans="1:21" ht="47.4" hidden="1" thickBot="1" x14ac:dyDescent="0.6">
      <c r="A1531" s="10" t="s">
        <v>1891</v>
      </c>
      <c r="B1531" s="10" t="s">
        <v>1935</v>
      </c>
      <c r="C1531" s="12">
        <v>45302</v>
      </c>
      <c r="D1531" s="10" t="s">
        <v>1207</v>
      </c>
      <c r="E1531" s="10" t="s">
        <v>23</v>
      </c>
      <c r="F1531" s="10">
        <v>800</v>
      </c>
      <c r="G1531" s="10" t="s">
        <v>15</v>
      </c>
      <c r="H1531" s="10" t="s">
        <v>3311</v>
      </c>
      <c r="I1531" s="10" t="s">
        <v>66</v>
      </c>
      <c r="J1531" s="10" t="s">
        <v>143</v>
      </c>
      <c r="K1531" s="10" t="s">
        <v>538</v>
      </c>
      <c r="L1531" s="10" t="s">
        <v>279</v>
      </c>
      <c r="M1531" s="12"/>
      <c r="N1531" s="10" t="s">
        <v>15</v>
      </c>
      <c r="O1531" s="10" t="s">
        <v>3311</v>
      </c>
      <c r="P1531" s="25" t="str">
        <f>IFERROR(
IF(OR(O1531="anulado",O1531="stand by"),CONCATENATE(O1531,": ",H1531),
IF(OR(YEAR(M1531)=2022,YEAR(M1531)=2023),CONCATENATE("Se activó en ",YEAR(M1531)),
IF(AND(OR(O1531="En proceso",O1531="facturando"),AND(J1531="-",M1531="")),"Por revisar",
IF(M1531="",IF(J1531="NUEVAS",CONCATENATE("Estado: ",O1531,", ",J1531),
IF(L1531=Meses!$A$3,"Por revisar",
IF(H1531="","Sin registro","En programación Frcst."))),"En programación")))),
"Error")</f>
        <v>En programación Frcst.</v>
      </c>
      <c r="Q1531" s="9" t="str">
        <f t="shared" si="69"/>
        <v/>
      </c>
      <c r="R1531" s="25">
        <f>IF(P1531="En programación Frcst.",VLOOKUP(L1531,Meses!$A$1:$H$14,3+HLOOKUP(Cronograma!J1531,Meses!$D$1:$G$2,2,FALSE),FALSE),
IF(P1531="En programación",M1531,""))</f>
        <v>45302</v>
      </c>
      <c r="S1531" s="25" t="str">
        <f t="shared" si="71"/>
        <v>2024/1</v>
      </c>
      <c r="T1531" s="21">
        <f>IFERROR(
(VLOOKUP(MONTH(R1531),Meses!$B$3:$C$14,2,FALSE)-DAY(R1531))/VLOOKUP(MONTH(R1531),Meses!$B$3:$C$14,2,FALSE)*U1531,
"")</f>
        <v>516.12903225806451</v>
      </c>
      <c r="U1531" s="22">
        <f t="shared" si="70"/>
        <v>800</v>
      </c>
    </row>
    <row r="1532" spans="1:21" ht="47.4" hidden="1" thickBot="1" x14ac:dyDescent="0.6">
      <c r="A1532" s="10" t="s">
        <v>1891</v>
      </c>
      <c r="B1532" s="10" t="s">
        <v>1936</v>
      </c>
      <c r="C1532" s="12">
        <v>45302</v>
      </c>
      <c r="D1532" s="10" t="s">
        <v>1207</v>
      </c>
      <c r="E1532" s="10" t="s">
        <v>23</v>
      </c>
      <c r="F1532" s="10">
        <v>200</v>
      </c>
      <c r="G1532" s="10" t="s">
        <v>15</v>
      </c>
      <c r="H1532" s="10" t="s">
        <v>3311</v>
      </c>
      <c r="I1532" s="10" t="s">
        <v>66</v>
      </c>
      <c r="J1532" s="10" t="s">
        <v>143</v>
      </c>
      <c r="K1532" s="10" t="s">
        <v>538</v>
      </c>
      <c r="L1532" s="10" t="s">
        <v>279</v>
      </c>
      <c r="M1532" s="12"/>
      <c r="N1532" s="10" t="s">
        <v>15</v>
      </c>
      <c r="O1532" s="10" t="s">
        <v>3311</v>
      </c>
      <c r="P1532" s="25" t="str">
        <f>IFERROR(
IF(OR(O1532="anulado",O1532="stand by"),CONCATENATE(O1532,": ",H1532),
IF(OR(YEAR(M1532)=2022,YEAR(M1532)=2023),CONCATENATE("Se activó en ",YEAR(M1532)),
IF(AND(OR(O1532="En proceso",O1532="facturando"),AND(J1532="-",M1532="")),"Por revisar",
IF(M1532="",IF(J1532="NUEVAS",CONCATENATE("Estado: ",O1532,", ",J1532),
IF(L1532=Meses!$A$3,"Por revisar",
IF(H1532="","Sin registro","En programación Frcst."))),"En programación")))),
"Error")</f>
        <v>En programación Frcst.</v>
      </c>
      <c r="Q1532" s="9" t="str">
        <f t="shared" si="69"/>
        <v/>
      </c>
      <c r="R1532" s="25">
        <f>IF(P1532="En programación Frcst.",VLOOKUP(L1532,Meses!$A$1:$H$14,3+HLOOKUP(Cronograma!J1532,Meses!$D$1:$G$2,2,FALSE),FALSE),
IF(P1532="En programación",M1532,""))</f>
        <v>45302</v>
      </c>
      <c r="S1532" s="25" t="str">
        <f t="shared" si="71"/>
        <v>2024/1</v>
      </c>
      <c r="T1532" s="21">
        <f>IFERROR(
(VLOOKUP(MONTH(R1532),Meses!$B$3:$C$14,2,FALSE)-DAY(R1532))/VLOOKUP(MONTH(R1532),Meses!$B$3:$C$14,2,FALSE)*U1532,
"")</f>
        <v>129.03225806451613</v>
      </c>
      <c r="U1532" s="22">
        <f t="shared" si="70"/>
        <v>200</v>
      </c>
    </row>
    <row r="1533" spans="1:21" ht="47.4" hidden="1" thickBot="1" x14ac:dyDescent="0.6">
      <c r="A1533" s="10" t="s">
        <v>1891</v>
      </c>
      <c r="B1533" s="10" t="s">
        <v>1937</v>
      </c>
      <c r="C1533" s="12">
        <v>45302</v>
      </c>
      <c r="D1533" s="10" t="s">
        <v>1207</v>
      </c>
      <c r="E1533" s="10" t="s">
        <v>23</v>
      </c>
      <c r="F1533" s="10">
        <v>5200</v>
      </c>
      <c r="G1533" s="10" t="s">
        <v>15</v>
      </c>
      <c r="H1533" s="10" t="s">
        <v>2406</v>
      </c>
      <c r="I1533" s="10" t="s">
        <v>66</v>
      </c>
      <c r="J1533" s="10" t="s">
        <v>143</v>
      </c>
      <c r="K1533" s="10" t="s">
        <v>538</v>
      </c>
      <c r="L1533" s="10" t="s">
        <v>279</v>
      </c>
      <c r="M1533" s="12"/>
      <c r="N1533" s="10" t="s">
        <v>15</v>
      </c>
      <c r="O1533" s="10" t="s">
        <v>2054</v>
      </c>
      <c r="P1533" s="25" t="str">
        <f>IFERROR(
IF(OR(O1533="anulado",O1533="stand by"),CONCATENATE(O1533,": ",H1533),
IF(OR(YEAR(M1533)=2022,YEAR(M1533)=2023),CONCATENATE("Se activó en ",YEAR(M1533)),
IF(AND(OR(O1533="En proceso",O1533="facturando"),AND(J1533="-",M1533="")),"Por revisar",
IF(M1533="",IF(J1533="NUEVAS",CONCATENATE("Estado: ",O1533,", ",J1533),
IF(L1533=Meses!$A$3,"Por revisar",
IF(H1533="","Sin registro","En programación Frcst."))),"En programación")))),
"Error")</f>
        <v>En programación Frcst.</v>
      </c>
      <c r="Q1533" s="9" t="str">
        <f t="shared" si="69"/>
        <v/>
      </c>
      <c r="R1533" s="25">
        <f>IF(P1533="En programación Frcst.",VLOOKUP(L1533,Meses!$A$1:$H$14,3+HLOOKUP(Cronograma!J1533,Meses!$D$1:$G$2,2,FALSE),FALSE),
IF(P1533="En programación",M1533,""))</f>
        <v>45302</v>
      </c>
      <c r="S1533" s="25" t="str">
        <f t="shared" si="71"/>
        <v>2024/1</v>
      </c>
      <c r="T1533" s="21">
        <f>IFERROR(
(VLOOKUP(MONTH(R1533),Meses!$B$3:$C$14,2,FALSE)-DAY(R1533))/VLOOKUP(MONTH(R1533),Meses!$B$3:$C$14,2,FALSE)*U1533,
"")</f>
        <v>3354.838709677419</v>
      </c>
      <c r="U1533" s="22">
        <f t="shared" si="70"/>
        <v>5200</v>
      </c>
    </row>
    <row r="1534" spans="1:21" ht="47.4" hidden="1" thickBot="1" x14ac:dyDescent="0.6">
      <c r="A1534" s="10" t="s">
        <v>1891</v>
      </c>
      <c r="B1534" s="10" t="s">
        <v>1938</v>
      </c>
      <c r="C1534" s="12">
        <v>45302</v>
      </c>
      <c r="D1534" s="10" t="s">
        <v>1207</v>
      </c>
      <c r="E1534" s="10" t="s">
        <v>23</v>
      </c>
      <c r="F1534" s="10">
        <v>500</v>
      </c>
      <c r="G1534" s="10" t="s">
        <v>15</v>
      </c>
      <c r="H1534" s="10" t="s">
        <v>17</v>
      </c>
      <c r="I1534" s="10" t="s">
        <v>66</v>
      </c>
      <c r="J1534" s="10" t="s">
        <v>143</v>
      </c>
      <c r="K1534" s="10" t="s">
        <v>538</v>
      </c>
      <c r="L1534" s="10" t="s">
        <v>279</v>
      </c>
      <c r="M1534" s="12"/>
      <c r="N1534" s="10" t="s">
        <v>15</v>
      </c>
      <c r="O1534" s="10" t="s">
        <v>2054</v>
      </c>
      <c r="P1534" s="25" t="str">
        <f>IFERROR(
IF(OR(O1534="anulado",O1534="stand by"),CONCATENATE(O1534,": ",H1534),
IF(OR(YEAR(M1534)=2022,YEAR(M1534)=2023),CONCATENATE("Se activó en ",YEAR(M1534)),
IF(AND(OR(O1534="En proceso",O1534="facturando"),AND(J1534="-",M1534="")),"Por revisar",
IF(M1534="",IF(J1534="NUEVAS",CONCATENATE("Estado: ",O1534,", ",J1534),
IF(L1534=Meses!$A$3,"Por revisar",
IF(H1534="","Sin registro","En programación Frcst."))),"En programación")))),
"Error")</f>
        <v>En programación Frcst.</v>
      </c>
      <c r="Q1534" s="9" t="str">
        <f t="shared" si="69"/>
        <v/>
      </c>
      <c r="R1534" s="25">
        <f>IF(P1534="En programación Frcst.",VLOOKUP(L1534,Meses!$A$1:$H$14,3+HLOOKUP(Cronograma!J1534,Meses!$D$1:$G$2,2,FALSE),FALSE),
IF(P1534="En programación",M1534,""))</f>
        <v>45302</v>
      </c>
      <c r="S1534" s="25" t="str">
        <f t="shared" si="71"/>
        <v>2024/1</v>
      </c>
      <c r="T1534" s="21">
        <f>IFERROR(
(VLOOKUP(MONTH(R1534),Meses!$B$3:$C$14,2,FALSE)-DAY(R1534))/VLOOKUP(MONTH(R1534),Meses!$B$3:$C$14,2,FALSE)*U1534,
"")</f>
        <v>322.58064516129031</v>
      </c>
      <c r="U1534" s="22">
        <f t="shared" si="70"/>
        <v>500</v>
      </c>
    </row>
    <row r="1535" spans="1:21" ht="47.4" hidden="1" thickBot="1" x14ac:dyDescent="0.6">
      <c r="A1535" s="10" t="s">
        <v>1891</v>
      </c>
      <c r="B1535" s="10" t="s">
        <v>1939</v>
      </c>
      <c r="C1535" s="12">
        <v>45302</v>
      </c>
      <c r="D1535" s="10" t="s">
        <v>1207</v>
      </c>
      <c r="E1535" s="10" t="s">
        <v>23</v>
      </c>
      <c r="F1535" s="10">
        <v>200</v>
      </c>
      <c r="G1535" s="10" t="s">
        <v>15</v>
      </c>
      <c r="H1535" s="10" t="s">
        <v>2406</v>
      </c>
      <c r="I1535" s="10" t="s">
        <v>66</v>
      </c>
      <c r="J1535" s="10" t="s">
        <v>143</v>
      </c>
      <c r="K1535" s="10" t="s">
        <v>538</v>
      </c>
      <c r="L1535" s="10" t="s">
        <v>279</v>
      </c>
      <c r="M1535" s="12"/>
      <c r="N1535" s="10" t="s">
        <v>15</v>
      </c>
      <c r="O1535" s="10" t="s">
        <v>2054</v>
      </c>
      <c r="P1535" s="25" t="str">
        <f>IFERROR(
IF(OR(O1535="anulado",O1535="stand by"),CONCATENATE(O1535,": ",H1535),
IF(OR(YEAR(M1535)=2022,YEAR(M1535)=2023),CONCATENATE("Se activó en ",YEAR(M1535)),
IF(AND(OR(O1535="En proceso",O1535="facturando"),AND(J1535="-",M1535="")),"Por revisar",
IF(M1535="",IF(J1535="NUEVAS",CONCATENATE("Estado: ",O1535,", ",J1535),
IF(L1535=Meses!$A$3,"Por revisar",
IF(H1535="","Sin registro","En programación Frcst."))),"En programación")))),
"Error")</f>
        <v>En programación Frcst.</v>
      </c>
      <c r="Q1535" s="9" t="str">
        <f t="shared" si="69"/>
        <v/>
      </c>
      <c r="R1535" s="25">
        <f>IF(P1535="En programación Frcst.",VLOOKUP(L1535,Meses!$A$1:$H$14,3+HLOOKUP(Cronograma!J1535,Meses!$D$1:$G$2,2,FALSE),FALSE),
IF(P1535="En programación",M1535,""))</f>
        <v>45302</v>
      </c>
      <c r="S1535" s="25" t="str">
        <f t="shared" si="71"/>
        <v>2024/1</v>
      </c>
      <c r="T1535" s="21">
        <f>IFERROR(
(VLOOKUP(MONTH(R1535),Meses!$B$3:$C$14,2,FALSE)-DAY(R1535))/VLOOKUP(MONTH(R1535),Meses!$B$3:$C$14,2,FALSE)*U1535,
"")</f>
        <v>129.03225806451613</v>
      </c>
      <c r="U1535" s="22">
        <f t="shared" si="70"/>
        <v>200</v>
      </c>
    </row>
    <row r="1536" spans="1:21" ht="47.4" hidden="1" thickBot="1" x14ac:dyDescent="0.6">
      <c r="A1536" s="10" t="s">
        <v>1891</v>
      </c>
      <c r="B1536" s="10" t="s">
        <v>1940</v>
      </c>
      <c r="C1536" s="12">
        <v>45302</v>
      </c>
      <c r="D1536" s="10" t="s">
        <v>1207</v>
      </c>
      <c r="E1536" s="10" t="s">
        <v>23</v>
      </c>
      <c r="F1536" s="10">
        <v>5000</v>
      </c>
      <c r="G1536" s="10" t="s">
        <v>15</v>
      </c>
      <c r="H1536" s="10" t="s">
        <v>2406</v>
      </c>
      <c r="I1536" s="10" t="s">
        <v>66</v>
      </c>
      <c r="J1536" s="10" t="s">
        <v>143</v>
      </c>
      <c r="K1536" s="10" t="s">
        <v>538</v>
      </c>
      <c r="L1536" s="10" t="s">
        <v>279</v>
      </c>
      <c r="M1536" s="12"/>
      <c r="N1536" s="10" t="s">
        <v>15</v>
      </c>
      <c r="O1536" s="10" t="s">
        <v>2054</v>
      </c>
      <c r="P1536" s="25" t="str">
        <f>IFERROR(
IF(OR(O1536="anulado",O1536="stand by"),CONCATENATE(O1536,": ",H1536),
IF(OR(YEAR(M1536)=2022,YEAR(M1536)=2023),CONCATENATE("Se activó en ",YEAR(M1536)),
IF(AND(OR(O1536="En proceso",O1536="facturando"),AND(J1536="-",M1536="")),"Por revisar",
IF(M1536="",IF(J1536="NUEVAS",CONCATENATE("Estado: ",O1536,", ",J1536),
IF(L1536=Meses!$A$3,"Por revisar",
IF(H1536="","Sin registro","En programación Frcst."))),"En programación")))),
"Error")</f>
        <v>En programación Frcst.</v>
      </c>
      <c r="Q1536" s="9" t="str">
        <f t="shared" si="69"/>
        <v/>
      </c>
      <c r="R1536" s="25">
        <f>IF(P1536="En programación Frcst.",VLOOKUP(L1536,Meses!$A$1:$H$14,3+HLOOKUP(Cronograma!J1536,Meses!$D$1:$G$2,2,FALSE),FALSE),
IF(P1536="En programación",M1536,""))</f>
        <v>45302</v>
      </c>
      <c r="S1536" s="25" t="str">
        <f t="shared" si="71"/>
        <v>2024/1</v>
      </c>
      <c r="T1536" s="21">
        <f>IFERROR(
(VLOOKUP(MONTH(R1536),Meses!$B$3:$C$14,2,FALSE)-DAY(R1536))/VLOOKUP(MONTH(R1536),Meses!$B$3:$C$14,2,FALSE)*U1536,
"")</f>
        <v>3225.8064516129029</v>
      </c>
      <c r="U1536" s="22">
        <f t="shared" si="70"/>
        <v>5000</v>
      </c>
    </row>
    <row r="1537" spans="1:21" ht="47.4" hidden="1" thickBot="1" x14ac:dyDescent="0.6">
      <c r="A1537" s="10" t="s">
        <v>1891</v>
      </c>
      <c r="B1537" s="10" t="s">
        <v>1941</v>
      </c>
      <c r="C1537" s="12">
        <v>45302</v>
      </c>
      <c r="D1537" s="10" t="s">
        <v>1207</v>
      </c>
      <c r="E1537" s="10" t="s">
        <v>23</v>
      </c>
      <c r="F1537" s="10">
        <v>1300</v>
      </c>
      <c r="G1537" s="10" t="s">
        <v>15</v>
      </c>
      <c r="H1537" s="10" t="s">
        <v>2406</v>
      </c>
      <c r="I1537" s="10" t="s">
        <v>66</v>
      </c>
      <c r="J1537" s="10" t="s">
        <v>143</v>
      </c>
      <c r="K1537" s="10" t="s">
        <v>538</v>
      </c>
      <c r="L1537" s="10" t="s">
        <v>279</v>
      </c>
      <c r="M1537" s="12"/>
      <c r="N1537" s="10" t="s">
        <v>15</v>
      </c>
      <c r="O1537" s="10" t="s">
        <v>2054</v>
      </c>
      <c r="P1537" s="25" t="str">
        <f>IFERROR(
IF(OR(O1537="anulado",O1537="stand by"),CONCATENATE(O1537,": ",H1537),
IF(OR(YEAR(M1537)=2022,YEAR(M1537)=2023),CONCATENATE("Se activó en ",YEAR(M1537)),
IF(AND(OR(O1537="En proceso",O1537="facturando"),AND(J1537="-",M1537="")),"Por revisar",
IF(M1537="",IF(J1537="NUEVAS",CONCATENATE("Estado: ",O1537,", ",J1537),
IF(L1537=Meses!$A$3,"Por revisar",
IF(H1537="","Sin registro","En programación Frcst."))),"En programación")))),
"Error")</f>
        <v>En programación Frcst.</v>
      </c>
      <c r="Q1537" s="9" t="str">
        <f t="shared" si="69"/>
        <v/>
      </c>
      <c r="R1537" s="25">
        <f>IF(P1537="En programación Frcst.",VLOOKUP(L1537,Meses!$A$1:$H$14,3+HLOOKUP(Cronograma!J1537,Meses!$D$1:$G$2,2,FALSE),FALSE),
IF(P1537="En programación",M1537,""))</f>
        <v>45302</v>
      </c>
      <c r="S1537" s="25" t="str">
        <f t="shared" si="71"/>
        <v>2024/1</v>
      </c>
      <c r="T1537" s="21">
        <f>IFERROR(
(VLOOKUP(MONTH(R1537),Meses!$B$3:$C$14,2,FALSE)-DAY(R1537))/VLOOKUP(MONTH(R1537),Meses!$B$3:$C$14,2,FALSE)*U1537,
"")</f>
        <v>838.70967741935476</v>
      </c>
      <c r="U1537" s="22">
        <f t="shared" si="70"/>
        <v>1300</v>
      </c>
    </row>
    <row r="1538" spans="1:21" ht="47.4" hidden="1" thickBot="1" x14ac:dyDescent="0.6">
      <c r="A1538" s="10" t="s">
        <v>1891</v>
      </c>
      <c r="B1538" s="10" t="s">
        <v>1942</v>
      </c>
      <c r="C1538" s="12">
        <v>45309</v>
      </c>
      <c r="D1538" s="10" t="s">
        <v>1207</v>
      </c>
      <c r="E1538" s="10" t="s">
        <v>23</v>
      </c>
      <c r="F1538" s="10">
        <v>8000</v>
      </c>
      <c r="G1538" s="10" t="s">
        <v>15</v>
      </c>
      <c r="H1538" s="10" t="s">
        <v>2406</v>
      </c>
      <c r="I1538" s="10" t="s">
        <v>66</v>
      </c>
      <c r="J1538" s="10" t="s">
        <v>143</v>
      </c>
      <c r="K1538" s="10" t="s">
        <v>538</v>
      </c>
      <c r="L1538" s="10" t="s">
        <v>279</v>
      </c>
      <c r="M1538" s="12"/>
      <c r="N1538" s="10" t="s">
        <v>15</v>
      </c>
      <c r="O1538" s="10" t="s">
        <v>2054</v>
      </c>
      <c r="P1538" s="25" t="str">
        <f>IFERROR(
IF(OR(O1538="anulado",O1538="stand by"),CONCATENATE(O1538,": ",H1538),
IF(OR(YEAR(M1538)=2022,YEAR(M1538)=2023),CONCATENATE("Se activó en ",YEAR(M1538)),
IF(AND(OR(O1538="En proceso",O1538="facturando"),AND(J1538="-",M1538="")),"Por revisar",
IF(M1538="",IF(J1538="NUEVAS",CONCATENATE("Estado: ",O1538,", ",J1538),
IF(L1538=Meses!$A$3,"Por revisar",
IF(H1538="","Sin registro","En programación Frcst."))),"En programación")))),
"Error")</f>
        <v>En programación Frcst.</v>
      </c>
      <c r="Q1538" s="9" t="str">
        <f t="shared" ref="Q1538:Q1601" si="72">IF(P1538="Por revisar",CONCATENATE("programación de act. ",N1538,", estado: ",O1538,", Comercializador: ",D1538,", Etapa: ",H1538),"")</f>
        <v/>
      </c>
      <c r="R1538" s="25">
        <f>IF(P1538="En programación Frcst.",VLOOKUP(L1538,Meses!$A$1:$H$14,3+HLOOKUP(Cronograma!J1538,Meses!$D$1:$G$2,2,FALSE),FALSE),
IF(P1538="En programación",M1538,""))</f>
        <v>45302</v>
      </c>
      <c r="S1538" s="25" t="str">
        <f t="shared" si="71"/>
        <v>2024/1</v>
      </c>
      <c r="T1538" s="21">
        <f>IFERROR(
(VLOOKUP(MONTH(R1538),Meses!$B$3:$C$14,2,FALSE)-DAY(R1538))/VLOOKUP(MONTH(R1538),Meses!$B$3:$C$14,2,FALSE)*U1538,
"")</f>
        <v>5161.2903225806449</v>
      </c>
      <c r="U1538" s="22">
        <f t="shared" ref="U1538:U1601" si="73">F1538</f>
        <v>8000</v>
      </c>
    </row>
    <row r="1539" spans="1:21" ht="47.4" hidden="1" thickBot="1" x14ac:dyDescent="0.6">
      <c r="A1539" s="10" t="s">
        <v>1891</v>
      </c>
      <c r="B1539" s="10" t="s">
        <v>1943</v>
      </c>
      <c r="C1539" s="12"/>
      <c r="D1539" s="10" t="s">
        <v>1207</v>
      </c>
      <c r="E1539" s="10" t="s">
        <v>23</v>
      </c>
      <c r="F1539" s="10">
        <v>20000</v>
      </c>
      <c r="G1539" s="10" t="s">
        <v>15</v>
      </c>
      <c r="H1539" s="10" t="s">
        <v>140</v>
      </c>
      <c r="I1539" s="10" t="s">
        <v>66</v>
      </c>
      <c r="J1539" s="10" t="s">
        <v>292</v>
      </c>
      <c r="K1539" s="10" t="s">
        <v>1697</v>
      </c>
      <c r="L1539" s="10" t="s">
        <v>1120</v>
      </c>
      <c r="M1539" s="12">
        <v>45379</v>
      </c>
      <c r="N1539" s="10" t="s">
        <v>15</v>
      </c>
      <c r="O1539" s="10" t="s">
        <v>2056</v>
      </c>
      <c r="P1539" s="25" t="str">
        <f>IFERROR(
IF(OR(O1539="anulado",O1539="stand by"),CONCATENATE(O1539,": ",H1539),
IF(OR(YEAR(M1539)=2022,YEAR(M1539)=2023),CONCATENATE("Se activó en ",YEAR(M1539)),
IF(AND(OR(O1539="En proceso",O1539="facturando"),AND(J1539="-",M1539="")),"Por revisar",
IF(M1539="",IF(J1539="NUEVAS",CONCATENATE("Estado: ",O1539,", ",J1539),
IF(L1539=Meses!$A$3,"Por revisar",
IF(H1539="","Sin registro","En programación Frcst."))),"En programación")))),
"Error")</f>
        <v>anulado: Desistido</v>
      </c>
      <c r="Q1539" s="9" t="str">
        <f t="shared" si="72"/>
        <v/>
      </c>
      <c r="R1539" s="25" t="str">
        <f>IF(P1539="En programación Frcst.",VLOOKUP(L1539,Meses!$A$1:$H$14,3+HLOOKUP(Cronograma!J1539,Meses!$D$1:$G$2,2,FALSE),FALSE),
IF(P1539="En programación",M1539,""))</f>
        <v/>
      </c>
      <c r="S1539" s="25" t="str">
        <f t="shared" ref="S1539:S1602" si="74">IFERROR(CONCATENATE(YEAR(R1539),"/",MONTH(R1539)),"")</f>
        <v/>
      </c>
      <c r="T1539" s="21" t="str">
        <f>IFERROR(
(VLOOKUP(MONTH(R1539),Meses!$B$3:$C$14,2,FALSE)-DAY(R1539))/VLOOKUP(MONTH(R1539),Meses!$B$3:$C$14,2,FALSE)*U1539,
"")</f>
        <v/>
      </c>
      <c r="U1539" s="22">
        <f t="shared" si="73"/>
        <v>20000</v>
      </c>
    </row>
    <row r="1540" spans="1:21" ht="47.4" hidden="1" thickBot="1" x14ac:dyDescent="0.6">
      <c r="A1540" s="10" t="s">
        <v>1891</v>
      </c>
      <c r="B1540" s="10" t="s">
        <v>1944</v>
      </c>
      <c r="C1540" s="12">
        <v>45302</v>
      </c>
      <c r="D1540" s="10" t="s">
        <v>1207</v>
      </c>
      <c r="E1540" s="10" t="s">
        <v>23</v>
      </c>
      <c r="F1540" s="10">
        <v>1</v>
      </c>
      <c r="G1540" s="10" t="s">
        <v>15</v>
      </c>
      <c r="H1540" s="10" t="s">
        <v>17</v>
      </c>
      <c r="I1540" s="10" t="s">
        <v>66</v>
      </c>
      <c r="J1540" s="10" t="s">
        <v>292</v>
      </c>
      <c r="K1540" s="10" t="s">
        <v>1697</v>
      </c>
      <c r="L1540" s="10" t="s">
        <v>1120</v>
      </c>
      <c r="M1540" s="12">
        <v>45379</v>
      </c>
      <c r="N1540" s="10" t="s">
        <v>15</v>
      </c>
      <c r="O1540" s="10" t="s">
        <v>2054</v>
      </c>
      <c r="P1540" s="25" t="str">
        <f>IFERROR(
IF(OR(O1540="anulado",O1540="stand by"),CONCATENATE(O1540,": ",H1540),
IF(OR(YEAR(M1540)=2022,YEAR(M1540)=2023),CONCATENATE("Se activó en ",YEAR(M1540)),
IF(AND(OR(O1540="En proceso",O1540="facturando"),AND(J1540="-",M1540="")),"Por revisar",
IF(M1540="",IF(J1540="NUEVAS",CONCATENATE("Estado: ",O1540,", ",J1540),
IF(L1540=Meses!$A$3,"Por revisar",
IF(H1540="","Sin registro","En programación Frcst."))),"En programación")))),
"Error")</f>
        <v>En programación</v>
      </c>
      <c r="Q1540" s="9" t="str">
        <f t="shared" si="72"/>
        <v/>
      </c>
      <c r="R1540" s="25">
        <f>IF(P1540="En programación Frcst.",VLOOKUP(L1540,Meses!$A$1:$H$14,3+HLOOKUP(Cronograma!J1540,Meses!$D$1:$G$2,2,FALSE),FALSE),
IF(P1540="En programación",M1540,""))</f>
        <v>45379</v>
      </c>
      <c r="S1540" s="25" t="str">
        <f t="shared" si="74"/>
        <v>2024/3</v>
      </c>
      <c r="T1540" s="21">
        <f>IFERROR(
(VLOOKUP(MONTH(R1540),Meses!$B$3:$C$14,2,FALSE)-DAY(R1540))/VLOOKUP(MONTH(R1540),Meses!$B$3:$C$14,2,FALSE)*U1540,
"")</f>
        <v>9.6774193548387094E-2</v>
      </c>
      <c r="U1540" s="22">
        <f t="shared" si="73"/>
        <v>1</v>
      </c>
    </row>
    <row r="1541" spans="1:21" ht="47.4" hidden="1" thickBot="1" x14ac:dyDescent="0.6">
      <c r="A1541" s="10" t="s">
        <v>1891</v>
      </c>
      <c r="B1541" s="10" t="s">
        <v>1945</v>
      </c>
      <c r="C1541" s="12">
        <v>45302</v>
      </c>
      <c r="D1541" s="10" t="s">
        <v>1207</v>
      </c>
      <c r="E1541" s="10" t="s">
        <v>23</v>
      </c>
      <c r="F1541" s="10">
        <v>60</v>
      </c>
      <c r="G1541" s="10" t="s">
        <v>15</v>
      </c>
      <c r="H1541" s="10" t="s">
        <v>2406</v>
      </c>
      <c r="I1541" s="10" t="s">
        <v>66</v>
      </c>
      <c r="J1541" s="10" t="s">
        <v>143</v>
      </c>
      <c r="K1541" s="10" t="s">
        <v>538</v>
      </c>
      <c r="L1541" s="10" t="s">
        <v>279</v>
      </c>
      <c r="M1541" s="12"/>
      <c r="N1541" s="10" t="s">
        <v>15</v>
      </c>
      <c r="O1541" s="10" t="s">
        <v>2054</v>
      </c>
      <c r="P1541" s="25" t="str">
        <f>IFERROR(
IF(OR(O1541="anulado",O1541="stand by"),CONCATENATE(O1541,": ",H1541),
IF(OR(YEAR(M1541)=2022,YEAR(M1541)=2023),CONCATENATE("Se activó en ",YEAR(M1541)),
IF(AND(OR(O1541="En proceso",O1541="facturando"),AND(J1541="-",M1541="")),"Por revisar",
IF(M1541="",IF(J1541="NUEVAS",CONCATENATE("Estado: ",O1541,", ",J1541),
IF(L1541=Meses!$A$3,"Por revisar",
IF(H1541="","Sin registro","En programación Frcst."))),"En programación")))),
"Error")</f>
        <v>En programación Frcst.</v>
      </c>
      <c r="Q1541" s="9" t="str">
        <f t="shared" si="72"/>
        <v/>
      </c>
      <c r="R1541" s="25">
        <f>IF(P1541="En programación Frcst.",VLOOKUP(L1541,Meses!$A$1:$H$14,3+HLOOKUP(Cronograma!J1541,Meses!$D$1:$G$2,2,FALSE),FALSE),
IF(P1541="En programación",M1541,""))</f>
        <v>45302</v>
      </c>
      <c r="S1541" s="25" t="str">
        <f t="shared" si="74"/>
        <v>2024/1</v>
      </c>
      <c r="T1541" s="21">
        <f>IFERROR(
(VLOOKUP(MONTH(R1541),Meses!$B$3:$C$14,2,FALSE)-DAY(R1541))/VLOOKUP(MONTH(R1541),Meses!$B$3:$C$14,2,FALSE)*U1541,
"")</f>
        <v>38.70967741935484</v>
      </c>
      <c r="U1541" s="22">
        <f t="shared" si="73"/>
        <v>60</v>
      </c>
    </row>
    <row r="1542" spans="1:21" ht="47.4" hidden="1" thickBot="1" x14ac:dyDescent="0.6">
      <c r="A1542" s="10" t="s">
        <v>1891</v>
      </c>
      <c r="B1542" s="10" t="s">
        <v>1946</v>
      </c>
      <c r="C1542" s="12">
        <v>45323</v>
      </c>
      <c r="D1542" s="10" t="s">
        <v>1207</v>
      </c>
      <c r="E1542" s="10" t="s">
        <v>23</v>
      </c>
      <c r="F1542" s="10">
        <v>80</v>
      </c>
      <c r="G1542" s="10" t="s">
        <v>15</v>
      </c>
      <c r="H1542" s="10" t="s">
        <v>2406</v>
      </c>
      <c r="I1542" s="10" t="s">
        <v>66</v>
      </c>
      <c r="J1542" s="10" t="s">
        <v>143</v>
      </c>
      <c r="K1542" s="10" t="s">
        <v>538</v>
      </c>
      <c r="L1542" s="10" t="s">
        <v>748</v>
      </c>
      <c r="M1542" s="12"/>
      <c r="N1542" s="10" t="s">
        <v>15</v>
      </c>
      <c r="O1542" s="10" t="s">
        <v>2054</v>
      </c>
      <c r="P1542" s="25" t="str">
        <f>IFERROR(
IF(OR(O1542="anulado",O1542="stand by"),CONCATENATE(O1542,": ",H1542),
IF(OR(YEAR(M1542)=2022,YEAR(M1542)=2023),CONCATENATE("Se activó en ",YEAR(M1542)),
IF(AND(OR(O1542="En proceso",O1542="facturando"),AND(J1542="-",M1542="")),"Por revisar",
IF(M1542="",IF(J1542="NUEVAS",CONCATENATE("Estado: ",O1542,", ",J1542),
IF(L1542=Meses!$A$3,"Por revisar",
IF(H1542="","Sin registro","En programación Frcst."))),"En programación")))),
"Error")</f>
        <v>En programación Frcst.</v>
      </c>
      <c r="Q1542" s="9" t="str">
        <f t="shared" si="72"/>
        <v/>
      </c>
      <c r="R1542" s="25">
        <f>IF(P1542="En programación Frcst.",VLOOKUP(L1542,Meses!$A$1:$H$14,3+HLOOKUP(Cronograma!J1542,Meses!$D$1:$G$2,2,FALSE),FALSE),
IF(P1542="En programación",M1542,""))</f>
        <v>45330</v>
      </c>
      <c r="S1542" s="25" t="str">
        <f t="shared" si="74"/>
        <v>2024/2</v>
      </c>
      <c r="T1542" s="21">
        <f>IFERROR(
(VLOOKUP(MONTH(R1542),Meses!$B$3:$C$14,2,FALSE)-DAY(R1542))/VLOOKUP(MONTH(R1542),Meses!$B$3:$C$14,2,FALSE)*U1542,
"")</f>
        <v>57.931034482758619</v>
      </c>
      <c r="U1542" s="22">
        <f t="shared" si="73"/>
        <v>80</v>
      </c>
    </row>
    <row r="1543" spans="1:21" ht="47.4" hidden="1" thickBot="1" x14ac:dyDescent="0.6">
      <c r="A1543" s="10" t="s">
        <v>1891</v>
      </c>
      <c r="B1543" s="10" t="s">
        <v>1947</v>
      </c>
      <c r="C1543" s="12">
        <v>45302</v>
      </c>
      <c r="D1543" s="10" t="s">
        <v>1207</v>
      </c>
      <c r="E1543" s="10" t="s">
        <v>23</v>
      </c>
      <c r="F1543" s="10">
        <v>1000</v>
      </c>
      <c r="G1543" s="10" t="s">
        <v>15</v>
      </c>
      <c r="H1543" s="10" t="s">
        <v>2406</v>
      </c>
      <c r="I1543" s="10" t="s">
        <v>66</v>
      </c>
      <c r="J1543" s="10" t="s">
        <v>143</v>
      </c>
      <c r="K1543" s="10" t="s">
        <v>538</v>
      </c>
      <c r="L1543" s="10" t="s">
        <v>279</v>
      </c>
      <c r="M1543" s="12"/>
      <c r="N1543" s="10" t="s">
        <v>15</v>
      </c>
      <c r="O1543" s="10" t="s">
        <v>2054</v>
      </c>
      <c r="P1543" s="25" t="str">
        <f>IFERROR(
IF(OR(O1543="anulado",O1543="stand by"),CONCATENATE(O1543,": ",H1543),
IF(OR(YEAR(M1543)=2022,YEAR(M1543)=2023),CONCATENATE("Se activó en ",YEAR(M1543)),
IF(AND(OR(O1543="En proceso",O1543="facturando"),AND(J1543="-",M1543="")),"Por revisar",
IF(M1543="",IF(J1543="NUEVAS",CONCATENATE("Estado: ",O1543,", ",J1543),
IF(L1543=Meses!$A$3,"Por revisar",
IF(H1543="","Sin registro","En programación Frcst."))),"En programación")))),
"Error")</f>
        <v>En programación Frcst.</v>
      </c>
      <c r="Q1543" s="9" t="str">
        <f t="shared" si="72"/>
        <v/>
      </c>
      <c r="R1543" s="25">
        <f>IF(P1543="En programación Frcst.",VLOOKUP(L1543,Meses!$A$1:$H$14,3+HLOOKUP(Cronograma!J1543,Meses!$D$1:$G$2,2,FALSE),FALSE),
IF(P1543="En programación",M1543,""))</f>
        <v>45302</v>
      </c>
      <c r="S1543" s="25" t="str">
        <f t="shared" si="74"/>
        <v>2024/1</v>
      </c>
      <c r="T1543" s="21">
        <f>IFERROR(
(VLOOKUP(MONTH(R1543),Meses!$B$3:$C$14,2,FALSE)-DAY(R1543))/VLOOKUP(MONTH(R1543),Meses!$B$3:$C$14,2,FALSE)*U1543,
"")</f>
        <v>645.16129032258061</v>
      </c>
      <c r="U1543" s="22">
        <f t="shared" si="73"/>
        <v>1000</v>
      </c>
    </row>
    <row r="1544" spans="1:21" ht="47.4" hidden="1" thickBot="1" x14ac:dyDescent="0.6">
      <c r="A1544" s="10" t="s">
        <v>1891</v>
      </c>
      <c r="B1544" s="10" t="s">
        <v>1948</v>
      </c>
      <c r="C1544" s="12">
        <v>45302</v>
      </c>
      <c r="D1544" s="10" t="s">
        <v>1207</v>
      </c>
      <c r="E1544" s="10" t="s">
        <v>23</v>
      </c>
      <c r="F1544" s="10">
        <v>2500</v>
      </c>
      <c r="G1544" s="10" t="s">
        <v>15</v>
      </c>
      <c r="H1544" s="10" t="s">
        <v>2406</v>
      </c>
      <c r="I1544" s="10" t="s">
        <v>66</v>
      </c>
      <c r="J1544" s="10" t="s">
        <v>292</v>
      </c>
      <c r="K1544" s="10" t="s">
        <v>1697</v>
      </c>
      <c r="L1544" s="10" t="s">
        <v>1120</v>
      </c>
      <c r="M1544" s="12">
        <v>45379</v>
      </c>
      <c r="N1544" s="10" t="s">
        <v>15</v>
      </c>
      <c r="O1544" s="10" t="s">
        <v>2054</v>
      </c>
      <c r="P1544" s="25" t="str">
        <f>IFERROR(
IF(OR(O1544="anulado",O1544="stand by"),CONCATENATE(O1544,": ",H1544),
IF(OR(YEAR(M1544)=2022,YEAR(M1544)=2023),CONCATENATE("Se activó en ",YEAR(M1544)),
IF(AND(OR(O1544="En proceso",O1544="facturando"),AND(J1544="-",M1544="")),"Por revisar",
IF(M1544="",IF(J1544="NUEVAS",CONCATENATE("Estado: ",O1544,", ",J1544),
IF(L1544=Meses!$A$3,"Por revisar",
IF(H1544="","Sin registro","En programación Frcst."))),"En programación")))),
"Error")</f>
        <v>En programación</v>
      </c>
      <c r="Q1544" s="9" t="str">
        <f t="shared" si="72"/>
        <v/>
      </c>
      <c r="R1544" s="25">
        <f>IF(P1544="En programación Frcst.",VLOOKUP(L1544,Meses!$A$1:$H$14,3+HLOOKUP(Cronograma!J1544,Meses!$D$1:$G$2,2,FALSE),FALSE),
IF(P1544="En programación",M1544,""))</f>
        <v>45379</v>
      </c>
      <c r="S1544" s="25" t="str">
        <f t="shared" si="74"/>
        <v>2024/3</v>
      </c>
      <c r="T1544" s="21">
        <f>IFERROR(
(VLOOKUP(MONTH(R1544),Meses!$B$3:$C$14,2,FALSE)-DAY(R1544))/VLOOKUP(MONTH(R1544),Meses!$B$3:$C$14,2,FALSE)*U1544,
"")</f>
        <v>241.93548387096774</v>
      </c>
      <c r="U1544" s="22">
        <f t="shared" si="73"/>
        <v>2500</v>
      </c>
    </row>
    <row r="1545" spans="1:21" ht="47.4" hidden="1" thickBot="1" x14ac:dyDescent="0.6">
      <c r="A1545" s="10" t="s">
        <v>1891</v>
      </c>
      <c r="B1545" s="10" t="s">
        <v>1949</v>
      </c>
      <c r="C1545" s="12">
        <v>45302</v>
      </c>
      <c r="D1545" s="10" t="s">
        <v>1207</v>
      </c>
      <c r="E1545" s="10" t="s">
        <v>23</v>
      </c>
      <c r="F1545" s="10">
        <v>1000</v>
      </c>
      <c r="G1545" s="10" t="s">
        <v>15</v>
      </c>
      <c r="H1545" s="10" t="s">
        <v>2406</v>
      </c>
      <c r="I1545" s="10" t="s">
        <v>66</v>
      </c>
      <c r="J1545" s="10" t="s">
        <v>143</v>
      </c>
      <c r="K1545" s="10" t="s">
        <v>538</v>
      </c>
      <c r="L1545" s="10" t="s">
        <v>279</v>
      </c>
      <c r="M1545" s="12"/>
      <c r="N1545" s="10" t="s">
        <v>15</v>
      </c>
      <c r="O1545" s="10" t="s">
        <v>2054</v>
      </c>
      <c r="P1545" s="25" t="str">
        <f>IFERROR(
IF(OR(O1545="anulado",O1545="stand by"),CONCATENATE(O1545,": ",H1545),
IF(OR(YEAR(M1545)=2022,YEAR(M1545)=2023),CONCATENATE("Se activó en ",YEAR(M1545)),
IF(AND(OR(O1545="En proceso",O1545="facturando"),AND(J1545="-",M1545="")),"Por revisar",
IF(M1545="",IF(J1545="NUEVAS",CONCATENATE("Estado: ",O1545,", ",J1545),
IF(L1545=Meses!$A$3,"Por revisar",
IF(H1545="","Sin registro","En programación Frcst."))),"En programación")))),
"Error")</f>
        <v>En programación Frcst.</v>
      </c>
      <c r="Q1545" s="9" t="str">
        <f t="shared" si="72"/>
        <v/>
      </c>
      <c r="R1545" s="25">
        <f>IF(P1545="En programación Frcst.",VLOOKUP(L1545,Meses!$A$1:$H$14,3+HLOOKUP(Cronograma!J1545,Meses!$D$1:$G$2,2,FALSE),FALSE),
IF(P1545="En programación",M1545,""))</f>
        <v>45302</v>
      </c>
      <c r="S1545" s="25" t="str">
        <f t="shared" si="74"/>
        <v>2024/1</v>
      </c>
      <c r="T1545" s="21">
        <f>IFERROR(
(VLOOKUP(MONTH(R1545),Meses!$B$3:$C$14,2,FALSE)-DAY(R1545))/VLOOKUP(MONTH(R1545),Meses!$B$3:$C$14,2,FALSE)*U1545,
"")</f>
        <v>645.16129032258061</v>
      </c>
      <c r="U1545" s="22">
        <f t="shared" si="73"/>
        <v>1000</v>
      </c>
    </row>
    <row r="1546" spans="1:21" ht="47.4" hidden="1" thickBot="1" x14ac:dyDescent="0.6">
      <c r="A1546" s="10" t="s">
        <v>1891</v>
      </c>
      <c r="B1546" s="10" t="s">
        <v>1950</v>
      </c>
      <c r="C1546" s="12">
        <v>45302</v>
      </c>
      <c r="D1546" s="10" t="s">
        <v>1207</v>
      </c>
      <c r="E1546" s="10" t="s">
        <v>23</v>
      </c>
      <c r="F1546" s="10">
        <v>500</v>
      </c>
      <c r="G1546" s="10" t="s">
        <v>15</v>
      </c>
      <c r="H1546" s="10" t="s">
        <v>2406</v>
      </c>
      <c r="I1546" s="10" t="s">
        <v>66</v>
      </c>
      <c r="J1546" s="10" t="s">
        <v>143</v>
      </c>
      <c r="K1546" s="10" t="s">
        <v>538</v>
      </c>
      <c r="L1546" s="10" t="s">
        <v>279</v>
      </c>
      <c r="M1546" s="12"/>
      <c r="N1546" s="10" t="s">
        <v>15</v>
      </c>
      <c r="O1546" s="10" t="s">
        <v>2054</v>
      </c>
      <c r="P1546" s="25" t="str">
        <f>IFERROR(
IF(OR(O1546="anulado",O1546="stand by"),CONCATENATE(O1546,": ",H1546),
IF(OR(YEAR(M1546)=2022,YEAR(M1546)=2023),CONCATENATE("Se activó en ",YEAR(M1546)),
IF(AND(OR(O1546="En proceso",O1546="facturando"),AND(J1546="-",M1546="")),"Por revisar",
IF(M1546="",IF(J1546="NUEVAS",CONCATENATE("Estado: ",O1546,", ",J1546),
IF(L1546=Meses!$A$3,"Por revisar",
IF(H1546="","Sin registro","En programación Frcst."))),"En programación")))),
"Error")</f>
        <v>En programación Frcst.</v>
      </c>
      <c r="Q1546" s="9" t="str">
        <f t="shared" si="72"/>
        <v/>
      </c>
      <c r="R1546" s="25">
        <f>IF(P1546="En programación Frcst.",VLOOKUP(L1546,Meses!$A$1:$H$14,3+HLOOKUP(Cronograma!J1546,Meses!$D$1:$G$2,2,FALSE),FALSE),
IF(P1546="En programación",M1546,""))</f>
        <v>45302</v>
      </c>
      <c r="S1546" s="25" t="str">
        <f t="shared" si="74"/>
        <v>2024/1</v>
      </c>
      <c r="T1546" s="21">
        <f>IFERROR(
(VLOOKUP(MONTH(R1546),Meses!$B$3:$C$14,2,FALSE)-DAY(R1546))/VLOOKUP(MONTH(R1546),Meses!$B$3:$C$14,2,FALSE)*U1546,
"")</f>
        <v>322.58064516129031</v>
      </c>
      <c r="U1546" s="22">
        <f t="shared" si="73"/>
        <v>500</v>
      </c>
    </row>
    <row r="1547" spans="1:21" ht="47.4" hidden="1" thickBot="1" x14ac:dyDescent="0.6">
      <c r="A1547" s="10" t="s">
        <v>1891</v>
      </c>
      <c r="B1547" s="10" t="s">
        <v>1951</v>
      </c>
      <c r="C1547" s="12"/>
      <c r="D1547" s="10" t="s">
        <v>1207</v>
      </c>
      <c r="E1547" s="10" t="s">
        <v>23</v>
      </c>
      <c r="F1547" s="10">
        <v>180</v>
      </c>
      <c r="G1547" s="10" t="s">
        <v>15</v>
      </c>
      <c r="H1547" s="10" t="s">
        <v>140</v>
      </c>
      <c r="I1547" s="10" t="s">
        <v>66</v>
      </c>
      <c r="J1547" s="10" t="s">
        <v>292</v>
      </c>
      <c r="K1547" s="10" t="s">
        <v>1697</v>
      </c>
      <c r="L1547" s="10" t="s">
        <v>1120</v>
      </c>
      <c r="M1547" s="12">
        <v>45379</v>
      </c>
      <c r="N1547" s="10" t="s">
        <v>15</v>
      </c>
      <c r="O1547" s="10" t="s">
        <v>2056</v>
      </c>
      <c r="P1547" s="25" t="str">
        <f>IFERROR(
IF(OR(O1547="anulado",O1547="stand by"),CONCATENATE(O1547,": ",H1547),
IF(OR(YEAR(M1547)=2022,YEAR(M1547)=2023),CONCATENATE("Se activó en ",YEAR(M1547)),
IF(AND(OR(O1547="En proceso",O1547="facturando"),AND(J1547="-",M1547="")),"Por revisar",
IF(M1547="",IF(J1547="NUEVAS",CONCATENATE("Estado: ",O1547,", ",J1547),
IF(L1547=Meses!$A$3,"Por revisar",
IF(H1547="","Sin registro","En programación Frcst."))),"En programación")))),
"Error")</f>
        <v>anulado: Desistido</v>
      </c>
      <c r="Q1547" s="9" t="str">
        <f t="shared" si="72"/>
        <v/>
      </c>
      <c r="R1547" s="25" t="str">
        <f>IF(P1547="En programación Frcst.",VLOOKUP(L1547,Meses!$A$1:$H$14,3+HLOOKUP(Cronograma!J1547,Meses!$D$1:$G$2,2,FALSE),FALSE),
IF(P1547="En programación",M1547,""))</f>
        <v/>
      </c>
      <c r="S1547" s="25" t="str">
        <f t="shared" si="74"/>
        <v/>
      </c>
      <c r="T1547" s="21" t="str">
        <f>IFERROR(
(VLOOKUP(MONTH(R1547),Meses!$B$3:$C$14,2,FALSE)-DAY(R1547))/VLOOKUP(MONTH(R1547),Meses!$B$3:$C$14,2,FALSE)*U1547,
"")</f>
        <v/>
      </c>
      <c r="U1547" s="22">
        <f t="shared" si="73"/>
        <v>180</v>
      </c>
    </row>
    <row r="1548" spans="1:21" ht="47.4" hidden="1" thickBot="1" x14ac:dyDescent="0.6">
      <c r="A1548" s="10" t="s">
        <v>1891</v>
      </c>
      <c r="B1548" s="10" t="s">
        <v>1952</v>
      </c>
      <c r="C1548" s="12"/>
      <c r="D1548" s="10" t="s">
        <v>1207</v>
      </c>
      <c r="E1548" s="10" t="s">
        <v>23</v>
      </c>
      <c r="F1548" s="10">
        <v>80</v>
      </c>
      <c r="G1548" s="10" t="s">
        <v>15</v>
      </c>
      <c r="H1548" s="10" t="s">
        <v>140</v>
      </c>
      <c r="I1548" s="10" t="s">
        <v>66</v>
      </c>
      <c r="J1548" s="10" t="s">
        <v>292</v>
      </c>
      <c r="K1548" s="10" t="s">
        <v>1697</v>
      </c>
      <c r="L1548" s="10" t="s">
        <v>1120</v>
      </c>
      <c r="M1548" s="12">
        <v>45379</v>
      </c>
      <c r="N1548" s="10" t="s">
        <v>15</v>
      </c>
      <c r="O1548" s="10" t="s">
        <v>2056</v>
      </c>
      <c r="P1548" s="25" t="str">
        <f>IFERROR(
IF(OR(O1548="anulado",O1548="stand by"),CONCATENATE(O1548,": ",H1548),
IF(OR(YEAR(M1548)=2022,YEAR(M1548)=2023),CONCATENATE("Se activó en ",YEAR(M1548)),
IF(AND(OR(O1548="En proceso",O1548="facturando"),AND(J1548="-",M1548="")),"Por revisar",
IF(M1548="",IF(J1548="NUEVAS",CONCATENATE("Estado: ",O1548,", ",J1548),
IF(L1548=Meses!$A$3,"Por revisar",
IF(H1548="","Sin registro","En programación Frcst."))),"En programación")))),
"Error")</f>
        <v>anulado: Desistido</v>
      </c>
      <c r="Q1548" s="9" t="str">
        <f t="shared" si="72"/>
        <v/>
      </c>
      <c r="R1548" s="25" t="str">
        <f>IF(P1548="En programación Frcst.",VLOOKUP(L1548,Meses!$A$1:$H$14,3+HLOOKUP(Cronograma!J1548,Meses!$D$1:$G$2,2,FALSE),FALSE),
IF(P1548="En programación",M1548,""))</f>
        <v/>
      </c>
      <c r="S1548" s="25" t="str">
        <f t="shared" si="74"/>
        <v/>
      </c>
      <c r="T1548" s="21" t="str">
        <f>IFERROR(
(VLOOKUP(MONTH(R1548),Meses!$B$3:$C$14,2,FALSE)-DAY(R1548))/VLOOKUP(MONTH(R1548),Meses!$B$3:$C$14,2,FALSE)*U1548,
"")</f>
        <v/>
      </c>
      <c r="U1548" s="22">
        <f t="shared" si="73"/>
        <v>80</v>
      </c>
    </row>
    <row r="1549" spans="1:21" ht="47.4" hidden="1" thickBot="1" x14ac:dyDescent="0.6">
      <c r="A1549" s="10" t="s">
        <v>1891</v>
      </c>
      <c r="B1549" s="10" t="s">
        <v>1953</v>
      </c>
      <c r="C1549" s="12">
        <v>45316</v>
      </c>
      <c r="D1549" s="10" t="s">
        <v>1207</v>
      </c>
      <c r="E1549" s="10" t="s">
        <v>23</v>
      </c>
      <c r="F1549" s="10">
        <v>2400</v>
      </c>
      <c r="G1549" s="10" t="s">
        <v>15</v>
      </c>
      <c r="H1549" s="10" t="s">
        <v>2406</v>
      </c>
      <c r="I1549" s="10" t="s">
        <v>66</v>
      </c>
      <c r="J1549" s="10" t="s">
        <v>292</v>
      </c>
      <c r="K1549" s="10" t="s">
        <v>293</v>
      </c>
      <c r="L1549" s="10" t="s">
        <v>279</v>
      </c>
      <c r="M1549" s="12"/>
      <c r="N1549" s="10" t="s">
        <v>15</v>
      </c>
      <c r="O1549" s="10" t="s">
        <v>2054</v>
      </c>
      <c r="P1549" s="25" t="str">
        <f>IFERROR(
IF(OR(O1549="anulado",O1549="stand by"),CONCATENATE(O1549,": ",H1549),
IF(OR(YEAR(M1549)=2022,YEAR(M1549)=2023),CONCATENATE("Se activó en ",YEAR(M1549)),
IF(AND(OR(O1549="En proceso",O1549="facturando"),AND(J1549="-",M1549="")),"Por revisar",
IF(M1549="",IF(J1549="NUEVAS",CONCATENATE("Estado: ",O1549,", ",J1549),
IF(L1549=Meses!$A$3,"Por revisar",
IF(H1549="","Sin registro","En programación Frcst."))),"En programación")))),
"Error")</f>
        <v>En programación Frcst.</v>
      </c>
      <c r="Q1549" s="9" t="str">
        <f t="shared" si="72"/>
        <v/>
      </c>
      <c r="R1549" s="25">
        <f>IF(P1549="En programación Frcst.",VLOOKUP(L1549,Meses!$A$1:$H$14,3+HLOOKUP(Cronograma!J1549,Meses!$D$1:$G$2,2,FALSE),FALSE),
IF(P1549="En programación",M1549,""))</f>
        <v>45316</v>
      </c>
      <c r="S1549" s="25" t="str">
        <f t="shared" si="74"/>
        <v>2024/1</v>
      </c>
      <c r="T1549" s="21">
        <f>IFERROR(
(VLOOKUP(MONTH(R1549),Meses!$B$3:$C$14,2,FALSE)-DAY(R1549))/VLOOKUP(MONTH(R1549),Meses!$B$3:$C$14,2,FALSE)*U1549,
"")</f>
        <v>464.51612903225805</v>
      </c>
      <c r="U1549" s="22">
        <f t="shared" si="73"/>
        <v>2400</v>
      </c>
    </row>
    <row r="1550" spans="1:21" ht="47.4" hidden="1" thickBot="1" x14ac:dyDescent="0.6">
      <c r="A1550" s="10" t="s">
        <v>1891</v>
      </c>
      <c r="B1550" s="10" t="s">
        <v>1954</v>
      </c>
      <c r="C1550" s="12">
        <v>45302</v>
      </c>
      <c r="D1550" s="10" t="s">
        <v>1207</v>
      </c>
      <c r="E1550" s="10" t="s">
        <v>23</v>
      </c>
      <c r="F1550" s="10">
        <v>1</v>
      </c>
      <c r="G1550" s="10" t="s">
        <v>15</v>
      </c>
      <c r="H1550" s="10" t="s">
        <v>3311</v>
      </c>
      <c r="I1550" s="10" t="s">
        <v>66</v>
      </c>
      <c r="J1550" s="10" t="s">
        <v>143</v>
      </c>
      <c r="K1550" s="10" t="s">
        <v>538</v>
      </c>
      <c r="L1550" s="10" t="s">
        <v>279</v>
      </c>
      <c r="M1550" s="12"/>
      <c r="N1550" s="10" t="s">
        <v>15</v>
      </c>
      <c r="O1550" s="10" t="s">
        <v>3311</v>
      </c>
      <c r="P1550" s="25" t="str">
        <f>IFERROR(
IF(OR(O1550="anulado",O1550="stand by"),CONCATENATE(O1550,": ",H1550),
IF(OR(YEAR(M1550)=2022,YEAR(M1550)=2023),CONCATENATE("Se activó en ",YEAR(M1550)),
IF(AND(OR(O1550="En proceso",O1550="facturando"),AND(J1550="-",M1550="")),"Por revisar",
IF(M1550="",IF(J1550="NUEVAS",CONCATENATE("Estado: ",O1550,", ",J1550),
IF(L1550=Meses!$A$3,"Por revisar",
IF(H1550="","Sin registro","En programación Frcst."))),"En programación")))),
"Error")</f>
        <v>En programación Frcst.</v>
      </c>
      <c r="Q1550" s="9" t="str">
        <f t="shared" si="72"/>
        <v/>
      </c>
      <c r="R1550" s="25">
        <f>IF(P1550="En programación Frcst.",VLOOKUP(L1550,Meses!$A$1:$H$14,3+HLOOKUP(Cronograma!J1550,Meses!$D$1:$G$2,2,FALSE),FALSE),
IF(P1550="En programación",M1550,""))</f>
        <v>45302</v>
      </c>
      <c r="S1550" s="25" t="str">
        <f t="shared" si="74"/>
        <v>2024/1</v>
      </c>
      <c r="T1550" s="21">
        <f>IFERROR(
(VLOOKUP(MONTH(R1550),Meses!$B$3:$C$14,2,FALSE)-DAY(R1550))/VLOOKUP(MONTH(R1550),Meses!$B$3:$C$14,2,FALSE)*U1550,
"")</f>
        <v>0.64516129032258063</v>
      </c>
      <c r="U1550" s="22">
        <f t="shared" si="73"/>
        <v>1</v>
      </c>
    </row>
    <row r="1551" spans="1:21" ht="47.4" hidden="1" thickBot="1" x14ac:dyDescent="0.6">
      <c r="A1551" s="10" t="s">
        <v>1891</v>
      </c>
      <c r="B1551" s="10" t="s">
        <v>1955</v>
      </c>
      <c r="C1551" s="12">
        <v>45302</v>
      </c>
      <c r="D1551" s="10" t="s">
        <v>1207</v>
      </c>
      <c r="E1551" s="10" t="s">
        <v>23</v>
      </c>
      <c r="F1551" s="10">
        <v>1800</v>
      </c>
      <c r="G1551" s="10" t="s">
        <v>15</v>
      </c>
      <c r="H1551" s="10" t="s">
        <v>3311</v>
      </c>
      <c r="I1551" s="10" t="s">
        <v>66</v>
      </c>
      <c r="J1551" s="10" t="s">
        <v>143</v>
      </c>
      <c r="K1551" s="10" t="s">
        <v>538</v>
      </c>
      <c r="L1551" s="10" t="s">
        <v>279</v>
      </c>
      <c r="M1551" s="12"/>
      <c r="N1551" s="10" t="s">
        <v>15</v>
      </c>
      <c r="O1551" s="10" t="s">
        <v>3311</v>
      </c>
      <c r="P1551" s="25" t="str">
        <f>IFERROR(
IF(OR(O1551="anulado",O1551="stand by"),CONCATENATE(O1551,": ",H1551),
IF(OR(YEAR(M1551)=2022,YEAR(M1551)=2023),CONCATENATE("Se activó en ",YEAR(M1551)),
IF(AND(OR(O1551="En proceso",O1551="facturando"),AND(J1551="-",M1551="")),"Por revisar",
IF(M1551="",IF(J1551="NUEVAS",CONCATENATE("Estado: ",O1551,", ",J1551),
IF(L1551=Meses!$A$3,"Por revisar",
IF(H1551="","Sin registro","En programación Frcst."))),"En programación")))),
"Error")</f>
        <v>En programación Frcst.</v>
      </c>
      <c r="Q1551" s="9" t="str">
        <f t="shared" si="72"/>
        <v/>
      </c>
      <c r="R1551" s="25">
        <f>IF(P1551="En programación Frcst.",VLOOKUP(L1551,Meses!$A$1:$H$14,3+HLOOKUP(Cronograma!J1551,Meses!$D$1:$G$2,2,FALSE),FALSE),
IF(P1551="En programación",M1551,""))</f>
        <v>45302</v>
      </c>
      <c r="S1551" s="25" t="str">
        <f t="shared" si="74"/>
        <v>2024/1</v>
      </c>
      <c r="T1551" s="21">
        <f>IFERROR(
(VLOOKUP(MONTH(R1551),Meses!$B$3:$C$14,2,FALSE)-DAY(R1551))/VLOOKUP(MONTH(R1551),Meses!$B$3:$C$14,2,FALSE)*U1551,
"")</f>
        <v>1161.2903225806451</v>
      </c>
      <c r="U1551" s="22">
        <f t="shared" si="73"/>
        <v>1800</v>
      </c>
    </row>
    <row r="1552" spans="1:21" ht="47.4" hidden="1" thickBot="1" x14ac:dyDescent="0.6">
      <c r="A1552" s="10" t="s">
        <v>1891</v>
      </c>
      <c r="B1552" s="10" t="s">
        <v>1956</v>
      </c>
      <c r="C1552" s="12">
        <v>45302</v>
      </c>
      <c r="D1552" s="10" t="s">
        <v>1207</v>
      </c>
      <c r="E1552" s="10" t="s">
        <v>23</v>
      </c>
      <c r="F1552" s="10">
        <v>600</v>
      </c>
      <c r="G1552" s="10" t="s">
        <v>15</v>
      </c>
      <c r="H1552" s="10" t="s">
        <v>3311</v>
      </c>
      <c r="I1552" s="10" t="s">
        <v>66</v>
      </c>
      <c r="J1552" s="10" t="s">
        <v>143</v>
      </c>
      <c r="K1552" s="10" t="s">
        <v>538</v>
      </c>
      <c r="L1552" s="10" t="s">
        <v>279</v>
      </c>
      <c r="M1552" s="12"/>
      <c r="N1552" s="10" t="s">
        <v>15</v>
      </c>
      <c r="O1552" s="10" t="s">
        <v>3311</v>
      </c>
      <c r="P1552" s="25" t="str">
        <f>IFERROR(
IF(OR(O1552="anulado",O1552="stand by"),CONCATENATE(O1552,": ",H1552),
IF(OR(YEAR(M1552)=2022,YEAR(M1552)=2023),CONCATENATE("Se activó en ",YEAR(M1552)),
IF(AND(OR(O1552="En proceso",O1552="facturando"),AND(J1552="-",M1552="")),"Por revisar",
IF(M1552="",IF(J1552="NUEVAS",CONCATENATE("Estado: ",O1552,", ",J1552),
IF(L1552=Meses!$A$3,"Por revisar",
IF(H1552="","Sin registro","En programación Frcst."))),"En programación")))),
"Error")</f>
        <v>En programación Frcst.</v>
      </c>
      <c r="Q1552" s="9" t="str">
        <f t="shared" si="72"/>
        <v/>
      </c>
      <c r="R1552" s="25">
        <f>IF(P1552="En programación Frcst.",VLOOKUP(L1552,Meses!$A$1:$H$14,3+HLOOKUP(Cronograma!J1552,Meses!$D$1:$G$2,2,FALSE),FALSE),
IF(P1552="En programación",M1552,""))</f>
        <v>45302</v>
      </c>
      <c r="S1552" s="25" t="str">
        <f t="shared" si="74"/>
        <v>2024/1</v>
      </c>
      <c r="T1552" s="21">
        <f>IFERROR(
(VLOOKUP(MONTH(R1552),Meses!$B$3:$C$14,2,FALSE)-DAY(R1552))/VLOOKUP(MONTH(R1552),Meses!$B$3:$C$14,2,FALSE)*U1552,
"")</f>
        <v>387.09677419354836</v>
      </c>
      <c r="U1552" s="22">
        <f t="shared" si="73"/>
        <v>600</v>
      </c>
    </row>
    <row r="1553" spans="1:21" ht="47.4" hidden="1" thickBot="1" x14ac:dyDescent="0.6">
      <c r="A1553" s="10" t="s">
        <v>1891</v>
      </c>
      <c r="B1553" s="10" t="s">
        <v>1957</v>
      </c>
      <c r="C1553" s="12">
        <v>45302</v>
      </c>
      <c r="D1553" s="10" t="s">
        <v>1207</v>
      </c>
      <c r="E1553" s="10" t="s">
        <v>23</v>
      </c>
      <c r="F1553" s="10">
        <v>500</v>
      </c>
      <c r="G1553" s="10" t="s">
        <v>15</v>
      </c>
      <c r="H1553" s="10" t="s">
        <v>3311</v>
      </c>
      <c r="I1553" s="10" t="s">
        <v>66</v>
      </c>
      <c r="J1553" s="10" t="s">
        <v>143</v>
      </c>
      <c r="K1553" s="10" t="s">
        <v>538</v>
      </c>
      <c r="L1553" s="10" t="s">
        <v>279</v>
      </c>
      <c r="M1553" s="12"/>
      <c r="N1553" s="10" t="s">
        <v>15</v>
      </c>
      <c r="O1553" s="10" t="s">
        <v>3311</v>
      </c>
      <c r="P1553" s="25" t="str">
        <f>IFERROR(
IF(OR(O1553="anulado",O1553="stand by"),CONCATENATE(O1553,": ",H1553),
IF(OR(YEAR(M1553)=2022,YEAR(M1553)=2023),CONCATENATE("Se activó en ",YEAR(M1553)),
IF(AND(OR(O1553="En proceso",O1553="facturando"),AND(J1553="-",M1553="")),"Por revisar",
IF(M1553="",IF(J1553="NUEVAS",CONCATENATE("Estado: ",O1553,", ",J1553),
IF(L1553=Meses!$A$3,"Por revisar",
IF(H1553="","Sin registro","En programación Frcst."))),"En programación")))),
"Error")</f>
        <v>En programación Frcst.</v>
      </c>
      <c r="Q1553" s="9" t="str">
        <f t="shared" si="72"/>
        <v/>
      </c>
      <c r="R1553" s="25">
        <f>IF(P1553="En programación Frcst.",VLOOKUP(L1553,Meses!$A$1:$H$14,3+HLOOKUP(Cronograma!J1553,Meses!$D$1:$G$2,2,FALSE),FALSE),
IF(P1553="En programación",M1553,""))</f>
        <v>45302</v>
      </c>
      <c r="S1553" s="25" t="str">
        <f t="shared" si="74"/>
        <v>2024/1</v>
      </c>
      <c r="T1553" s="21">
        <f>IFERROR(
(VLOOKUP(MONTH(R1553),Meses!$B$3:$C$14,2,FALSE)-DAY(R1553))/VLOOKUP(MONTH(R1553),Meses!$B$3:$C$14,2,FALSE)*U1553,
"")</f>
        <v>322.58064516129031</v>
      </c>
      <c r="U1553" s="22">
        <f t="shared" si="73"/>
        <v>500</v>
      </c>
    </row>
    <row r="1554" spans="1:21" ht="47.4" hidden="1" thickBot="1" x14ac:dyDescent="0.6">
      <c r="A1554" s="10" t="s">
        <v>1891</v>
      </c>
      <c r="B1554" s="10" t="s">
        <v>1958</v>
      </c>
      <c r="C1554" s="12"/>
      <c r="D1554" s="10" t="s">
        <v>1207</v>
      </c>
      <c r="E1554" s="10" t="s">
        <v>23</v>
      </c>
      <c r="F1554" s="10">
        <v>250</v>
      </c>
      <c r="G1554" s="10" t="s">
        <v>15</v>
      </c>
      <c r="H1554" s="10" t="s">
        <v>140</v>
      </c>
      <c r="I1554" s="10" t="s">
        <v>66</v>
      </c>
      <c r="J1554" s="10" t="s">
        <v>292</v>
      </c>
      <c r="K1554" s="10" t="s">
        <v>1697</v>
      </c>
      <c r="L1554" s="10" t="s">
        <v>1120</v>
      </c>
      <c r="M1554" s="12">
        <v>45379</v>
      </c>
      <c r="N1554" s="10" t="s">
        <v>15</v>
      </c>
      <c r="O1554" s="10" t="s">
        <v>2056</v>
      </c>
      <c r="P1554" s="25" t="str">
        <f>IFERROR(
IF(OR(O1554="anulado",O1554="stand by"),CONCATENATE(O1554,": ",H1554),
IF(OR(YEAR(M1554)=2022,YEAR(M1554)=2023),CONCATENATE("Se activó en ",YEAR(M1554)),
IF(AND(OR(O1554="En proceso",O1554="facturando"),AND(J1554="-",M1554="")),"Por revisar",
IF(M1554="",IF(J1554="NUEVAS",CONCATENATE("Estado: ",O1554,", ",J1554),
IF(L1554=Meses!$A$3,"Por revisar",
IF(H1554="","Sin registro","En programación Frcst."))),"En programación")))),
"Error")</f>
        <v>anulado: Desistido</v>
      </c>
      <c r="Q1554" s="9" t="str">
        <f t="shared" si="72"/>
        <v/>
      </c>
      <c r="R1554" s="25" t="str">
        <f>IF(P1554="En programación Frcst.",VLOOKUP(L1554,Meses!$A$1:$H$14,3+HLOOKUP(Cronograma!J1554,Meses!$D$1:$G$2,2,FALSE),FALSE),
IF(P1554="En programación",M1554,""))</f>
        <v/>
      </c>
      <c r="S1554" s="25" t="str">
        <f t="shared" si="74"/>
        <v/>
      </c>
      <c r="T1554" s="21" t="str">
        <f>IFERROR(
(VLOOKUP(MONTH(R1554),Meses!$B$3:$C$14,2,FALSE)-DAY(R1554))/VLOOKUP(MONTH(R1554),Meses!$B$3:$C$14,2,FALSE)*U1554,
"")</f>
        <v/>
      </c>
      <c r="U1554" s="22">
        <f t="shared" si="73"/>
        <v>250</v>
      </c>
    </row>
    <row r="1555" spans="1:21" ht="47.4" hidden="1" thickBot="1" x14ac:dyDescent="0.6">
      <c r="A1555" s="10" t="s">
        <v>1891</v>
      </c>
      <c r="B1555" s="10" t="s">
        <v>1959</v>
      </c>
      <c r="C1555" s="12"/>
      <c r="D1555" s="10" t="s">
        <v>1207</v>
      </c>
      <c r="E1555" s="10" t="s">
        <v>23</v>
      </c>
      <c r="F1555" s="10">
        <v>100</v>
      </c>
      <c r="G1555" s="10" t="s">
        <v>15</v>
      </c>
      <c r="H1555" s="10" t="s">
        <v>140</v>
      </c>
      <c r="I1555" s="10" t="s">
        <v>66</v>
      </c>
      <c r="J1555" s="10" t="s">
        <v>292</v>
      </c>
      <c r="K1555" s="10" t="s">
        <v>1697</v>
      </c>
      <c r="L1555" s="10" t="s">
        <v>1120</v>
      </c>
      <c r="M1555" s="12">
        <v>45379</v>
      </c>
      <c r="N1555" s="10" t="s">
        <v>15</v>
      </c>
      <c r="O1555" s="10" t="s">
        <v>2056</v>
      </c>
      <c r="P1555" s="25" t="str">
        <f>IFERROR(
IF(OR(O1555="anulado",O1555="stand by"),CONCATENATE(O1555,": ",H1555),
IF(OR(YEAR(M1555)=2022,YEAR(M1555)=2023),CONCATENATE("Se activó en ",YEAR(M1555)),
IF(AND(OR(O1555="En proceso",O1555="facturando"),AND(J1555="-",M1555="")),"Por revisar",
IF(M1555="",IF(J1555="NUEVAS",CONCATENATE("Estado: ",O1555,", ",J1555),
IF(L1555=Meses!$A$3,"Por revisar",
IF(H1555="","Sin registro","En programación Frcst."))),"En programación")))),
"Error")</f>
        <v>anulado: Desistido</v>
      </c>
      <c r="Q1555" s="9" t="str">
        <f t="shared" si="72"/>
        <v/>
      </c>
      <c r="R1555" s="25" t="str">
        <f>IF(P1555="En programación Frcst.",VLOOKUP(L1555,Meses!$A$1:$H$14,3+HLOOKUP(Cronograma!J1555,Meses!$D$1:$G$2,2,FALSE),FALSE),
IF(P1555="En programación",M1555,""))</f>
        <v/>
      </c>
      <c r="S1555" s="25" t="str">
        <f t="shared" si="74"/>
        <v/>
      </c>
      <c r="T1555" s="21" t="str">
        <f>IFERROR(
(VLOOKUP(MONTH(R1555),Meses!$B$3:$C$14,2,FALSE)-DAY(R1555))/VLOOKUP(MONTH(R1555),Meses!$B$3:$C$14,2,FALSE)*U1555,
"")</f>
        <v/>
      </c>
      <c r="U1555" s="22">
        <f t="shared" si="73"/>
        <v>100</v>
      </c>
    </row>
    <row r="1556" spans="1:21" ht="47.4" hidden="1" thickBot="1" x14ac:dyDescent="0.6">
      <c r="A1556" s="10" t="s">
        <v>1891</v>
      </c>
      <c r="B1556" s="10" t="s">
        <v>1960</v>
      </c>
      <c r="C1556" s="12">
        <v>45302</v>
      </c>
      <c r="D1556" s="10" t="s">
        <v>1207</v>
      </c>
      <c r="E1556" s="10" t="s">
        <v>23</v>
      </c>
      <c r="F1556" s="10">
        <v>150</v>
      </c>
      <c r="G1556" s="10" t="s">
        <v>15</v>
      </c>
      <c r="H1556" s="10" t="s">
        <v>3311</v>
      </c>
      <c r="I1556" s="10" t="s">
        <v>66</v>
      </c>
      <c r="J1556" s="10" t="s">
        <v>143</v>
      </c>
      <c r="K1556" s="10" t="s">
        <v>538</v>
      </c>
      <c r="L1556" s="10" t="s">
        <v>279</v>
      </c>
      <c r="M1556" s="12"/>
      <c r="N1556" s="10" t="s">
        <v>15</v>
      </c>
      <c r="O1556" s="10" t="s">
        <v>3311</v>
      </c>
      <c r="P1556" s="25" t="str">
        <f>IFERROR(
IF(OR(O1556="anulado",O1556="stand by"),CONCATENATE(O1556,": ",H1556),
IF(OR(YEAR(M1556)=2022,YEAR(M1556)=2023),CONCATENATE("Se activó en ",YEAR(M1556)),
IF(AND(OR(O1556="En proceso",O1556="facturando"),AND(J1556="-",M1556="")),"Por revisar",
IF(M1556="",IF(J1556="NUEVAS",CONCATENATE("Estado: ",O1556,", ",J1556),
IF(L1556=Meses!$A$3,"Por revisar",
IF(H1556="","Sin registro","En programación Frcst."))),"En programación")))),
"Error")</f>
        <v>En programación Frcst.</v>
      </c>
      <c r="Q1556" s="9" t="str">
        <f t="shared" si="72"/>
        <v/>
      </c>
      <c r="R1556" s="25">
        <f>IF(P1556="En programación Frcst.",VLOOKUP(L1556,Meses!$A$1:$H$14,3+HLOOKUP(Cronograma!J1556,Meses!$D$1:$G$2,2,FALSE),FALSE),
IF(P1556="En programación",M1556,""))</f>
        <v>45302</v>
      </c>
      <c r="S1556" s="25" t="str">
        <f t="shared" si="74"/>
        <v>2024/1</v>
      </c>
      <c r="T1556" s="21">
        <f>IFERROR(
(VLOOKUP(MONTH(R1556),Meses!$B$3:$C$14,2,FALSE)-DAY(R1556))/VLOOKUP(MONTH(R1556),Meses!$B$3:$C$14,2,FALSE)*U1556,
"")</f>
        <v>96.774193548387089</v>
      </c>
      <c r="U1556" s="22">
        <f t="shared" si="73"/>
        <v>150</v>
      </c>
    </row>
    <row r="1557" spans="1:21" ht="47.4" hidden="1" thickBot="1" x14ac:dyDescent="0.6">
      <c r="A1557" s="10" t="s">
        <v>1891</v>
      </c>
      <c r="B1557" s="10" t="s">
        <v>1961</v>
      </c>
      <c r="C1557" s="12">
        <v>45302</v>
      </c>
      <c r="D1557" s="10" t="s">
        <v>1207</v>
      </c>
      <c r="E1557" s="10" t="s">
        <v>23</v>
      </c>
      <c r="F1557" s="10">
        <v>200</v>
      </c>
      <c r="G1557" s="10" t="s">
        <v>15</v>
      </c>
      <c r="H1557" s="10" t="s">
        <v>3311</v>
      </c>
      <c r="I1557" s="10" t="s">
        <v>66</v>
      </c>
      <c r="J1557" s="10" t="s">
        <v>143</v>
      </c>
      <c r="K1557" s="10" t="s">
        <v>538</v>
      </c>
      <c r="L1557" s="10" t="s">
        <v>279</v>
      </c>
      <c r="M1557" s="12"/>
      <c r="N1557" s="10" t="s">
        <v>15</v>
      </c>
      <c r="O1557" s="10" t="s">
        <v>3311</v>
      </c>
      <c r="P1557" s="25" t="str">
        <f>IFERROR(
IF(OR(O1557="anulado",O1557="stand by"),CONCATENATE(O1557,": ",H1557),
IF(OR(YEAR(M1557)=2022,YEAR(M1557)=2023),CONCATENATE("Se activó en ",YEAR(M1557)),
IF(AND(OR(O1557="En proceso",O1557="facturando"),AND(J1557="-",M1557="")),"Por revisar",
IF(M1557="",IF(J1557="NUEVAS",CONCATENATE("Estado: ",O1557,", ",J1557),
IF(L1557=Meses!$A$3,"Por revisar",
IF(H1557="","Sin registro","En programación Frcst."))),"En programación")))),
"Error")</f>
        <v>En programación Frcst.</v>
      </c>
      <c r="Q1557" s="9" t="str">
        <f t="shared" si="72"/>
        <v/>
      </c>
      <c r="R1557" s="25">
        <f>IF(P1557="En programación Frcst.",VLOOKUP(L1557,Meses!$A$1:$H$14,3+HLOOKUP(Cronograma!J1557,Meses!$D$1:$G$2,2,FALSE),FALSE),
IF(P1557="En programación",M1557,""))</f>
        <v>45302</v>
      </c>
      <c r="S1557" s="25" t="str">
        <f t="shared" si="74"/>
        <v>2024/1</v>
      </c>
      <c r="T1557" s="21">
        <f>IFERROR(
(VLOOKUP(MONTH(R1557),Meses!$B$3:$C$14,2,FALSE)-DAY(R1557))/VLOOKUP(MONTH(R1557),Meses!$B$3:$C$14,2,FALSE)*U1557,
"")</f>
        <v>129.03225806451613</v>
      </c>
      <c r="U1557" s="22">
        <f t="shared" si="73"/>
        <v>200</v>
      </c>
    </row>
    <row r="1558" spans="1:21" ht="47.4" hidden="1" thickBot="1" x14ac:dyDescent="0.6">
      <c r="A1558" s="10" t="s">
        <v>1891</v>
      </c>
      <c r="B1558" s="10" t="s">
        <v>1962</v>
      </c>
      <c r="C1558" s="12">
        <v>45302</v>
      </c>
      <c r="D1558" s="10" t="s">
        <v>1207</v>
      </c>
      <c r="E1558" s="10" t="s">
        <v>23</v>
      </c>
      <c r="F1558" s="10">
        <v>1</v>
      </c>
      <c r="G1558" s="10" t="s">
        <v>15</v>
      </c>
      <c r="H1558" s="10" t="s">
        <v>2406</v>
      </c>
      <c r="I1558" s="10" t="s">
        <v>66</v>
      </c>
      <c r="J1558" s="10" t="s">
        <v>143</v>
      </c>
      <c r="K1558" s="10" t="s">
        <v>538</v>
      </c>
      <c r="L1558" s="10" t="s">
        <v>279</v>
      </c>
      <c r="M1558" s="12"/>
      <c r="N1558" s="10" t="s">
        <v>15</v>
      </c>
      <c r="O1558" s="10" t="s">
        <v>2054</v>
      </c>
      <c r="P1558" s="25" t="str">
        <f>IFERROR(
IF(OR(O1558="anulado",O1558="stand by"),CONCATENATE(O1558,": ",H1558),
IF(OR(YEAR(M1558)=2022,YEAR(M1558)=2023),CONCATENATE("Se activó en ",YEAR(M1558)),
IF(AND(OR(O1558="En proceso",O1558="facturando"),AND(J1558="-",M1558="")),"Por revisar",
IF(M1558="",IF(J1558="NUEVAS",CONCATENATE("Estado: ",O1558,", ",J1558),
IF(L1558=Meses!$A$3,"Por revisar",
IF(H1558="","Sin registro","En programación Frcst."))),"En programación")))),
"Error")</f>
        <v>En programación Frcst.</v>
      </c>
      <c r="Q1558" s="9" t="str">
        <f t="shared" si="72"/>
        <v/>
      </c>
      <c r="R1558" s="25">
        <f>IF(P1558="En programación Frcst.",VLOOKUP(L1558,Meses!$A$1:$H$14,3+HLOOKUP(Cronograma!J1558,Meses!$D$1:$G$2,2,FALSE),FALSE),
IF(P1558="En programación",M1558,""))</f>
        <v>45302</v>
      </c>
      <c r="S1558" s="25" t="str">
        <f t="shared" si="74"/>
        <v>2024/1</v>
      </c>
      <c r="T1558" s="21">
        <f>IFERROR(
(VLOOKUP(MONTH(R1558),Meses!$B$3:$C$14,2,FALSE)-DAY(R1558))/VLOOKUP(MONTH(R1558),Meses!$B$3:$C$14,2,FALSE)*U1558,
"")</f>
        <v>0.64516129032258063</v>
      </c>
      <c r="U1558" s="22">
        <f t="shared" si="73"/>
        <v>1</v>
      </c>
    </row>
    <row r="1559" spans="1:21" ht="47.4" hidden="1" thickBot="1" x14ac:dyDescent="0.6">
      <c r="A1559" s="10" t="s">
        <v>1891</v>
      </c>
      <c r="B1559" s="10" t="s">
        <v>1963</v>
      </c>
      <c r="C1559" s="12">
        <v>45316</v>
      </c>
      <c r="D1559" s="10" t="s">
        <v>1207</v>
      </c>
      <c r="E1559" s="10" t="s">
        <v>23</v>
      </c>
      <c r="F1559" s="10">
        <v>1500</v>
      </c>
      <c r="G1559" s="10" t="s">
        <v>15</v>
      </c>
      <c r="H1559" s="10" t="s">
        <v>2406</v>
      </c>
      <c r="I1559" s="10" t="s">
        <v>66</v>
      </c>
      <c r="J1559" s="10" t="s">
        <v>282</v>
      </c>
      <c r="K1559" s="10" t="s">
        <v>283</v>
      </c>
      <c r="L1559" s="10" t="s">
        <v>279</v>
      </c>
      <c r="M1559" s="12"/>
      <c r="N1559" s="10" t="s">
        <v>15</v>
      </c>
      <c r="O1559" s="10" t="s">
        <v>2054</v>
      </c>
      <c r="P1559" s="25" t="str">
        <f>IFERROR(
IF(OR(O1559="anulado",O1559="stand by"),CONCATENATE(O1559,": ",H1559),
IF(OR(YEAR(M1559)=2022,YEAR(M1559)=2023),CONCATENATE("Se activó en ",YEAR(M1559)),
IF(AND(OR(O1559="En proceso",O1559="facturando"),AND(J1559="-",M1559="")),"Por revisar",
IF(M1559="",IF(J1559="NUEVAS",CONCATENATE("Estado: ",O1559,", ",J1559),
IF(L1559=Meses!$A$3,"Por revisar",
IF(H1559="","Sin registro","En programación Frcst."))),"En programación")))),
"Error")</f>
        <v>En programación Frcst.</v>
      </c>
      <c r="Q1559" s="9" t="str">
        <f t="shared" si="72"/>
        <v/>
      </c>
      <c r="R1559" s="25">
        <f>IF(P1559="En programación Frcst.",VLOOKUP(L1559,Meses!$A$1:$H$14,3+HLOOKUP(Cronograma!J1559,Meses!$D$1:$G$2,2,FALSE),FALSE),
IF(P1559="En programación",M1559,""))</f>
        <v>45295</v>
      </c>
      <c r="S1559" s="25" t="str">
        <f t="shared" si="74"/>
        <v>2024/1</v>
      </c>
      <c r="T1559" s="21">
        <f>IFERROR(
(VLOOKUP(MONTH(R1559),Meses!$B$3:$C$14,2,FALSE)-DAY(R1559))/VLOOKUP(MONTH(R1559),Meses!$B$3:$C$14,2,FALSE)*U1559,
"")</f>
        <v>1306.4516129032259</v>
      </c>
      <c r="U1559" s="22">
        <f t="shared" si="73"/>
        <v>1500</v>
      </c>
    </row>
    <row r="1560" spans="1:21" ht="47.4" hidden="1" thickBot="1" x14ac:dyDescent="0.6">
      <c r="A1560" s="10" t="s">
        <v>1891</v>
      </c>
      <c r="B1560" s="10" t="s">
        <v>1964</v>
      </c>
      <c r="C1560" s="12"/>
      <c r="D1560" s="10" t="s">
        <v>1207</v>
      </c>
      <c r="E1560" s="10" t="s">
        <v>23</v>
      </c>
      <c r="F1560" s="10">
        <v>20</v>
      </c>
      <c r="G1560" s="10" t="s">
        <v>15</v>
      </c>
      <c r="H1560" s="10" t="s">
        <v>140</v>
      </c>
      <c r="I1560" s="10" t="s">
        <v>66</v>
      </c>
      <c r="J1560" s="10" t="s">
        <v>292</v>
      </c>
      <c r="K1560" s="10" t="s">
        <v>1697</v>
      </c>
      <c r="L1560" s="10" t="s">
        <v>1120</v>
      </c>
      <c r="M1560" s="12">
        <v>45379</v>
      </c>
      <c r="N1560" s="10" t="s">
        <v>15</v>
      </c>
      <c r="O1560" s="10" t="s">
        <v>2056</v>
      </c>
      <c r="P1560" s="25" t="str">
        <f>IFERROR(
IF(OR(O1560="anulado",O1560="stand by"),CONCATENATE(O1560,": ",H1560),
IF(OR(YEAR(M1560)=2022,YEAR(M1560)=2023),CONCATENATE("Se activó en ",YEAR(M1560)),
IF(AND(OR(O1560="En proceso",O1560="facturando"),AND(J1560="-",M1560="")),"Por revisar",
IF(M1560="",IF(J1560="NUEVAS",CONCATENATE("Estado: ",O1560,", ",J1560),
IF(L1560=Meses!$A$3,"Por revisar",
IF(H1560="","Sin registro","En programación Frcst."))),"En programación")))),
"Error")</f>
        <v>anulado: Desistido</v>
      </c>
      <c r="Q1560" s="9" t="str">
        <f t="shared" si="72"/>
        <v/>
      </c>
      <c r="R1560" s="25" t="str">
        <f>IF(P1560="En programación Frcst.",VLOOKUP(L1560,Meses!$A$1:$H$14,3+HLOOKUP(Cronograma!J1560,Meses!$D$1:$G$2,2,FALSE),FALSE),
IF(P1560="En programación",M1560,""))</f>
        <v/>
      </c>
      <c r="S1560" s="25" t="str">
        <f t="shared" si="74"/>
        <v/>
      </c>
      <c r="T1560" s="21" t="str">
        <f>IFERROR(
(VLOOKUP(MONTH(R1560),Meses!$B$3:$C$14,2,FALSE)-DAY(R1560))/VLOOKUP(MONTH(R1560),Meses!$B$3:$C$14,2,FALSE)*U1560,
"")</f>
        <v/>
      </c>
      <c r="U1560" s="22">
        <f t="shared" si="73"/>
        <v>20</v>
      </c>
    </row>
    <row r="1561" spans="1:21" ht="47.4" hidden="1" thickBot="1" x14ac:dyDescent="0.6">
      <c r="A1561" s="10" t="s">
        <v>1891</v>
      </c>
      <c r="B1561" s="10" t="s">
        <v>1965</v>
      </c>
      <c r="C1561" s="12">
        <v>45302</v>
      </c>
      <c r="D1561" s="10" t="s">
        <v>1207</v>
      </c>
      <c r="E1561" s="10" t="s">
        <v>23</v>
      </c>
      <c r="F1561" s="10">
        <v>1</v>
      </c>
      <c r="G1561" s="10" t="s">
        <v>15</v>
      </c>
      <c r="H1561" s="10" t="s">
        <v>3311</v>
      </c>
      <c r="I1561" s="10" t="s">
        <v>66</v>
      </c>
      <c r="J1561" s="10" t="s">
        <v>143</v>
      </c>
      <c r="K1561" s="10" t="s">
        <v>538</v>
      </c>
      <c r="L1561" s="10" t="s">
        <v>279</v>
      </c>
      <c r="M1561" s="12"/>
      <c r="N1561" s="10" t="s">
        <v>15</v>
      </c>
      <c r="O1561" s="10" t="s">
        <v>3311</v>
      </c>
      <c r="P1561" s="25" t="str">
        <f>IFERROR(
IF(OR(O1561="anulado",O1561="stand by"),CONCATENATE(O1561,": ",H1561),
IF(OR(YEAR(M1561)=2022,YEAR(M1561)=2023),CONCATENATE("Se activó en ",YEAR(M1561)),
IF(AND(OR(O1561="En proceso",O1561="facturando"),AND(J1561="-",M1561="")),"Por revisar",
IF(M1561="",IF(J1561="NUEVAS",CONCATENATE("Estado: ",O1561,", ",J1561),
IF(L1561=Meses!$A$3,"Por revisar",
IF(H1561="","Sin registro","En programación Frcst."))),"En programación")))),
"Error")</f>
        <v>En programación Frcst.</v>
      </c>
      <c r="Q1561" s="9" t="str">
        <f t="shared" si="72"/>
        <v/>
      </c>
      <c r="R1561" s="25">
        <f>IF(P1561="En programación Frcst.",VLOOKUP(L1561,Meses!$A$1:$H$14,3+HLOOKUP(Cronograma!J1561,Meses!$D$1:$G$2,2,FALSE),FALSE),
IF(P1561="En programación",M1561,""))</f>
        <v>45302</v>
      </c>
      <c r="S1561" s="25" t="str">
        <f t="shared" si="74"/>
        <v>2024/1</v>
      </c>
      <c r="T1561" s="21">
        <f>IFERROR(
(VLOOKUP(MONTH(R1561),Meses!$B$3:$C$14,2,FALSE)-DAY(R1561))/VLOOKUP(MONTH(R1561),Meses!$B$3:$C$14,2,FALSE)*U1561,
"")</f>
        <v>0.64516129032258063</v>
      </c>
      <c r="U1561" s="22">
        <f t="shared" si="73"/>
        <v>1</v>
      </c>
    </row>
    <row r="1562" spans="1:21" ht="47.4" hidden="1" thickBot="1" x14ac:dyDescent="0.6">
      <c r="A1562" s="10" t="s">
        <v>1891</v>
      </c>
      <c r="B1562" s="10" t="s">
        <v>1966</v>
      </c>
      <c r="C1562" s="12"/>
      <c r="D1562" s="10" t="s">
        <v>1207</v>
      </c>
      <c r="E1562" s="10" t="s">
        <v>23</v>
      </c>
      <c r="F1562" s="10">
        <v>85</v>
      </c>
      <c r="G1562" s="10" t="s">
        <v>15</v>
      </c>
      <c r="H1562" s="10" t="s">
        <v>140</v>
      </c>
      <c r="I1562" s="10" t="s">
        <v>66</v>
      </c>
      <c r="J1562" s="10" t="s">
        <v>292</v>
      </c>
      <c r="K1562" s="10" t="s">
        <v>1697</v>
      </c>
      <c r="L1562" s="10" t="s">
        <v>1120</v>
      </c>
      <c r="M1562" s="12">
        <v>45379</v>
      </c>
      <c r="N1562" s="10" t="s">
        <v>15</v>
      </c>
      <c r="O1562" s="10" t="s">
        <v>2056</v>
      </c>
      <c r="P1562" s="25" t="str">
        <f>IFERROR(
IF(OR(O1562="anulado",O1562="stand by"),CONCATENATE(O1562,": ",H1562),
IF(OR(YEAR(M1562)=2022,YEAR(M1562)=2023),CONCATENATE("Se activó en ",YEAR(M1562)),
IF(AND(OR(O1562="En proceso",O1562="facturando"),AND(J1562="-",M1562="")),"Por revisar",
IF(M1562="",IF(J1562="NUEVAS",CONCATENATE("Estado: ",O1562,", ",J1562),
IF(L1562=Meses!$A$3,"Por revisar",
IF(H1562="","Sin registro","En programación Frcst."))),"En programación")))),
"Error")</f>
        <v>anulado: Desistido</v>
      </c>
      <c r="Q1562" s="9" t="str">
        <f t="shared" si="72"/>
        <v/>
      </c>
      <c r="R1562" s="25" t="str">
        <f>IF(P1562="En programación Frcst.",VLOOKUP(L1562,Meses!$A$1:$H$14,3+HLOOKUP(Cronograma!J1562,Meses!$D$1:$G$2,2,FALSE),FALSE),
IF(P1562="En programación",M1562,""))</f>
        <v/>
      </c>
      <c r="S1562" s="25" t="str">
        <f t="shared" si="74"/>
        <v/>
      </c>
      <c r="T1562" s="21" t="str">
        <f>IFERROR(
(VLOOKUP(MONTH(R1562),Meses!$B$3:$C$14,2,FALSE)-DAY(R1562))/VLOOKUP(MONTH(R1562),Meses!$B$3:$C$14,2,FALSE)*U1562,
"")</f>
        <v/>
      </c>
      <c r="U1562" s="22">
        <f t="shared" si="73"/>
        <v>85</v>
      </c>
    </row>
    <row r="1563" spans="1:21" ht="47.4" hidden="1" thickBot="1" x14ac:dyDescent="0.6">
      <c r="A1563" s="10" t="s">
        <v>1891</v>
      </c>
      <c r="B1563" s="10" t="s">
        <v>1967</v>
      </c>
      <c r="C1563" s="12"/>
      <c r="D1563" s="10" t="s">
        <v>1207</v>
      </c>
      <c r="E1563" s="10" t="s">
        <v>23</v>
      </c>
      <c r="F1563" s="10">
        <v>1</v>
      </c>
      <c r="G1563" s="10" t="s">
        <v>15</v>
      </c>
      <c r="H1563" s="10" t="s">
        <v>140</v>
      </c>
      <c r="I1563" s="10" t="s">
        <v>66</v>
      </c>
      <c r="J1563" s="10" t="s">
        <v>292</v>
      </c>
      <c r="K1563" s="10" t="s">
        <v>1697</v>
      </c>
      <c r="L1563" s="10" t="s">
        <v>1120</v>
      </c>
      <c r="M1563" s="12">
        <v>45379</v>
      </c>
      <c r="N1563" s="10" t="s">
        <v>15</v>
      </c>
      <c r="O1563" s="10" t="s">
        <v>2056</v>
      </c>
      <c r="P1563" s="25" t="str">
        <f>IFERROR(
IF(OR(O1563="anulado",O1563="stand by"),CONCATENATE(O1563,": ",H1563),
IF(OR(YEAR(M1563)=2022,YEAR(M1563)=2023),CONCATENATE("Se activó en ",YEAR(M1563)),
IF(AND(OR(O1563="En proceso",O1563="facturando"),AND(J1563="-",M1563="")),"Por revisar",
IF(M1563="",IF(J1563="NUEVAS",CONCATENATE("Estado: ",O1563,", ",J1563),
IF(L1563=Meses!$A$3,"Por revisar",
IF(H1563="","Sin registro","En programación Frcst."))),"En programación")))),
"Error")</f>
        <v>anulado: Desistido</v>
      </c>
      <c r="Q1563" s="9" t="str">
        <f t="shared" si="72"/>
        <v/>
      </c>
      <c r="R1563" s="25" t="str">
        <f>IF(P1563="En programación Frcst.",VLOOKUP(L1563,Meses!$A$1:$H$14,3+HLOOKUP(Cronograma!J1563,Meses!$D$1:$G$2,2,FALSE),FALSE),
IF(P1563="En programación",M1563,""))</f>
        <v/>
      </c>
      <c r="S1563" s="25" t="str">
        <f t="shared" si="74"/>
        <v/>
      </c>
      <c r="T1563" s="21" t="str">
        <f>IFERROR(
(VLOOKUP(MONTH(R1563),Meses!$B$3:$C$14,2,FALSE)-DAY(R1563))/VLOOKUP(MONTH(R1563),Meses!$B$3:$C$14,2,FALSE)*U1563,
"")</f>
        <v/>
      </c>
      <c r="U1563" s="22">
        <f t="shared" si="73"/>
        <v>1</v>
      </c>
    </row>
    <row r="1564" spans="1:21" ht="47.4" hidden="1" thickBot="1" x14ac:dyDescent="0.6">
      <c r="A1564" s="10" t="s">
        <v>1891</v>
      </c>
      <c r="B1564" s="10" t="s">
        <v>1968</v>
      </c>
      <c r="C1564" s="12"/>
      <c r="D1564" s="10" t="s">
        <v>1207</v>
      </c>
      <c r="E1564" s="10" t="s">
        <v>23</v>
      </c>
      <c r="F1564" s="10">
        <v>40000</v>
      </c>
      <c r="G1564" s="10" t="s">
        <v>20</v>
      </c>
      <c r="H1564" s="10" t="s">
        <v>140</v>
      </c>
      <c r="I1564" s="10" t="s">
        <v>66</v>
      </c>
      <c r="J1564" s="10" t="s">
        <v>292</v>
      </c>
      <c r="K1564" s="10" t="s">
        <v>1697</v>
      </c>
      <c r="L1564" s="10" t="s">
        <v>1120</v>
      </c>
      <c r="M1564" s="12">
        <v>45379</v>
      </c>
      <c r="N1564" s="10" t="s">
        <v>15</v>
      </c>
      <c r="O1564" s="10" t="s">
        <v>2056</v>
      </c>
      <c r="P1564" s="25" t="str">
        <f>IFERROR(
IF(OR(O1564="anulado",O1564="stand by"),CONCATENATE(O1564,": ",H1564),
IF(OR(YEAR(M1564)=2022,YEAR(M1564)=2023),CONCATENATE("Se activó en ",YEAR(M1564)),
IF(AND(OR(O1564="En proceso",O1564="facturando"),AND(J1564="-",M1564="")),"Por revisar",
IF(M1564="",IF(J1564="NUEVAS",CONCATENATE("Estado: ",O1564,", ",J1564),
IF(L1564=Meses!$A$3,"Por revisar",
IF(H1564="","Sin registro","En programación Frcst."))),"En programación")))),
"Error")</f>
        <v>anulado: Desistido</v>
      </c>
      <c r="Q1564" s="9" t="str">
        <f t="shared" si="72"/>
        <v/>
      </c>
      <c r="R1564" s="25" t="str">
        <f>IF(P1564="En programación Frcst.",VLOOKUP(L1564,Meses!$A$1:$H$14,3+HLOOKUP(Cronograma!J1564,Meses!$D$1:$G$2,2,FALSE),FALSE),
IF(P1564="En programación",M1564,""))</f>
        <v/>
      </c>
      <c r="S1564" s="25" t="str">
        <f t="shared" si="74"/>
        <v/>
      </c>
      <c r="T1564" s="21" t="str">
        <f>IFERROR(
(VLOOKUP(MONTH(R1564),Meses!$B$3:$C$14,2,FALSE)-DAY(R1564))/VLOOKUP(MONTH(R1564),Meses!$B$3:$C$14,2,FALSE)*U1564,
"")</f>
        <v/>
      </c>
      <c r="U1564" s="22">
        <f t="shared" si="73"/>
        <v>40000</v>
      </c>
    </row>
    <row r="1565" spans="1:21" ht="47.4" thickBot="1" x14ac:dyDescent="0.6">
      <c r="A1565" s="10" t="s">
        <v>1969</v>
      </c>
      <c r="B1565" s="10" t="s">
        <v>1970</v>
      </c>
      <c r="C1565" s="12"/>
      <c r="D1565" s="10" t="s">
        <v>654</v>
      </c>
      <c r="E1565" s="10" t="s">
        <v>44</v>
      </c>
      <c r="F1565" s="10">
        <v>60000</v>
      </c>
      <c r="G1565" s="10" t="s">
        <v>15</v>
      </c>
      <c r="H1565" s="10" t="s">
        <v>2917</v>
      </c>
      <c r="I1565" s="10" t="s">
        <v>66</v>
      </c>
      <c r="J1565" s="10" t="s">
        <v>282</v>
      </c>
      <c r="K1565" s="10" t="s">
        <v>3326</v>
      </c>
      <c r="L1565" s="10" t="s">
        <v>2293</v>
      </c>
      <c r="M1565" s="12">
        <v>45414</v>
      </c>
      <c r="N1565" s="10" t="s">
        <v>15</v>
      </c>
      <c r="O1565" s="10" t="s">
        <v>2057</v>
      </c>
      <c r="P1565" s="25" t="str">
        <f>IFERROR(
IF(OR(O1565="anulado",O1565="stand by"),CONCATENATE(O1565,": ",H1565),
IF(OR(YEAR(M1565)=2022,YEAR(M1565)=2023),CONCATENATE("Se activó en ",YEAR(M1565)),
IF(AND(OR(O1565="En proceso",O1565="facturando"),AND(J1565="-",M1565="")),"Por revisar",
IF(M1565="",IF(J1565="NUEVAS",CONCATENATE("Estado: ",O1565,", ",J1565),
IF(L1565=Meses!$A$3,"Por revisar",
IF(H1565="","Sin registro","En programación Frcst."))),"En programación")))),
"Error")</f>
        <v>En programación</v>
      </c>
      <c r="Q1565" s="9" t="str">
        <f t="shared" si="72"/>
        <v/>
      </c>
      <c r="R1565" s="25">
        <f>IF(P1565="En programación Frcst.",VLOOKUP(L1565,Meses!$A$1:$H$14,3+HLOOKUP(Cronograma!J1565,Meses!$D$1:$G$2,2,FALSE),FALSE),
IF(P1565="En programación",M1565,""))</f>
        <v>45414</v>
      </c>
      <c r="S1565" s="25" t="str">
        <f t="shared" si="74"/>
        <v>2024/5</v>
      </c>
      <c r="T1565" s="21">
        <f>IFERROR(
(VLOOKUP(MONTH(R1565),Meses!$B$3:$C$14,2,FALSE)-DAY(R1565))/VLOOKUP(MONTH(R1565),Meses!$B$3:$C$14,2,FALSE)*U1565,
"")</f>
        <v>56129.032258064515</v>
      </c>
      <c r="U1565" s="22">
        <f t="shared" si="73"/>
        <v>60000</v>
      </c>
    </row>
    <row r="1566" spans="1:21" ht="47.4" hidden="1" thickBot="1" x14ac:dyDescent="0.6">
      <c r="A1566" s="10" t="s">
        <v>1969</v>
      </c>
      <c r="B1566" s="10" t="s">
        <v>1971</v>
      </c>
      <c r="C1566" s="12"/>
      <c r="D1566" s="10" t="s">
        <v>44</v>
      </c>
      <c r="E1566" s="10" t="s">
        <v>44</v>
      </c>
      <c r="F1566" s="10">
        <v>80000</v>
      </c>
      <c r="G1566" s="10" t="s">
        <v>15</v>
      </c>
      <c r="H1566" s="10" t="s">
        <v>2917</v>
      </c>
      <c r="I1566" s="10" t="s">
        <v>43</v>
      </c>
      <c r="J1566" s="10" t="s">
        <v>143</v>
      </c>
      <c r="K1566" s="10" t="s">
        <v>2895</v>
      </c>
      <c r="L1566" s="10" t="s">
        <v>2292</v>
      </c>
      <c r="M1566" s="12">
        <v>45400</v>
      </c>
      <c r="N1566" s="10" t="s">
        <v>15</v>
      </c>
      <c r="O1566" s="10" t="s">
        <v>2057</v>
      </c>
      <c r="P1566" s="25" t="str">
        <f>IFERROR(
IF(OR(O1566="anulado",O1566="stand by"),CONCATENATE(O1566,": ",H1566),
IF(OR(YEAR(M1566)=2022,YEAR(M1566)=2023),CONCATENATE("Se activó en ",YEAR(M1566)),
IF(AND(OR(O1566="En proceso",O1566="facturando"),AND(J1566="-",M1566="")),"Por revisar",
IF(M1566="",IF(J1566="NUEVAS",CONCATENATE("Estado: ",O1566,", ",J1566),
IF(L1566=Meses!$A$3,"Por revisar",
IF(H1566="","Sin registro","En programación Frcst."))),"En programación")))),
"Error")</f>
        <v>En programación</v>
      </c>
      <c r="Q1566" s="9" t="str">
        <f t="shared" si="72"/>
        <v/>
      </c>
      <c r="R1566" s="25">
        <f>IF(P1566="En programación Frcst.",VLOOKUP(L1566,Meses!$A$1:$H$14,3+HLOOKUP(Cronograma!J1566,Meses!$D$1:$G$2,2,FALSE),FALSE),
IF(P1566="En programación",M1566,""))</f>
        <v>45400</v>
      </c>
      <c r="S1566" s="25" t="str">
        <f t="shared" si="74"/>
        <v>2024/4</v>
      </c>
      <c r="T1566" s="21">
        <f>IFERROR(
(VLOOKUP(MONTH(R1566),Meses!$B$3:$C$14,2,FALSE)-DAY(R1566))/VLOOKUP(MONTH(R1566),Meses!$B$3:$C$14,2,FALSE)*U1566,
"")</f>
        <v>32000</v>
      </c>
      <c r="U1566" s="22">
        <f t="shared" si="73"/>
        <v>80000</v>
      </c>
    </row>
    <row r="1567" spans="1:21" ht="31.8" thickBot="1" x14ac:dyDescent="0.6">
      <c r="A1567" s="10" t="s">
        <v>1972</v>
      </c>
      <c r="B1567" s="10" t="s">
        <v>1973</v>
      </c>
      <c r="C1567" s="12"/>
      <c r="D1567" s="10" t="s">
        <v>654</v>
      </c>
      <c r="E1567" s="10" t="s">
        <v>74</v>
      </c>
      <c r="F1567" s="10">
        <v>22552</v>
      </c>
      <c r="G1567" s="10" t="s">
        <v>15</v>
      </c>
      <c r="H1567" s="10" t="s">
        <v>2916</v>
      </c>
      <c r="I1567" s="10" t="s">
        <v>66</v>
      </c>
      <c r="J1567" s="10" t="s">
        <v>282</v>
      </c>
      <c r="K1567" s="10" t="s">
        <v>3326</v>
      </c>
      <c r="L1567" s="10" t="s">
        <v>2293</v>
      </c>
      <c r="M1567" s="12">
        <v>45414</v>
      </c>
      <c r="N1567" s="10" t="s">
        <v>15</v>
      </c>
      <c r="O1567" s="10" t="s">
        <v>2057</v>
      </c>
      <c r="P1567" s="25" t="str">
        <f>IFERROR(
IF(OR(O1567="anulado",O1567="stand by"),CONCATENATE(O1567,": ",H1567),
IF(OR(YEAR(M1567)=2022,YEAR(M1567)=2023),CONCATENATE("Se activó en ",YEAR(M1567)),
IF(AND(OR(O1567="En proceso",O1567="facturando"),AND(J1567="-",M1567="")),"Por revisar",
IF(M1567="",IF(J1567="NUEVAS",CONCATENATE("Estado: ",O1567,", ",J1567),
IF(L1567=Meses!$A$3,"Por revisar",
IF(H1567="","Sin registro","En programación Frcst."))),"En programación")))),
"Error")</f>
        <v>En programación</v>
      </c>
      <c r="Q1567" s="9" t="str">
        <f t="shared" si="72"/>
        <v/>
      </c>
      <c r="R1567" s="25">
        <f>IF(P1567="En programación Frcst.",VLOOKUP(L1567,Meses!$A$1:$H$14,3+HLOOKUP(Cronograma!J1567,Meses!$D$1:$G$2,2,FALSE),FALSE),
IF(P1567="En programación",M1567,""))</f>
        <v>45414</v>
      </c>
      <c r="S1567" s="25" t="str">
        <f t="shared" si="74"/>
        <v>2024/5</v>
      </c>
      <c r="T1567" s="21">
        <f>IFERROR(
(VLOOKUP(MONTH(R1567),Meses!$B$3:$C$14,2,FALSE)-DAY(R1567))/VLOOKUP(MONTH(R1567),Meses!$B$3:$C$14,2,FALSE)*U1567,
"")</f>
        <v>21097.032258064515</v>
      </c>
      <c r="U1567" s="22">
        <f t="shared" si="73"/>
        <v>22552</v>
      </c>
    </row>
    <row r="1568" spans="1:21" ht="63" hidden="1" thickBot="1" x14ac:dyDescent="0.6">
      <c r="A1568" s="10" t="s">
        <v>1974</v>
      </c>
      <c r="B1568" s="10" t="s">
        <v>1975</v>
      </c>
      <c r="C1568" s="12"/>
      <c r="D1568" s="10" t="s">
        <v>74</v>
      </c>
      <c r="E1568" s="10" t="s">
        <v>74</v>
      </c>
      <c r="F1568" s="10">
        <v>8172</v>
      </c>
      <c r="G1568" s="10" t="s">
        <v>15</v>
      </c>
      <c r="H1568" s="10" t="s">
        <v>2921</v>
      </c>
      <c r="I1568" s="10" t="s">
        <v>43</v>
      </c>
      <c r="J1568" s="10" t="s">
        <v>143</v>
      </c>
      <c r="K1568" s="10" t="s">
        <v>2895</v>
      </c>
      <c r="L1568" s="10" t="s">
        <v>2292</v>
      </c>
      <c r="M1568" s="12">
        <v>45400</v>
      </c>
      <c r="N1568" s="10" t="s">
        <v>15</v>
      </c>
      <c r="O1568" s="10" t="s">
        <v>2057</v>
      </c>
      <c r="P1568" s="25" t="str">
        <f>IFERROR(
IF(OR(O1568="anulado",O1568="stand by"),CONCATENATE(O1568,": ",H1568),
IF(OR(YEAR(M1568)=2022,YEAR(M1568)=2023),CONCATENATE("Se activó en ",YEAR(M1568)),
IF(AND(OR(O1568="En proceso",O1568="facturando"),AND(J1568="-",M1568="")),"Por revisar",
IF(M1568="",IF(J1568="NUEVAS",CONCATENATE("Estado: ",O1568,", ",J1568),
IF(L1568=Meses!$A$3,"Por revisar",
IF(H1568="","Sin registro","En programación Frcst."))),"En programación")))),
"Error")</f>
        <v>En programación</v>
      </c>
      <c r="Q1568" s="9" t="str">
        <f t="shared" si="72"/>
        <v/>
      </c>
      <c r="R1568" s="25">
        <f>IF(P1568="En programación Frcst.",VLOOKUP(L1568,Meses!$A$1:$H$14,3+HLOOKUP(Cronograma!J1568,Meses!$D$1:$G$2,2,FALSE),FALSE),
IF(P1568="En programación",M1568,""))</f>
        <v>45400</v>
      </c>
      <c r="S1568" s="25" t="str">
        <f t="shared" si="74"/>
        <v>2024/4</v>
      </c>
      <c r="T1568" s="21">
        <f>IFERROR(
(VLOOKUP(MONTH(R1568),Meses!$B$3:$C$14,2,FALSE)-DAY(R1568))/VLOOKUP(MONTH(R1568),Meses!$B$3:$C$14,2,FALSE)*U1568,
"")</f>
        <v>3268.8</v>
      </c>
      <c r="U1568" s="22">
        <f t="shared" si="73"/>
        <v>8172</v>
      </c>
    </row>
    <row r="1569" spans="1:21" ht="63" thickBot="1" x14ac:dyDescent="0.6">
      <c r="A1569" s="10" t="s">
        <v>1974</v>
      </c>
      <c r="B1569" s="10" t="s">
        <v>1976</v>
      </c>
      <c r="C1569" s="12"/>
      <c r="D1569" s="10" t="s">
        <v>74</v>
      </c>
      <c r="E1569" s="10" t="s">
        <v>74</v>
      </c>
      <c r="F1569" s="10">
        <v>1891</v>
      </c>
      <c r="G1569" s="10" t="s">
        <v>15</v>
      </c>
      <c r="H1569" s="10" t="s">
        <v>2921</v>
      </c>
      <c r="I1569" s="10" t="s">
        <v>43</v>
      </c>
      <c r="J1569" s="10" t="s">
        <v>282</v>
      </c>
      <c r="K1569" s="10" t="s">
        <v>3326</v>
      </c>
      <c r="L1569" s="10" t="s">
        <v>2293</v>
      </c>
      <c r="M1569" s="12">
        <v>45414</v>
      </c>
      <c r="N1569" s="10" t="s">
        <v>15</v>
      </c>
      <c r="O1569" s="10" t="s">
        <v>2057</v>
      </c>
      <c r="P1569" s="25" t="str">
        <f>IFERROR(
IF(OR(O1569="anulado",O1569="stand by"),CONCATENATE(O1569,": ",H1569),
IF(OR(YEAR(M1569)=2022,YEAR(M1569)=2023),CONCATENATE("Se activó en ",YEAR(M1569)),
IF(AND(OR(O1569="En proceso",O1569="facturando"),AND(J1569="-",M1569="")),"Por revisar",
IF(M1569="",IF(J1569="NUEVAS",CONCATENATE("Estado: ",O1569,", ",J1569),
IF(L1569=Meses!$A$3,"Por revisar",
IF(H1569="","Sin registro","En programación Frcst."))),"En programación")))),
"Error")</f>
        <v>En programación</v>
      </c>
      <c r="Q1569" s="9" t="str">
        <f t="shared" si="72"/>
        <v/>
      </c>
      <c r="R1569" s="25">
        <f>IF(P1569="En programación Frcst.",VLOOKUP(L1569,Meses!$A$1:$H$14,3+HLOOKUP(Cronograma!J1569,Meses!$D$1:$G$2,2,FALSE),FALSE),
IF(P1569="En programación",M1569,""))</f>
        <v>45414</v>
      </c>
      <c r="S1569" s="25" t="str">
        <f t="shared" si="74"/>
        <v>2024/5</v>
      </c>
      <c r="T1569" s="21">
        <f>IFERROR(
(VLOOKUP(MONTH(R1569),Meses!$B$3:$C$14,2,FALSE)-DAY(R1569))/VLOOKUP(MONTH(R1569),Meses!$B$3:$C$14,2,FALSE)*U1569,
"")</f>
        <v>1769</v>
      </c>
      <c r="U1569" s="22">
        <f t="shared" si="73"/>
        <v>1891</v>
      </c>
    </row>
    <row r="1570" spans="1:21" ht="63" thickBot="1" x14ac:dyDescent="0.6">
      <c r="A1570" s="10" t="s">
        <v>1974</v>
      </c>
      <c r="B1570" s="10" t="s">
        <v>1977</v>
      </c>
      <c r="C1570" s="12"/>
      <c r="D1570" s="10" t="s">
        <v>74</v>
      </c>
      <c r="E1570" s="10" t="s">
        <v>74</v>
      </c>
      <c r="F1570" s="10">
        <v>292</v>
      </c>
      <c r="G1570" s="10" t="s">
        <v>15</v>
      </c>
      <c r="H1570" s="10" t="s">
        <v>2921</v>
      </c>
      <c r="I1570" s="10" t="s">
        <v>43</v>
      </c>
      <c r="J1570" s="10" t="s">
        <v>282</v>
      </c>
      <c r="K1570" s="10" t="s">
        <v>3326</v>
      </c>
      <c r="L1570" s="10" t="s">
        <v>2293</v>
      </c>
      <c r="M1570" s="12">
        <v>45414</v>
      </c>
      <c r="N1570" s="10" t="s">
        <v>15</v>
      </c>
      <c r="O1570" s="10" t="s">
        <v>2057</v>
      </c>
      <c r="P1570" s="25" t="str">
        <f>IFERROR(
IF(OR(O1570="anulado",O1570="stand by"),CONCATENATE(O1570,": ",H1570),
IF(OR(YEAR(M1570)=2022,YEAR(M1570)=2023),CONCATENATE("Se activó en ",YEAR(M1570)),
IF(AND(OR(O1570="En proceso",O1570="facturando"),AND(J1570="-",M1570="")),"Por revisar",
IF(M1570="",IF(J1570="NUEVAS",CONCATENATE("Estado: ",O1570,", ",J1570),
IF(L1570=Meses!$A$3,"Por revisar",
IF(H1570="","Sin registro","En programación Frcst."))),"En programación")))),
"Error")</f>
        <v>En programación</v>
      </c>
      <c r="Q1570" s="9" t="str">
        <f t="shared" si="72"/>
        <v/>
      </c>
      <c r="R1570" s="25">
        <f>IF(P1570="En programación Frcst.",VLOOKUP(L1570,Meses!$A$1:$H$14,3+HLOOKUP(Cronograma!J1570,Meses!$D$1:$G$2,2,FALSE),FALSE),
IF(P1570="En programación",M1570,""))</f>
        <v>45414</v>
      </c>
      <c r="S1570" s="25" t="str">
        <f t="shared" si="74"/>
        <v>2024/5</v>
      </c>
      <c r="T1570" s="21">
        <f>IFERROR(
(VLOOKUP(MONTH(R1570),Meses!$B$3:$C$14,2,FALSE)-DAY(R1570))/VLOOKUP(MONTH(R1570),Meses!$B$3:$C$14,2,FALSE)*U1570,
"")</f>
        <v>273.16129032258061</v>
      </c>
      <c r="U1570" s="22">
        <f t="shared" si="73"/>
        <v>292</v>
      </c>
    </row>
    <row r="1571" spans="1:21" ht="63" thickBot="1" x14ac:dyDescent="0.6">
      <c r="A1571" s="10" t="s">
        <v>1974</v>
      </c>
      <c r="B1571" s="10" t="s">
        <v>1978</v>
      </c>
      <c r="C1571" s="12"/>
      <c r="D1571" s="10" t="s">
        <v>74</v>
      </c>
      <c r="E1571" s="10" t="s">
        <v>74</v>
      </c>
      <c r="F1571" s="10">
        <v>801</v>
      </c>
      <c r="G1571" s="10" t="s">
        <v>15</v>
      </c>
      <c r="H1571" s="10" t="s">
        <v>2921</v>
      </c>
      <c r="I1571" s="10" t="s">
        <v>43</v>
      </c>
      <c r="J1571" s="10" t="s">
        <v>282</v>
      </c>
      <c r="K1571" s="10" t="s">
        <v>3326</v>
      </c>
      <c r="L1571" s="10" t="s">
        <v>2293</v>
      </c>
      <c r="M1571" s="12">
        <v>45414</v>
      </c>
      <c r="N1571" s="10" t="s">
        <v>15</v>
      </c>
      <c r="O1571" s="10" t="s">
        <v>2057</v>
      </c>
      <c r="P1571" s="25" t="str">
        <f>IFERROR(
IF(OR(O1571="anulado",O1571="stand by"),CONCATENATE(O1571,": ",H1571),
IF(OR(YEAR(M1571)=2022,YEAR(M1571)=2023),CONCATENATE("Se activó en ",YEAR(M1571)),
IF(AND(OR(O1571="En proceso",O1571="facturando"),AND(J1571="-",M1571="")),"Por revisar",
IF(M1571="",IF(J1571="NUEVAS",CONCATENATE("Estado: ",O1571,", ",J1571),
IF(L1571=Meses!$A$3,"Por revisar",
IF(H1571="","Sin registro","En programación Frcst."))),"En programación")))),
"Error")</f>
        <v>En programación</v>
      </c>
      <c r="Q1571" s="9" t="str">
        <f t="shared" si="72"/>
        <v/>
      </c>
      <c r="R1571" s="25">
        <f>IF(P1571="En programación Frcst.",VLOOKUP(L1571,Meses!$A$1:$H$14,3+HLOOKUP(Cronograma!J1571,Meses!$D$1:$G$2,2,FALSE),FALSE),
IF(P1571="En programación",M1571,""))</f>
        <v>45414</v>
      </c>
      <c r="S1571" s="25" t="str">
        <f t="shared" si="74"/>
        <v>2024/5</v>
      </c>
      <c r="T1571" s="21">
        <f>IFERROR(
(VLOOKUP(MONTH(R1571),Meses!$B$3:$C$14,2,FALSE)-DAY(R1571))/VLOOKUP(MONTH(R1571),Meses!$B$3:$C$14,2,FALSE)*U1571,
"")</f>
        <v>749.32258064516122</v>
      </c>
      <c r="U1571" s="22">
        <f t="shared" si="73"/>
        <v>801</v>
      </c>
    </row>
    <row r="1572" spans="1:21" ht="63" thickBot="1" x14ac:dyDescent="0.6">
      <c r="A1572" s="10" t="s">
        <v>1974</v>
      </c>
      <c r="B1572" s="10" t="s">
        <v>1979</v>
      </c>
      <c r="C1572" s="12"/>
      <c r="D1572" s="10" t="s">
        <v>74</v>
      </c>
      <c r="E1572" s="10" t="s">
        <v>74</v>
      </c>
      <c r="F1572" s="10">
        <v>392</v>
      </c>
      <c r="G1572" s="10" t="s">
        <v>15</v>
      </c>
      <c r="H1572" s="10" t="s">
        <v>2921</v>
      </c>
      <c r="I1572" s="10" t="s">
        <v>43</v>
      </c>
      <c r="J1572" s="10" t="s">
        <v>282</v>
      </c>
      <c r="K1572" s="10" t="s">
        <v>3326</v>
      </c>
      <c r="L1572" s="10" t="s">
        <v>2293</v>
      </c>
      <c r="M1572" s="12">
        <v>45414</v>
      </c>
      <c r="N1572" s="10" t="s">
        <v>15</v>
      </c>
      <c r="O1572" s="10" t="s">
        <v>2057</v>
      </c>
      <c r="P1572" s="25" t="str">
        <f>IFERROR(
IF(OR(O1572="anulado",O1572="stand by"),CONCATENATE(O1572,": ",H1572),
IF(OR(YEAR(M1572)=2022,YEAR(M1572)=2023),CONCATENATE("Se activó en ",YEAR(M1572)),
IF(AND(OR(O1572="En proceso",O1572="facturando"),AND(J1572="-",M1572="")),"Por revisar",
IF(M1572="",IF(J1572="NUEVAS",CONCATENATE("Estado: ",O1572,", ",J1572),
IF(L1572=Meses!$A$3,"Por revisar",
IF(H1572="","Sin registro","En programación Frcst."))),"En programación")))),
"Error")</f>
        <v>En programación</v>
      </c>
      <c r="Q1572" s="9" t="str">
        <f t="shared" si="72"/>
        <v/>
      </c>
      <c r="R1572" s="25">
        <f>IF(P1572="En programación Frcst.",VLOOKUP(L1572,Meses!$A$1:$H$14,3+HLOOKUP(Cronograma!J1572,Meses!$D$1:$G$2,2,FALSE),FALSE),
IF(P1572="En programación",M1572,""))</f>
        <v>45414</v>
      </c>
      <c r="S1572" s="25" t="str">
        <f t="shared" si="74"/>
        <v>2024/5</v>
      </c>
      <c r="T1572" s="21">
        <f>IFERROR(
(VLOOKUP(MONTH(R1572),Meses!$B$3:$C$14,2,FALSE)-DAY(R1572))/VLOOKUP(MONTH(R1572),Meses!$B$3:$C$14,2,FALSE)*U1572,
"")</f>
        <v>366.70967741935482</v>
      </c>
      <c r="U1572" s="22">
        <f t="shared" si="73"/>
        <v>392</v>
      </c>
    </row>
    <row r="1573" spans="1:21" ht="63" thickBot="1" x14ac:dyDescent="0.6">
      <c r="A1573" s="10" t="s">
        <v>1974</v>
      </c>
      <c r="B1573" s="10" t="s">
        <v>1980</v>
      </c>
      <c r="C1573" s="12"/>
      <c r="D1573" s="10" t="s">
        <v>74</v>
      </c>
      <c r="E1573" s="10" t="s">
        <v>74</v>
      </c>
      <c r="F1573" s="10">
        <v>440</v>
      </c>
      <c r="G1573" s="10" t="s">
        <v>15</v>
      </c>
      <c r="H1573" s="10" t="s">
        <v>2921</v>
      </c>
      <c r="I1573" s="10" t="s">
        <v>43</v>
      </c>
      <c r="J1573" s="10" t="s">
        <v>282</v>
      </c>
      <c r="K1573" s="10" t="s">
        <v>3326</v>
      </c>
      <c r="L1573" s="10" t="s">
        <v>2293</v>
      </c>
      <c r="M1573" s="12">
        <v>45414</v>
      </c>
      <c r="N1573" s="10" t="s">
        <v>15</v>
      </c>
      <c r="O1573" s="10" t="s">
        <v>2057</v>
      </c>
      <c r="P1573" s="25" t="str">
        <f>IFERROR(
IF(OR(O1573="anulado",O1573="stand by"),CONCATENATE(O1573,": ",H1573),
IF(OR(YEAR(M1573)=2022,YEAR(M1573)=2023),CONCATENATE("Se activó en ",YEAR(M1573)),
IF(AND(OR(O1573="En proceso",O1573="facturando"),AND(J1573="-",M1573="")),"Por revisar",
IF(M1573="",IF(J1573="NUEVAS",CONCATENATE("Estado: ",O1573,", ",J1573),
IF(L1573=Meses!$A$3,"Por revisar",
IF(H1573="","Sin registro","En programación Frcst."))),"En programación")))),
"Error")</f>
        <v>En programación</v>
      </c>
      <c r="Q1573" s="9" t="str">
        <f t="shared" si="72"/>
        <v/>
      </c>
      <c r="R1573" s="25">
        <f>IF(P1573="En programación Frcst.",VLOOKUP(L1573,Meses!$A$1:$H$14,3+HLOOKUP(Cronograma!J1573,Meses!$D$1:$G$2,2,FALSE),FALSE),
IF(P1573="En programación",M1573,""))</f>
        <v>45414</v>
      </c>
      <c r="S1573" s="25" t="str">
        <f t="shared" si="74"/>
        <v>2024/5</v>
      </c>
      <c r="T1573" s="21">
        <f>IFERROR(
(VLOOKUP(MONTH(R1573),Meses!$B$3:$C$14,2,FALSE)-DAY(R1573))/VLOOKUP(MONTH(R1573),Meses!$B$3:$C$14,2,FALSE)*U1573,
"")</f>
        <v>411.61290322580641</v>
      </c>
      <c r="U1573" s="22">
        <f t="shared" si="73"/>
        <v>440</v>
      </c>
    </row>
    <row r="1574" spans="1:21" ht="63" thickBot="1" x14ac:dyDescent="0.6">
      <c r="A1574" s="10" t="s">
        <v>1974</v>
      </c>
      <c r="B1574" s="10" t="s">
        <v>1981</v>
      </c>
      <c r="C1574" s="12"/>
      <c r="D1574" s="10" t="s">
        <v>74</v>
      </c>
      <c r="E1574" s="10" t="s">
        <v>74</v>
      </c>
      <c r="F1574" s="10">
        <v>640</v>
      </c>
      <c r="G1574" s="10" t="s">
        <v>15</v>
      </c>
      <c r="H1574" s="10" t="s">
        <v>2921</v>
      </c>
      <c r="I1574" s="10" t="s">
        <v>43</v>
      </c>
      <c r="J1574" s="10" t="s">
        <v>282</v>
      </c>
      <c r="K1574" s="10" t="s">
        <v>3326</v>
      </c>
      <c r="L1574" s="10" t="s">
        <v>2293</v>
      </c>
      <c r="M1574" s="12">
        <v>45414</v>
      </c>
      <c r="N1574" s="10" t="s">
        <v>15</v>
      </c>
      <c r="O1574" s="10" t="s">
        <v>2057</v>
      </c>
      <c r="P1574" s="25" t="str">
        <f>IFERROR(
IF(OR(O1574="anulado",O1574="stand by"),CONCATENATE(O1574,": ",H1574),
IF(OR(YEAR(M1574)=2022,YEAR(M1574)=2023),CONCATENATE("Se activó en ",YEAR(M1574)),
IF(AND(OR(O1574="En proceso",O1574="facturando"),AND(J1574="-",M1574="")),"Por revisar",
IF(M1574="",IF(J1574="NUEVAS",CONCATENATE("Estado: ",O1574,", ",J1574),
IF(L1574=Meses!$A$3,"Por revisar",
IF(H1574="","Sin registro","En programación Frcst."))),"En programación")))),
"Error")</f>
        <v>En programación</v>
      </c>
      <c r="Q1574" s="9" t="str">
        <f t="shared" si="72"/>
        <v/>
      </c>
      <c r="R1574" s="25">
        <f>IF(P1574="En programación Frcst.",VLOOKUP(L1574,Meses!$A$1:$H$14,3+HLOOKUP(Cronograma!J1574,Meses!$D$1:$G$2,2,FALSE),FALSE),
IF(P1574="En programación",M1574,""))</f>
        <v>45414</v>
      </c>
      <c r="S1574" s="25" t="str">
        <f t="shared" si="74"/>
        <v>2024/5</v>
      </c>
      <c r="T1574" s="21">
        <f>IFERROR(
(VLOOKUP(MONTH(R1574),Meses!$B$3:$C$14,2,FALSE)-DAY(R1574))/VLOOKUP(MONTH(R1574),Meses!$B$3:$C$14,2,FALSE)*U1574,
"")</f>
        <v>598.70967741935476</v>
      </c>
      <c r="U1574" s="22">
        <f t="shared" si="73"/>
        <v>640</v>
      </c>
    </row>
    <row r="1575" spans="1:21" ht="63" thickBot="1" x14ac:dyDescent="0.6">
      <c r="A1575" s="10" t="s">
        <v>1974</v>
      </c>
      <c r="B1575" s="10" t="s">
        <v>1982</v>
      </c>
      <c r="C1575" s="12"/>
      <c r="D1575" s="10" t="s">
        <v>74</v>
      </c>
      <c r="E1575" s="10" t="s">
        <v>74</v>
      </c>
      <c r="F1575" s="10">
        <v>484</v>
      </c>
      <c r="G1575" s="10" t="s">
        <v>15</v>
      </c>
      <c r="H1575" s="10" t="s">
        <v>2921</v>
      </c>
      <c r="I1575" s="10" t="s">
        <v>43</v>
      </c>
      <c r="J1575" s="10" t="s">
        <v>282</v>
      </c>
      <c r="K1575" s="10" t="s">
        <v>3326</v>
      </c>
      <c r="L1575" s="10" t="s">
        <v>2293</v>
      </c>
      <c r="M1575" s="12">
        <v>45414</v>
      </c>
      <c r="N1575" s="10" t="s">
        <v>15</v>
      </c>
      <c r="O1575" s="10" t="s">
        <v>2057</v>
      </c>
      <c r="P1575" s="25" t="str">
        <f>IFERROR(
IF(OR(O1575="anulado",O1575="stand by"),CONCATENATE(O1575,": ",H1575),
IF(OR(YEAR(M1575)=2022,YEAR(M1575)=2023),CONCATENATE("Se activó en ",YEAR(M1575)),
IF(AND(OR(O1575="En proceso",O1575="facturando"),AND(J1575="-",M1575="")),"Por revisar",
IF(M1575="",IF(J1575="NUEVAS",CONCATENATE("Estado: ",O1575,", ",J1575),
IF(L1575=Meses!$A$3,"Por revisar",
IF(H1575="","Sin registro","En programación Frcst."))),"En programación")))),
"Error")</f>
        <v>En programación</v>
      </c>
      <c r="Q1575" s="9" t="str">
        <f t="shared" si="72"/>
        <v/>
      </c>
      <c r="R1575" s="25">
        <f>IF(P1575="En programación Frcst.",VLOOKUP(L1575,Meses!$A$1:$H$14,3+HLOOKUP(Cronograma!J1575,Meses!$D$1:$G$2,2,FALSE),FALSE),
IF(P1575="En programación",M1575,""))</f>
        <v>45414</v>
      </c>
      <c r="S1575" s="25" t="str">
        <f t="shared" si="74"/>
        <v>2024/5</v>
      </c>
      <c r="T1575" s="21">
        <f>IFERROR(
(VLOOKUP(MONTH(R1575),Meses!$B$3:$C$14,2,FALSE)-DAY(R1575))/VLOOKUP(MONTH(R1575),Meses!$B$3:$C$14,2,FALSE)*U1575,
"")</f>
        <v>452.77419354838707</v>
      </c>
      <c r="U1575" s="22">
        <f t="shared" si="73"/>
        <v>484</v>
      </c>
    </row>
    <row r="1576" spans="1:21" ht="31.8" hidden="1" thickBot="1" x14ac:dyDescent="0.6">
      <c r="A1576" s="10" t="s">
        <v>1983</v>
      </c>
      <c r="B1576" s="10" t="s">
        <v>1984</v>
      </c>
      <c r="C1576" s="12"/>
      <c r="D1576" s="10" t="s">
        <v>44</v>
      </c>
      <c r="E1576" s="10" t="s">
        <v>44</v>
      </c>
      <c r="F1576" s="10">
        <v>22560</v>
      </c>
      <c r="G1576" s="10" t="s">
        <v>15</v>
      </c>
      <c r="H1576" s="10" t="s">
        <v>2917</v>
      </c>
      <c r="I1576" s="10" t="s">
        <v>43</v>
      </c>
      <c r="J1576" s="10" t="s">
        <v>143</v>
      </c>
      <c r="K1576" s="10" t="s">
        <v>2895</v>
      </c>
      <c r="L1576" s="10" t="s">
        <v>2292</v>
      </c>
      <c r="M1576" s="12">
        <v>45400</v>
      </c>
      <c r="N1576" s="10" t="s">
        <v>15</v>
      </c>
      <c r="O1576" s="10" t="s">
        <v>2057</v>
      </c>
      <c r="P1576" s="25" t="str">
        <f>IFERROR(
IF(OR(O1576="anulado",O1576="stand by"),CONCATENATE(O1576,": ",H1576),
IF(OR(YEAR(M1576)=2022,YEAR(M1576)=2023),CONCATENATE("Se activó en ",YEAR(M1576)),
IF(AND(OR(O1576="En proceso",O1576="facturando"),AND(J1576="-",M1576="")),"Por revisar",
IF(M1576="",IF(J1576="NUEVAS",CONCATENATE("Estado: ",O1576,", ",J1576),
IF(L1576=Meses!$A$3,"Por revisar",
IF(H1576="","Sin registro","En programación Frcst."))),"En programación")))),
"Error")</f>
        <v>En programación</v>
      </c>
      <c r="Q1576" s="9" t="str">
        <f t="shared" si="72"/>
        <v/>
      </c>
      <c r="R1576" s="25">
        <f>IF(P1576="En programación Frcst.",VLOOKUP(L1576,Meses!$A$1:$H$14,3+HLOOKUP(Cronograma!J1576,Meses!$D$1:$G$2,2,FALSE),FALSE),
IF(P1576="En programación",M1576,""))</f>
        <v>45400</v>
      </c>
      <c r="S1576" s="25" t="str">
        <f t="shared" si="74"/>
        <v>2024/4</v>
      </c>
      <c r="T1576" s="21">
        <f>IFERROR(
(VLOOKUP(MONTH(R1576),Meses!$B$3:$C$14,2,FALSE)-DAY(R1576))/VLOOKUP(MONTH(R1576),Meses!$B$3:$C$14,2,FALSE)*U1576,
"")</f>
        <v>9024</v>
      </c>
      <c r="U1576" s="22">
        <f t="shared" si="73"/>
        <v>22560</v>
      </c>
    </row>
    <row r="1577" spans="1:21" ht="31.8" thickBot="1" x14ac:dyDescent="0.6">
      <c r="A1577" s="10" t="s">
        <v>1985</v>
      </c>
      <c r="B1577" s="10" t="s">
        <v>1986</v>
      </c>
      <c r="C1577" s="12"/>
      <c r="D1577" s="10" t="s">
        <v>654</v>
      </c>
      <c r="E1577" s="10" t="s">
        <v>44</v>
      </c>
      <c r="F1577" s="10">
        <v>14216</v>
      </c>
      <c r="G1577" s="10" t="s">
        <v>15</v>
      </c>
      <c r="H1577" s="10" t="s">
        <v>2916</v>
      </c>
      <c r="I1577" s="10" t="s">
        <v>66</v>
      </c>
      <c r="J1577" s="10" t="s">
        <v>282</v>
      </c>
      <c r="K1577" s="10" t="s">
        <v>3326</v>
      </c>
      <c r="L1577" s="10" t="s">
        <v>2293</v>
      </c>
      <c r="M1577" s="12">
        <v>45414</v>
      </c>
      <c r="N1577" s="10" t="s">
        <v>15</v>
      </c>
      <c r="O1577" s="10" t="s">
        <v>2057</v>
      </c>
      <c r="P1577" s="25" t="str">
        <f>IFERROR(
IF(OR(O1577="anulado",O1577="stand by"),CONCATENATE(O1577,": ",H1577),
IF(OR(YEAR(M1577)=2022,YEAR(M1577)=2023),CONCATENATE("Se activó en ",YEAR(M1577)),
IF(AND(OR(O1577="En proceso",O1577="facturando"),AND(J1577="-",M1577="")),"Por revisar",
IF(M1577="",IF(J1577="NUEVAS",CONCATENATE("Estado: ",O1577,", ",J1577),
IF(L1577=Meses!$A$3,"Por revisar",
IF(H1577="","Sin registro","En programación Frcst."))),"En programación")))),
"Error")</f>
        <v>En programación</v>
      </c>
      <c r="Q1577" s="9" t="str">
        <f t="shared" si="72"/>
        <v/>
      </c>
      <c r="R1577" s="25">
        <f>IF(P1577="En programación Frcst.",VLOOKUP(L1577,Meses!$A$1:$H$14,3+HLOOKUP(Cronograma!J1577,Meses!$D$1:$G$2,2,FALSE),FALSE),
IF(P1577="En programación",M1577,""))</f>
        <v>45414</v>
      </c>
      <c r="S1577" s="25" t="str">
        <f t="shared" si="74"/>
        <v>2024/5</v>
      </c>
      <c r="T1577" s="21">
        <f>IFERROR(
(VLOOKUP(MONTH(R1577),Meses!$B$3:$C$14,2,FALSE)-DAY(R1577))/VLOOKUP(MONTH(R1577),Meses!$B$3:$C$14,2,FALSE)*U1577,
"")</f>
        <v>13298.838709677419</v>
      </c>
      <c r="U1577" s="22">
        <f t="shared" si="73"/>
        <v>14216</v>
      </c>
    </row>
    <row r="1578" spans="1:21" ht="63" thickBot="1" x14ac:dyDescent="0.6">
      <c r="A1578" s="10" t="s">
        <v>1974</v>
      </c>
      <c r="B1578" s="10" t="s">
        <v>1987</v>
      </c>
      <c r="C1578" s="12"/>
      <c r="D1578" s="10" t="s">
        <v>74</v>
      </c>
      <c r="E1578" s="10" t="s">
        <v>74</v>
      </c>
      <c r="F1578" s="10">
        <v>293</v>
      </c>
      <c r="G1578" s="10" t="s">
        <v>15</v>
      </c>
      <c r="H1578" s="10" t="s">
        <v>2921</v>
      </c>
      <c r="I1578" s="10" t="s">
        <v>43</v>
      </c>
      <c r="J1578" s="10" t="s">
        <v>282</v>
      </c>
      <c r="K1578" s="10" t="s">
        <v>3326</v>
      </c>
      <c r="L1578" s="10" t="s">
        <v>2293</v>
      </c>
      <c r="M1578" s="12">
        <v>45414</v>
      </c>
      <c r="N1578" s="10" t="s">
        <v>15</v>
      </c>
      <c r="O1578" s="10" t="s">
        <v>2057</v>
      </c>
      <c r="P1578" s="25" t="str">
        <f>IFERROR(
IF(OR(O1578="anulado",O1578="stand by"),CONCATENATE(O1578,": ",H1578),
IF(OR(YEAR(M1578)=2022,YEAR(M1578)=2023),CONCATENATE("Se activó en ",YEAR(M1578)),
IF(AND(OR(O1578="En proceso",O1578="facturando"),AND(J1578="-",M1578="")),"Por revisar",
IF(M1578="",IF(J1578="NUEVAS",CONCATENATE("Estado: ",O1578,", ",J1578),
IF(L1578=Meses!$A$3,"Por revisar",
IF(H1578="","Sin registro","En programación Frcst."))),"En programación")))),
"Error")</f>
        <v>En programación</v>
      </c>
      <c r="Q1578" s="9" t="str">
        <f t="shared" si="72"/>
        <v/>
      </c>
      <c r="R1578" s="25">
        <f>IF(P1578="En programación Frcst.",VLOOKUP(L1578,Meses!$A$1:$H$14,3+HLOOKUP(Cronograma!J1578,Meses!$D$1:$G$2,2,FALSE),FALSE),
IF(P1578="En programación",M1578,""))</f>
        <v>45414</v>
      </c>
      <c r="S1578" s="25" t="str">
        <f t="shared" si="74"/>
        <v>2024/5</v>
      </c>
      <c r="T1578" s="21">
        <f>IFERROR(
(VLOOKUP(MONTH(R1578),Meses!$B$3:$C$14,2,FALSE)-DAY(R1578))/VLOOKUP(MONTH(R1578),Meses!$B$3:$C$14,2,FALSE)*U1578,
"")</f>
        <v>274.09677419354836</v>
      </c>
      <c r="U1578" s="22">
        <f t="shared" si="73"/>
        <v>293</v>
      </c>
    </row>
    <row r="1579" spans="1:21" ht="78.599999999999994" hidden="1" thickBot="1" x14ac:dyDescent="0.6">
      <c r="A1579" s="10" t="s">
        <v>1988</v>
      </c>
      <c r="B1579" s="10" t="s">
        <v>1989</v>
      </c>
      <c r="C1579" s="12"/>
      <c r="D1579" s="10" t="s">
        <v>74</v>
      </c>
      <c r="E1579" s="10" t="s">
        <v>74</v>
      </c>
      <c r="F1579" s="10">
        <v>36876</v>
      </c>
      <c r="G1579" s="10" t="s">
        <v>15</v>
      </c>
      <c r="H1579" s="10" t="s">
        <v>2916</v>
      </c>
      <c r="I1579" s="10" t="s">
        <v>43</v>
      </c>
      <c r="J1579" s="10" t="s">
        <v>143</v>
      </c>
      <c r="K1579" s="10" t="s">
        <v>2895</v>
      </c>
      <c r="L1579" s="10" t="s">
        <v>2292</v>
      </c>
      <c r="M1579" s="12">
        <v>45400</v>
      </c>
      <c r="N1579" s="10" t="s">
        <v>15</v>
      </c>
      <c r="O1579" s="10" t="s">
        <v>2057</v>
      </c>
      <c r="P1579" s="25" t="str">
        <f>IFERROR(
IF(OR(O1579="anulado",O1579="stand by"),CONCATENATE(O1579,": ",H1579),
IF(OR(YEAR(M1579)=2022,YEAR(M1579)=2023),CONCATENATE("Se activó en ",YEAR(M1579)),
IF(AND(OR(O1579="En proceso",O1579="facturando"),AND(J1579="-",M1579="")),"Por revisar",
IF(M1579="",IF(J1579="NUEVAS",CONCATENATE("Estado: ",O1579,", ",J1579),
IF(L1579=Meses!$A$3,"Por revisar",
IF(H1579="","Sin registro","En programación Frcst."))),"En programación")))),
"Error")</f>
        <v>En programación</v>
      </c>
      <c r="Q1579" s="9" t="str">
        <f t="shared" si="72"/>
        <v/>
      </c>
      <c r="R1579" s="25">
        <f>IF(P1579="En programación Frcst.",VLOOKUP(L1579,Meses!$A$1:$H$14,3+HLOOKUP(Cronograma!J1579,Meses!$D$1:$G$2,2,FALSE),FALSE),
IF(P1579="En programación",M1579,""))</f>
        <v>45400</v>
      </c>
      <c r="S1579" s="25" t="str">
        <f t="shared" si="74"/>
        <v>2024/4</v>
      </c>
      <c r="T1579" s="21">
        <f>IFERROR(
(VLOOKUP(MONTH(R1579),Meses!$B$3:$C$14,2,FALSE)-DAY(R1579))/VLOOKUP(MONTH(R1579),Meses!$B$3:$C$14,2,FALSE)*U1579,
"")</f>
        <v>14750.400000000001</v>
      </c>
      <c r="U1579" s="22">
        <f t="shared" si="73"/>
        <v>36876</v>
      </c>
    </row>
    <row r="1580" spans="1:21" ht="31.8" hidden="1" thickBot="1" x14ac:dyDescent="0.6">
      <c r="A1580" s="10" t="s">
        <v>1231</v>
      </c>
      <c r="B1580" s="10" t="s">
        <v>1990</v>
      </c>
      <c r="C1580" s="12">
        <v>45295</v>
      </c>
      <c r="D1580" s="10" t="s">
        <v>1249</v>
      </c>
      <c r="E1580" s="10" t="s">
        <v>14</v>
      </c>
      <c r="F1580" s="10">
        <v>30628</v>
      </c>
      <c r="G1580" s="10" t="s">
        <v>15</v>
      </c>
      <c r="H1580" s="10" t="s">
        <v>17</v>
      </c>
      <c r="I1580" s="10" t="s">
        <v>66</v>
      </c>
      <c r="J1580" s="10" t="s">
        <v>277</v>
      </c>
      <c r="K1580" s="10" t="s">
        <v>278</v>
      </c>
      <c r="L1580" s="10" t="s">
        <v>279</v>
      </c>
      <c r="M1580" s="12"/>
      <c r="N1580" s="10" t="s">
        <v>15</v>
      </c>
      <c r="O1580" s="10" t="s">
        <v>2054</v>
      </c>
      <c r="P1580" s="25" t="str">
        <f>IFERROR(
IF(OR(O1580="anulado",O1580="stand by"),CONCATENATE(O1580,": ",H1580),
IF(OR(YEAR(M1580)=2022,YEAR(M1580)=2023),CONCATENATE("Se activó en ",YEAR(M1580)),
IF(AND(OR(O1580="En proceso",O1580="facturando"),AND(J1580="-",M1580="")),"Por revisar",
IF(M1580="",IF(J1580="NUEVAS",CONCATENATE("Estado: ",O1580,", ",J1580),
IF(L1580=Meses!$A$3,"Por revisar",
IF(H1580="","Sin registro","En programación Frcst."))),"En programación")))),
"Error")</f>
        <v>En programación Frcst.</v>
      </c>
      <c r="Q1580" s="9" t="str">
        <f t="shared" si="72"/>
        <v/>
      </c>
      <c r="R1580" s="25">
        <f>IF(P1580="En programación Frcst.",VLOOKUP(L1580,Meses!$A$1:$H$14,3+HLOOKUP(Cronograma!J1580,Meses!$D$1:$G$2,2,FALSE),FALSE),
IF(P1580="En programación",M1580,""))</f>
        <v>45309</v>
      </c>
      <c r="S1580" s="25" t="str">
        <f t="shared" si="74"/>
        <v>2024/1</v>
      </c>
      <c r="T1580" s="21">
        <f>IFERROR(
(VLOOKUP(MONTH(R1580),Meses!$B$3:$C$14,2,FALSE)-DAY(R1580))/VLOOKUP(MONTH(R1580),Meses!$B$3:$C$14,2,FALSE)*U1580,
"")</f>
        <v>12844</v>
      </c>
      <c r="U1580" s="22">
        <f t="shared" si="73"/>
        <v>30628</v>
      </c>
    </row>
    <row r="1581" spans="1:21" ht="31.8" hidden="1" thickBot="1" x14ac:dyDescent="0.6">
      <c r="A1581" s="10" t="s">
        <v>1231</v>
      </c>
      <c r="B1581" s="10" t="s">
        <v>1991</v>
      </c>
      <c r="C1581" s="12">
        <v>45295</v>
      </c>
      <c r="D1581" s="10" t="s">
        <v>1249</v>
      </c>
      <c r="E1581" s="10" t="s">
        <v>14</v>
      </c>
      <c r="F1581" s="10">
        <v>419789</v>
      </c>
      <c r="G1581" s="10" t="s">
        <v>15</v>
      </c>
      <c r="H1581" s="10" t="s">
        <v>17</v>
      </c>
      <c r="I1581" s="10" t="s">
        <v>66</v>
      </c>
      <c r="J1581" s="10" t="s">
        <v>277</v>
      </c>
      <c r="K1581" s="10" t="s">
        <v>278</v>
      </c>
      <c r="L1581" s="10" t="s">
        <v>279</v>
      </c>
      <c r="M1581" s="12"/>
      <c r="N1581" s="10" t="s">
        <v>15</v>
      </c>
      <c r="O1581" s="10" t="s">
        <v>2054</v>
      </c>
      <c r="P1581" s="25" t="str">
        <f>IFERROR(
IF(OR(O1581="anulado",O1581="stand by"),CONCATENATE(O1581,": ",H1581),
IF(OR(YEAR(M1581)=2022,YEAR(M1581)=2023),CONCATENATE("Se activó en ",YEAR(M1581)),
IF(AND(OR(O1581="En proceso",O1581="facturando"),AND(J1581="-",M1581="")),"Por revisar",
IF(M1581="",IF(J1581="NUEVAS",CONCATENATE("Estado: ",O1581,", ",J1581),
IF(L1581=Meses!$A$3,"Por revisar",
IF(H1581="","Sin registro","En programación Frcst."))),"En programación")))),
"Error")</f>
        <v>En programación Frcst.</v>
      </c>
      <c r="Q1581" s="9" t="str">
        <f t="shared" si="72"/>
        <v/>
      </c>
      <c r="R1581" s="25">
        <f>IF(P1581="En programación Frcst.",VLOOKUP(L1581,Meses!$A$1:$H$14,3+HLOOKUP(Cronograma!J1581,Meses!$D$1:$G$2,2,FALSE),FALSE),
IF(P1581="En programación",M1581,""))</f>
        <v>45309</v>
      </c>
      <c r="S1581" s="25" t="str">
        <f t="shared" si="74"/>
        <v>2024/1</v>
      </c>
      <c r="T1581" s="21">
        <f>IFERROR(
(VLOOKUP(MONTH(R1581),Meses!$B$3:$C$14,2,FALSE)-DAY(R1581))/VLOOKUP(MONTH(R1581),Meses!$B$3:$C$14,2,FALSE)*U1581,
"")</f>
        <v>176040.54838709679</v>
      </c>
      <c r="U1581" s="22">
        <f t="shared" si="73"/>
        <v>419789</v>
      </c>
    </row>
    <row r="1582" spans="1:21" ht="31.8" hidden="1" thickBot="1" x14ac:dyDescent="0.6">
      <c r="A1582" s="10" t="s">
        <v>1231</v>
      </c>
      <c r="B1582" s="10" t="s">
        <v>1992</v>
      </c>
      <c r="C1582" s="12">
        <v>45295</v>
      </c>
      <c r="D1582" s="10" t="s">
        <v>1249</v>
      </c>
      <c r="E1582" s="10" t="s">
        <v>14</v>
      </c>
      <c r="F1582" s="10">
        <v>20150</v>
      </c>
      <c r="G1582" s="10" t="s">
        <v>15</v>
      </c>
      <c r="H1582" s="10" t="s">
        <v>17</v>
      </c>
      <c r="I1582" s="10" t="s">
        <v>66</v>
      </c>
      <c r="J1582" s="10" t="s">
        <v>277</v>
      </c>
      <c r="K1582" s="10" t="s">
        <v>278</v>
      </c>
      <c r="L1582" s="10" t="s">
        <v>279</v>
      </c>
      <c r="M1582" s="12"/>
      <c r="N1582" s="10" t="s">
        <v>15</v>
      </c>
      <c r="O1582" s="10" t="s">
        <v>2054</v>
      </c>
      <c r="P1582" s="25" t="str">
        <f>IFERROR(
IF(OR(O1582="anulado",O1582="stand by"),CONCATENATE(O1582,": ",H1582),
IF(OR(YEAR(M1582)=2022,YEAR(M1582)=2023),CONCATENATE("Se activó en ",YEAR(M1582)),
IF(AND(OR(O1582="En proceso",O1582="facturando"),AND(J1582="-",M1582="")),"Por revisar",
IF(M1582="",IF(J1582="NUEVAS",CONCATENATE("Estado: ",O1582,", ",J1582),
IF(L1582=Meses!$A$3,"Por revisar",
IF(H1582="","Sin registro","En programación Frcst."))),"En programación")))),
"Error")</f>
        <v>En programación Frcst.</v>
      </c>
      <c r="Q1582" s="9" t="str">
        <f t="shared" si="72"/>
        <v/>
      </c>
      <c r="R1582" s="25">
        <f>IF(P1582="En programación Frcst.",VLOOKUP(L1582,Meses!$A$1:$H$14,3+HLOOKUP(Cronograma!J1582,Meses!$D$1:$G$2,2,FALSE),FALSE),
IF(P1582="En programación",M1582,""))</f>
        <v>45309</v>
      </c>
      <c r="S1582" s="25" t="str">
        <f t="shared" si="74"/>
        <v>2024/1</v>
      </c>
      <c r="T1582" s="21">
        <f>IFERROR(
(VLOOKUP(MONTH(R1582),Meses!$B$3:$C$14,2,FALSE)-DAY(R1582))/VLOOKUP(MONTH(R1582),Meses!$B$3:$C$14,2,FALSE)*U1582,
"")</f>
        <v>8450</v>
      </c>
      <c r="U1582" s="22">
        <f t="shared" si="73"/>
        <v>20150</v>
      </c>
    </row>
    <row r="1583" spans="1:21" ht="31.8" hidden="1" thickBot="1" x14ac:dyDescent="0.6">
      <c r="A1583" s="10" t="s">
        <v>1231</v>
      </c>
      <c r="B1583" s="10" t="s">
        <v>1993</v>
      </c>
      <c r="C1583" s="12">
        <v>45295</v>
      </c>
      <c r="D1583" s="10" t="s">
        <v>14</v>
      </c>
      <c r="E1583" s="10" t="s">
        <v>14</v>
      </c>
      <c r="F1583" s="10">
        <v>237</v>
      </c>
      <c r="G1583" s="10" t="s">
        <v>15</v>
      </c>
      <c r="H1583" s="10" t="s">
        <v>17</v>
      </c>
      <c r="I1583" s="10" t="s">
        <v>18</v>
      </c>
      <c r="J1583" s="10" t="s">
        <v>143</v>
      </c>
      <c r="K1583" s="10" t="s">
        <v>852</v>
      </c>
      <c r="L1583" s="10" t="s">
        <v>748</v>
      </c>
      <c r="M1583" s="12"/>
      <c r="N1583" s="10" t="s">
        <v>15</v>
      </c>
      <c r="O1583" s="10" t="s">
        <v>2054</v>
      </c>
      <c r="P1583" s="25" t="str">
        <f>IFERROR(
IF(OR(O1583="anulado",O1583="stand by"),CONCATENATE(O1583,": ",H1583),
IF(OR(YEAR(M1583)=2022,YEAR(M1583)=2023),CONCATENATE("Se activó en ",YEAR(M1583)),
IF(AND(OR(O1583="En proceso",O1583="facturando"),AND(J1583="-",M1583="")),"Por revisar",
IF(M1583="",IF(J1583="NUEVAS",CONCATENATE("Estado: ",O1583,", ",J1583),
IF(L1583=Meses!$A$3,"Por revisar",
IF(H1583="","Sin registro","En programación Frcst."))),"En programación")))),
"Error")</f>
        <v>En programación Frcst.</v>
      </c>
      <c r="Q1583" s="9" t="str">
        <f t="shared" si="72"/>
        <v/>
      </c>
      <c r="R1583" s="25">
        <f>IF(P1583="En programación Frcst.",VLOOKUP(L1583,Meses!$A$1:$H$14,3+HLOOKUP(Cronograma!J1583,Meses!$D$1:$G$2,2,FALSE),FALSE),
IF(P1583="En programación",M1583,""))</f>
        <v>45330</v>
      </c>
      <c r="S1583" s="25" t="str">
        <f t="shared" si="74"/>
        <v>2024/2</v>
      </c>
      <c r="T1583" s="21">
        <f>IFERROR(
(VLOOKUP(MONTH(R1583),Meses!$B$3:$C$14,2,FALSE)-DAY(R1583))/VLOOKUP(MONTH(R1583),Meses!$B$3:$C$14,2,FALSE)*U1583,
"")</f>
        <v>171.62068965517241</v>
      </c>
      <c r="U1583" s="22">
        <f t="shared" si="73"/>
        <v>237</v>
      </c>
    </row>
    <row r="1584" spans="1:21" ht="31.8" hidden="1" thickBot="1" x14ac:dyDescent="0.6">
      <c r="A1584" s="10" t="s">
        <v>1231</v>
      </c>
      <c r="B1584" s="10" t="s">
        <v>1994</v>
      </c>
      <c r="C1584" s="12">
        <v>45295</v>
      </c>
      <c r="D1584" s="10" t="s">
        <v>1249</v>
      </c>
      <c r="E1584" s="10" t="s">
        <v>14</v>
      </c>
      <c r="F1584" s="10">
        <v>13588</v>
      </c>
      <c r="G1584" s="10" t="s">
        <v>15</v>
      </c>
      <c r="H1584" s="10" t="s">
        <v>17</v>
      </c>
      <c r="I1584" s="10" t="s">
        <v>66</v>
      </c>
      <c r="J1584" s="10" t="s">
        <v>277</v>
      </c>
      <c r="K1584" s="10" t="s">
        <v>278</v>
      </c>
      <c r="L1584" s="10" t="s">
        <v>279</v>
      </c>
      <c r="M1584" s="12"/>
      <c r="N1584" s="10" t="s">
        <v>15</v>
      </c>
      <c r="O1584" s="10" t="s">
        <v>2054</v>
      </c>
      <c r="P1584" s="25" t="str">
        <f>IFERROR(
IF(OR(O1584="anulado",O1584="stand by"),CONCATENATE(O1584,": ",H1584),
IF(OR(YEAR(M1584)=2022,YEAR(M1584)=2023),CONCATENATE("Se activó en ",YEAR(M1584)),
IF(AND(OR(O1584="En proceso",O1584="facturando"),AND(J1584="-",M1584="")),"Por revisar",
IF(M1584="",IF(J1584="NUEVAS",CONCATENATE("Estado: ",O1584,", ",J1584),
IF(L1584=Meses!$A$3,"Por revisar",
IF(H1584="","Sin registro","En programación Frcst."))),"En programación")))),
"Error")</f>
        <v>En programación Frcst.</v>
      </c>
      <c r="Q1584" s="9" t="str">
        <f t="shared" si="72"/>
        <v/>
      </c>
      <c r="R1584" s="25">
        <f>IF(P1584="En programación Frcst.",VLOOKUP(L1584,Meses!$A$1:$H$14,3+HLOOKUP(Cronograma!J1584,Meses!$D$1:$G$2,2,FALSE),FALSE),
IF(P1584="En programación",M1584,""))</f>
        <v>45309</v>
      </c>
      <c r="S1584" s="25" t="str">
        <f t="shared" si="74"/>
        <v>2024/1</v>
      </c>
      <c r="T1584" s="21">
        <f>IFERROR(
(VLOOKUP(MONTH(R1584),Meses!$B$3:$C$14,2,FALSE)-DAY(R1584))/VLOOKUP(MONTH(R1584),Meses!$B$3:$C$14,2,FALSE)*U1584,
"")</f>
        <v>5698.1935483870966</v>
      </c>
      <c r="U1584" s="22">
        <f t="shared" si="73"/>
        <v>13588</v>
      </c>
    </row>
    <row r="1585" spans="1:21" ht="31.8" hidden="1" thickBot="1" x14ac:dyDescent="0.6">
      <c r="A1585" s="10" t="s">
        <v>1231</v>
      </c>
      <c r="B1585" s="10" t="s">
        <v>1995</v>
      </c>
      <c r="C1585" s="12">
        <v>45295</v>
      </c>
      <c r="D1585" s="10" t="s">
        <v>1249</v>
      </c>
      <c r="E1585" s="10" t="s">
        <v>14</v>
      </c>
      <c r="F1585" s="10">
        <v>45687</v>
      </c>
      <c r="G1585" s="10" t="s">
        <v>15</v>
      </c>
      <c r="H1585" s="10" t="s">
        <v>17</v>
      </c>
      <c r="I1585" s="10" t="s">
        <v>66</v>
      </c>
      <c r="J1585" s="10" t="s">
        <v>277</v>
      </c>
      <c r="K1585" s="10" t="s">
        <v>278</v>
      </c>
      <c r="L1585" s="10" t="s">
        <v>279</v>
      </c>
      <c r="M1585" s="12"/>
      <c r="N1585" s="10" t="s">
        <v>15</v>
      </c>
      <c r="O1585" s="10" t="s">
        <v>2054</v>
      </c>
      <c r="P1585" s="25" t="str">
        <f>IFERROR(
IF(OR(O1585="anulado",O1585="stand by"),CONCATENATE(O1585,": ",H1585),
IF(OR(YEAR(M1585)=2022,YEAR(M1585)=2023),CONCATENATE("Se activó en ",YEAR(M1585)),
IF(AND(OR(O1585="En proceso",O1585="facturando"),AND(J1585="-",M1585="")),"Por revisar",
IF(M1585="",IF(J1585="NUEVAS",CONCATENATE("Estado: ",O1585,", ",J1585),
IF(L1585=Meses!$A$3,"Por revisar",
IF(H1585="","Sin registro","En programación Frcst."))),"En programación")))),
"Error")</f>
        <v>En programación Frcst.</v>
      </c>
      <c r="Q1585" s="9" t="str">
        <f t="shared" si="72"/>
        <v/>
      </c>
      <c r="R1585" s="25">
        <f>IF(P1585="En programación Frcst.",VLOOKUP(L1585,Meses!$A$1:$H$14,3+HLOOKUP(Cronograma!J1585,Meses!$D$1:$G$2,2,FALSE),FALSE),
IF(P1585="En programación",M1585,""))</f>
        <v>45309</v>
      </c>
      <c r="S1585" s="25" t="str">
        <f t="shared" si="74"/>
        <v>2024/1</v>
      </c>
      <c r="T1585" s="21">
        <f>IFERROR(
(VLOOKUP(MONTH(R1585),Meses!$B$3:$C$14,2,FALSE)-DAY(R1585))/VLOOKUP(MONTH(R1585),Meses!$B$3:$C$14,2,FALSE)*U1585,
"")</f>
        <v>19159.064516129034</v>
      </c>
      <c r="U1585" s="22">
        <f t="shared" si="73"/>
        <v>45687</v>
      </c>
    </row>
    <row r="1586" spans="1:21" ht="31.8" hidden="1" thickBot="1" x14ac:dyDescent="0.6">
      <c r="A1586" s="10" t="s">
        <v>1231</v>
      </c>
      <c r="B1586" s="10" t="s">
        <v>1996</v>
      </c>
      <c r="C1586" s="12">
        <v>45302</v>
      </c>
      <c r="D1586" s="10" t="s">
        <v>14</v>
      </c>
      <c r="E1586" s="10" t="s">
        <v>14</v>
      </c>
      <c r="F1586" s="10">
        <v>4209</v>
      </c>
      <c r="G1586" s="10" t="s">
        <v>15</v>
      </c>
      <c r="H1586" s="10" t="s">
        <v>17</v>
      </c>
      <c r="I1586" s="10" t="s">
        <v>18</v>
      </c>
      <c r="J1586" s="10" t="s">
        <v>143</v>
      </c>
      <c r="K1586" s="10" t="s">
        <v>852</v>
      </c>
      <c r="L1586" s="10" t="s">
        <v>748</v>
      </c>
      <c r="M1586" s="12"/>
      <c r="N1586" s="10" t="s">
        <v>15</v>
      </c>
      <c r="O1586" s="10" t="s">
        <v>2054</v>
      </c>
      <c r="P1586" s="25" t="str">
        <f>IFERROR(
IF(OR(O1586="anulado",O1586="stand by"),CONCATENATE(O1586,": ",H1586),
IF(OR(YEAR(M1586)=2022,YEAR(M1586)=2023),CONCATENATE("Se activó en ",YEAR(M1586)),
IF(AND(OR(O1586="En proceso",O1586="facturando"),AND(J1586="-",M1586="")),"Por revisar",
IF(M1586="",IF(J1586="NUEVAS",CONCATENATE("Estado: ",O1586,", ",J1586),
IF(L1586=Meses!$A$3,"Por revisar",
IF(H1586="","Sin registro","En programación Frcst."))),"En programación")))),
"Error")</f>
        <v>En programación Frcst.</v>
      </c>
      <c r="Q1586" s="9" t="str">
        <f t="shared" si="72"/>
        <v/>
      </c>
      <c r="R1586" s="25">
        <f>IF(P1586="En programación Frcst.",VLOOKUP(L1586,Meses!$A$1:$H$14,3+HLOOKUP(Cronograma!J1586,Meses!$D$1:$G$2,2,FALSE),FALSE),
IF(P1586="En programación",M1586,""))</f>
        <v>45330</v>
      </c>
      <c r="S1586" s="25" t="str">
        <f t="shared" si="74"/>
        <v>2024/2</v>
      </c>
      <c r="T1586" s="21">
        <f>IFERROR(
(VLOOKUP(MONTH(R1586),Meses!$B$3:$C$14,2,FALSE)-DAY(R1586))/VLOOKUP(MONTH(R1586),Meses!$B$3:$C$14,2,FALSE)*U1586,
"")</f>
        <v>3047.8965517241381</v>
      </c>
      <c r="U1586" s="22">
        <f t="shared" si="73"/>
        <v>4209</v>
      </c>
    </row>
    <row r="1587" spans="1:21" ht="31.8" hidden="1" thickBot="1" x14ac:dyDescent="0.6">
      <c r="A1587" s="10" t="s">
        <v>1231</v>
      </c>
      <c r="B1587" s="10" t="s">
        <v>1997</v>
      </c>
      <c r="C1587" s="12">
        <v>45295</v>
      </c>
      <c r="D1587" s="10" t="s">
        <v>1249</v>
      </c>
      <c r="E1587" s="10" t="s">
        <v>14</v>
      </c>
      <c r="F1587" s="10">
        <v>5478</v>
      </c>
      <c r="G1587" s="10" t="s">
        <v>15</v>
      </c>
      <c r="H1587" s="10" t="s">
        <v>17</v>
      </c>
      <c r="I1587" s="10" t="s">
        <v>66</v>
      </c>
      <c r="J1587" s="10" t="s">
        <v>277</v>
      </c>
      <c r="K1587" s="10" t="s">
        <v>278</v>
      </c>
      <c r="L1587" s="10" t="s">
        <v>279</v>
      </c>
      <c r="M1587" s="12"/>
      <c r="N1587" s="10" t="s">
        <v>15</v>
      </c>
      <c r="O1587" s="10" t="s">
        <v>2054</v>
      </c>
      <c r="P1587" s="25" t="str">
        <f>IFERROR(
IF(OR(O1587="anulado",O1587="stand by"),CONCATENATE(O1587,": ",H1587),
IF(OR(YEAR(M1587)=2022,YEAR(M1587)=2023),CONCATENATE("Se activó en ",YEAR(M1587)),
IF(AND(OR(O1587="En proceso",O1587="facturando"),AND(J1587="-",M1587="")),"Por revisar",
IF(M1587="",IF(J1587="NUEVAS",CONCATENATE("Estado: ",O1587,", ",J1587),
IF(L1587=Meses!$A$3,"Por revisar",
IF(H1587="","Sin registro","En programación Frcst."))),"En programación")))),
"Error")</f>
        <v>En programación Frcst.</v>
      </c>
      <c r="Q1587" s="9" t="str">
        <f t="shared" si="72"/>
        <v/>
      </c>
      <c r="R1587" s="25">
        <f>IF(P1587="En programación Frcst.",VLOOKUP(L1587,Meses!$A$1:$H$14,3+HLOOKUP(Cronograma!J1587,Meses!$D$1:$G$2,2,FALSE),FALSE),
IF(P1587="En programación",M1587,""))</f>
        <v>45309</v>
      </c>
      <c r="S1587" s="25" t="str">
        <f t="shared" si="74"/>
        <v>2024/1</v>
      </c>
      <c r="T1587" s="21">
        <f>IFERROR(
(VLOOKUP(MONTH(R1587),Meses!$B$3:$C$14,2,FALSE)-DAY(R1587))/VLOOKUP(MONTH(R1587),Meses!$B$3:$C$14,2,FALSE)*U1587,
"")</f>
        <v>2297.2258064516132</v>
      </c>
      <c r="U1587" s="22">
        <f t="shared" si="73"/>
        <v>5478</v>
      </c>
    </row>
    <row r="1588" spans="1:21" ht="31.8" hidden="1" thickBot="1" x14ac:dyDescent="0.6">
      <c r="A1588" s="10" t="s">
        <v>1231</v>
      </c>
      <c r="B1588" s="10" t="s">
        <v>1998</v>
      </c>
      <c r="C1588" s="12">
        <v>45302</v>
      </c>
      <c r="D1588" s="10" t="s">
        <v>14</v>
      </c>
      <c r="E1588" s="10" t="s">
        <v>14</v>
      </c>
      <c r="F1588" s="10">
        <v>189240</v>
      </c>
      <c r="G1588" s="10" t="s">
        <v>15</v>
      </c>
      <c r="H1588" s="10" t="s">
        <v>2406</v>
      </c>
      <c r="I1588" s="10" t="s">
        <v>18</v>
      </c>
      <c r="J1588" s="10" t="s">
        <v>143</v>
      </c>
      <c r="K1588" s="10" t="s">
        <v>538</v>
      </c>
      <c r="L1588" s="10" t="s">
        <v>279</v>
      </c>
      <c r="M1588" s="12"/>
      <c r="N1588" s="10" t="s">
        <v>15</v>
      </c>
      <c r="O1588" s="10" t="s">
        <v>2054</v>
      </c>
      <c r="P1588" s="25" t="str">
        <f>IFERROR(
IF(OR(O1588="anulado",O1588="stand by"),CONCATENATE(O1588,": ",H1588),
IF(OR(YEAR(M1588)=2022,YEAR(M1588)=2023),CONCATENATE("Se activó en ",YEAR(M1588)),
IF(AND(OR(O1588="En proceso",O1588="facturando"),AND(J1588="-",M1588="")),"Por revisar",
IF(M1588="",IF(J1588="NUEVAS",CONCATENATE("Estado: ",O1588,", ",J1588),
IF(L1588=Meses!$A$3,"Por revisar",
IF(H1588="","Sin registro","En programación Frcst."))),"En programación")))),
"Error")</f>
        <v>En programación Frcst.</v>
      </c>
      <c r="Q1588" s="9" t="str">
        <f t="shared" si="72"/>
        <v/>
      </c>
      <c r="R1588" s="25">
        <f>IF(P1588="En programación Frcst.",VLOOKUP(L1588,Meses!$A$1:$H$14,3+HLOOKUP(Cronograma!J1588,Meses!$D$1:$G$2,2,FALSE),FALSE),
IF(P1588="En programación",M1588,""))</f>
        <v>45302</v>
      </c>
      <c r="S1588" s="25" t="str">
        <f t="shared" si="74"/>
        <v>2024/1</v>
      </c>
      <c r="T1588" s="21">
        <f>IFERROR(
(VLOOKUP(MONTH(R1588),Meses!$B$3:$C$14,2,FALSE)-DAY(R1588))/VLOOKUP(MONTH(R1588),Meses!$B$3:$C$14,2,FALSE)*U1588,
"")</f>
        <v>122090.32258064515</v>
      </c>
      <c r="U1588" s="22">
        <f t="shared" si="73"/>
        <v>189240</v>
      </c>
    </row>
    <row r="1589" spans="1:21" ht="31.8" hidden="1" thickBot="1" x14ac:dyDescent="0.6">
      <c r="A1589" s="10" t="s">
        <v>1231</v>
      </c>
      <c r="B1589" s="10" t="s">
        <v>1999</v>
      </c>
      <c r="C1589" s="12"/>
      <c r="D1589" s="10" t="s">
        <v>14</v>
      </c>
      <c r="E1589" s="10" t="s">
        <v>14</v>
      </c>
      <c r="F1589" s="10">
        <v>12079</v>
      </c>
      <c r="G1589" s="10" t="s">
        <v>15</v>
      </c>
      <c r="H1589" s="10" t="s">
        <v>140</v>
      </c>
      <c r="I1589" s="10" t="s">
        <v>18</v>
      </c>
      <c r="J1589" s="10" t="s">
        <v>143</v>
      </c>
      <c r="K1589" s="10" t="s">
        <v>852</v>
      </c>
      <c r="L1589" s="10" t="s">
        <v>748</v>
      </c>
      <c r="M1589" s="12"/>
      <c r="N1589" s="10" t="s">
        <v>15</v>
      </c>
      <c r="O1589" s="10" t="s">
        <v>2056</v>
      </c>
      <c r="P1589" s="25" t="str">
        <f>IFERROR(
IF(OR(O1589="anulado",O1589="stand by"),CONCATENATE(O1589,": ",H1589),
IF(OR(YEAR(M1589)=2022,YEAR(M1589)=2023),CONCATENATE("Se activó en ",YEAR(M1589)),
IF(AND(OR(O1589="En proceso",O1589="facturando"),AND(J1589="-",M1589="")),"Por revisar",
IF(M1589="",IF(J1589="NUEVAS",CONCATENATE("Estado: ",O1589,", ",J1589),
IF(L1589=Meses!$A$3,"Por revisar",
IF(H1589="","Sin registro","En programación Frcst."))),"En programación")))),
"Error")</f>
        <v>anulado: Desistido</v>
      </c>
      <c r="Q1589" s="9" t="str">
        <f t="shared" si="72"/>
        <v/>
      </c>
      <c r="R1589" s="25" t="str">
        <f>IF(P1589="En programación Frcst.",VLOOKUP(L1589,Meses!$A$1:$H$14,3+HLOOKUP(Cronograma!J1589,Meses!$D$1:$G$2,2,FALSE),FALSE),
IF(P1589="En programación",M1589,""))</f>
        <v/>
      </c>
      <c r="S1589" s="25" t="str">
        <f t="shared" si="74"/>
        <v/>
      </c>
      <c r="T1589" s="21" t="str">
        <f>IFERROR(
(VLOOKUP(MONTH(R1589),Meses!$B$3:$C$14,2,FALSE)-DAY(R1589))/VLOOKUP(MONTH(R1589),Meses!$B$3:$C$14,2,FALSE)*U1589,
"")</f>
        <v/>
      </c>
      <c r="U1589" s="22">
        <f t="shared" si="73"/>
        <v>12079</v>
      </c>
    </row>
    <row r="1590" spans="1:21" ht="31.8" hidden="1" thickBot="1" x14ac:dyDescent="0.6">
      <c r="A1590" s="10" t="s">
        <v>1231</v>
      </c>
      <c r="B1590" s="10" t="s">
        <v>2000</v>
      </c>
      <c r="C1590" s="12"/>
      <c r="D1590" s="10" t="s">
        <v>14</v>
      </c>
      <c r="E1590" s="10" t="s">
        <v>14</v>
      </c>
      <c r="F1590" s="10">
        <v>15440</v>
      </c>
      <c r="G1590" s="10" t="s">
        <v>15</v>
      </c>
      <c r="H1590" s="10" t="s">
        <v>140</v>
      </c>
      <c r="I1590" s="10" t="s">
        <v>18</v>
      </c>
      <c r="J1590" s="10" t="s">
        <v>143</v>
      </c>
      <c r="K1590" s="10" t="s">
        <v>852</v>
      </c>
      <c r="L1590" s="10" t="s">
        <v>748</v>
      </c>
      <c r="M1590" s="12"/>
      <c r="N1590" s="10" t="s">
        <v>15</v>
      </c>
      <c r="O1590" s="10" t="s">
        <v>2056</v>
      </c>
      <c r="P1590" s="25" t="str">
        <f>IFERROR(
IF(OR(O1590="anulado",O1590="stand by"),CONCATENATE(O1590,": ",H1590),
IF(OR(YEAR(M1590)=2022,YEAR(M1590)=2023),CONCATENATE("Se activó en ",YEAR(M1590)),
IF(AND(OR(O1590="En proceso",O1590="facturando"),AND(J1590="-",M1590="")),"Por revisar",
IF(M1590="",IF(J1590="NUEVAS",CONCATENATE("Estado: ",O1590,", ",J1590),
IF(L1590=Meses!$A$3,"Por revisar",
IF(H1590="","Sin registro","En programación Frcst."))),"En programación")))),
"Error")</f>
        <v>anulado: Desistido</v>
      </c>
      <c r="Q1590" s="9" t="str">
        <f t="shared" si="72"/>
        <v/>
      </c>
      <c r="R1590" s="25" t="str">
        <f>IF(P1590="En programación Frcst.",VLOOKUP(L1590,Meses!$A$1:$H$14,3+HLOOKUP(Cronograma!J1590,Meses!$D$1:$G$2,2,FALSE),FALSE),
IF(P1590="En programación",M1590,""))</f>
        <v/>
      </c>
      <c r="S1590" s="25" t="str">
        <f t="shared" si="74"/>
        <v/>
      </c>
      <c r="T1590" s="21" t="str">
        <f>IFERROR(
(VLOOKUP(MONTH(R1590),Meses!$B$3:$C$14,2,FALSE)-DAY(R1590))/VLOOKUP(MONTH(R1590),Meses!$B$3:$C$14,2,FALSE)*U1590,
"")</f>
        <v/>
      </c>
      <c r="U1590" s="22">
        <f t="shared" si="73"/>
        <v>15440</v>
      </c>
    </row>
    <row r="1591" spans="1:21" ht="31.8" hidden="1" thickBot="1" x14ac:dyDescent="0.6">
      <c r="A1591" s="10" t="s">
        <v>1231</v>
      </c>
      <c r="B1591" s="10" t="s">
        <v>2001</v>
      </c>
      <c r="C1591" s="12">
        <v>45295</v>
      </c>
      <c r="D1591" s="10" t="s">
        <v>1249</v>
      </c>
      <c r="E1591" s="10" t="s">
        <v>14</v>
      </c>
      <c r="F1591" s="10">
        <v>8451</v>
      </c>
      <c r="G1591" s="10" t="s">
        <v>15</v>
      </c>
      <c r="H1591" s="10" t="s">
        <v>17</v>
      </c>
      <c r="I1591" s="10" t="s">
        <v>66</v>
      </c>
      <c r="J1591" s="10" t="s">
        <v>277</v>
      </c>
      <c r="K1591" s="10" t="s">
        <v>278</v>
      </c>
      <c r="L1591" s="10" t="s">
        <v>279</v>
      </c>
      <c r="M1591" s="12"/>
      <c r="N1591" s="10" t="s">
        <v>15</v>
      </c>
      <c r="O1591" s="10" t="s">
        <v>2054</v>
      </c>
      <c r="P1591" s="25" t="str">
        <f>IFERROR(
IF(OR(O1591="anulado",O1591="stand by"),CONCATENATE(O1591,": ",H1591),
IF(OR(YEAR(M1591)=2022,YEAR(M1591)=2023),CONCATENATE("Se activó en ",YEAR(M1591)),
IF(AND(OR(O1591="En proceso",O1591="facturando"),AND(J1591="-",M1591="")),"Por revisar",
IF(M1591="",IF(J1591="NUEVAS",CONCATENATE("Estado: ",O1591,", ",J1591),
IF(L1591=Meses!$A$3,"Por revisar",
IF(H1591="","Sin registro","En programación Frcst."))),"En programación")))),
"Error")</f>
        <v>En programación Frcst.</v>
      </c>
      <c r="Q1591" s="9" t="str">
        <f t="shared" si="72"/>
        <v/>
      </c>
      <c r="R1591" s="25">
        <f>IF(P1591="En programación Frcst.",VLOOKUP(L1591,Meses!$A$1:$H$14,3+HLOOKUP(Cronograma!J1591,Meses!$D$1:$G$2,2,FALSE),FALSE),
IF(P1591="En programación",M1591,""))</f>
        <v>45309</v>
      </c>
      <c r="S1591" s="25" t="str">
        <f t="shared" si="74"/>
        <v>2024/1</v>
      </c>
      <c r="T1591" s="21">
        <f>IFERROR(
(VLOOKUP(MONTH(R1591),Meses!$B$3:$C$14,2,FALSE)-DAY(R1591))/VLOOKUP(MONTH(R1591),Meses!$B$3:$C$14,2,FALSE)*U1591,
"")</f>
        <v>3543.9677419354839</v>
      </c>
      <c r="U1591" s="22">
        <f t="shared" si="73"/>
        <v>8451</v>
      </c>
    </row>
    <row r="1592" spans="1:21" ht="31.8" hidden="1" thickBot="1" x14ac:dyDescent="0.6">
      <c r="A1592" s="10" t="s">
        <v>1231</v>
      </c>
      <c r="B1592" s="10" t="s">
        <v>2002</v>
      </c>
      <c r="C1592" s="12"/>
      <c r="D1592" s="10" t="s">
        <v>14</v>
      </c>
      <c r="E1592" s="10" t="s">
        <v>14</v>
      </c>
      <c r="F1592" s="10">
        <v>449081</v>
      </c>
      <c r="G1592" s="10" t="s">
        <v>15</v>
      </c>
      <c r="H1592" s="10" t="s">
        <v>2917</v>
      </c>
      <c r="I1592" s="10" t="s">
        <v>18</v>
      </c>
      <c r="J1592" s="10" t="s">
        <v>277</v>
      </c>
      <c r="K1592" s="10" t="s">
        <v>3310</v>
      </c>
      <c r="L1592" s="10" t="s">
        <v>1120</v>
      </c>
      <c r="M1592" s="12">
        <v>45372</v>
      </c>
      <c r="N1592" s="10" t="s">
        <v>15</v>
      </c>
      <c r="O1592" s="10" t="s">
        <v>2057</v>
      </c>
      <c r="P1592" s="25" t="str">
        <f>IFERROR(
IF(OR(O1592="anulado",O1592="stand by"),CONCATENATE(O1592,": ",H1592),
IF(OR(YEAR(M1592)=2022,YEAR(M1592)=2023),CONCATENATE("Se activó en ",YEAR(M1592)),
IF(AND(OR(O1592="En proceso",O1592="facturando"),AND(J1592="-",M1592="")),"Por revisar",
IF(M1592="",IF(J1592="NUEVAS",CONCATENATE("Estado: ",O1592,", ",J1592),
IF(L1592=Meses!$A$3,"Por revisar",
IF(H1592="","Sin registro","En programación Frcst."))),"En programación")))),
"Error")</f>
        <v>En programación</v>
      </c>
      <c r="Q1592" s="9" t="str">
        <f t="shared" si="72"/>
        <v/>
      </c>
      <c r="R1592" s="25">
        <f>IF(P1592="En programación Frcst.",VLOOKUP(L1592,Meses!$A$1:$H$14,3+HLOOKUP(Cronograma!J1592,Meses!$D$1:$G$2,2,FALSE),FALSE),
IF(P1592="En programación",M1592,""))</f>
        <v>45372</v>
      </c>
      <c r="S1592" s="25" t="str">
        <f t="shared" si="74"/>
        <v>2024/3</v>
      </c>
      <c r="T1592" s="21">
        <f>IFERROR(
(VLOOKUP(MONTH(R1592),Meses!$B$3:$C$14,2,FALSE)-DAY(R1592))/VLOOKUP(MONTH(R1592),Meses!$B$3:$C$14,2,FALSE)*U1592,
"")</f>
        <v>144864.83870967742</v>
      </c>
      <c r="U1592" s="22">
        <f t="shared" si="73"/>
        <v>449081</v>
      </c>
    </row>
    <row r="1593" spans="1:21" ht="31.8" hidden="1" thickBot="1" x14ac:dyDescent="0.6">
      <c r="A1593" s="10" t="s">
        <v>1231</v>
      </c>
      <c r="B1593" s="10" t="s">
        <v>2003</v>
      </c>
      <c r="C1593" s="12">
        <v>45302</v>
      </c>
      <c r="D1593" s="10" t="s">
        <v>14</v>
      </c>
      <c r="E1593" s="10" t="s">
        <v>14</v>
      </c>
      <c r="F1593" s="10">
        <v>23040</v>
      </c>
      <c r="G1593" s="10" t="s">
        <v>15</v>
      </c>
      <c r="H1593" s="10" t="s">
        <v>17</v>
      </c>
      <c r="I1593" s="10" t="s">
        <v>18</v>
      </c>
      <c r="J1593" s="10" t="s">
        <v>143</v>
      </c>
      <c r="K1593" s="10" t="s">
        <v>852</v>
      </c>
      <c r="L1593" s="10" t="s">
        <v>748</v>
      </c>
      <c r="M1593" s="12"/>
      <c r="N1593" s="10" t="s">
        <v>15</v>
      </c>
      <c r="O1593" s="10" t="s">
        <v>2054</v>
      </c>
      <c r="P1593" s="25" t="str">
        <f>IFERROR(
IF(OR(O1593="anulado",O1593="stand by"),CONCATENATE(O1593,": ",H1593),
IF(OR(YEAR(M1593)=2022,YEAR(M1593)=2023),CONCATENATE("Se activó en ",YEAR(M1593)),
IF(AND(OR(O1593="En proceso",O1593="facturando"),AND(J1593="-",M1593="")),"Por revisar",
IF(M1593="",IF(J1593="NUEVAS",CONCATENATE("Estado: ",O1593,", ",J1593),
IF(L1593=Meses!$A$3,"Por revisar",
IF(H1593="","Sin registro","En programación Frcst."))),"En programación")))),
"Error")</f>
        <v>En programación Frcst.</v>
      </c>
      <c r="Q1593" s="9" t="str">
        <f t="shared" si="72"/>
        <v/>
      </c>
      <c r="R1593" s="25">
        <f>IF(P1593="En programación Frcst.",VLOOKUP(L1593,Meses!$A$1:$H$14,3+HLOOKUP(Cronograma!J1593,Meses!$D$1:$G$2,2,FALSE),FALSE),
IF(P1593="En programación",M1593,""))</f>
        <v>45330</v>
      </c>
      <c r="S1593" s="25" t="str">
        <f t="shared" si="74"/>
        <v>2024/2</v>
      </c>
      <c r="T1593" s="21">
        <f>IFERROR(
(VLOOKUP(MONTH(R1593),Meses!$B$3:$C$14,2,FALSE)-DAY(R1593))/VLOOKUP(MONTH(R1593),Meses!$B$3:$C$14,2,FALSE)*U1593,
"")</f>
        <v>16684.137931034482</v>
      </c>
      <c r="U1593" s="22">
        <f t="shared" si="73"/>
        <v>23040</v>
      </c>
    </row>
    <row r="1594" spans="1:21" ht="31.8" hidden="1" thickBot="1" x14ac:dyDescent="0.6">
      <c r="A1594" s="10" t="s">
        <v>1231</v>
      </c>
      <c r="B1594" s="10" t="s">
        <v>2004</v>
      </c>
      <c r="C1594" s="12">
        <v>45302</v>
      </c>
      <c r="D1594" s="10" t="s">
        <v>14</v>
      </c>
      <c r="E1594" s="10" t="s">
        <v>14</v>
      </c>
      <c r="F1594" s="10">
        <v>27708</v>
      </c>
      <c r="G1594" s="10" t="s">
        <v>15</v>
      </c>
      <c r="H1594" s="10" t="s">
        <v>17</v>
      </c>
      <c r="I1594" s="10" t="s">
        <v>18</v>
      </c>
      <c r="J1594" s="10" t="s">
        <v>143</v>
      </c>
      <c r="K1594" s="10" t="s">
        <v>852</v>
      </c>
      <c r="L1594" s="10" t="s">
        <v>748</v>
      </c>
      <c r="M1594" s="12"/>
      <c r="N1594" s="10" t="s">
        <v>15</v>
      </c>
      <c r="O1594" s="10" t="s">
        <v>2054</v>
      </c>
      <c r="P1594" s="25" t="str">
        <f>IFERROR(
IF(OR(O1594="anulado",O1594="stand by"),CONCATENATE(O1594,": ",H1594),
IF(OR(YEAR(M1594)=2022,YEAR(M1594)=2023),CONCATENATE("Se activó en ",YEAR(M1594)),
IF(AND(OR(O1594="En proceso",O1594="facturando"),AND(J1594="-",M1594="")),"Por revisar",
IF(M1594="",IF(J1594="NUEVAS",CONCATENATE("Estado: ",O1594,", ",J1594),
IF(L1594=Meses!$A$3,"Por revisar",
IF(H1594="","Sin registro","En programación Frcst."))),"En programación")))),
"Error")</f>
        <v>En programación Frcst.</v>
      </c>
      <c r="Q1594" s="9" t="str">
        <f t="shared" si="72"/>
        <v/>
      </c>
      <c r="R1594" s="25">
        <f>IF(P1594="En programación Frcst.",VLOOKUP(L1594,Meses!$A$1:$H$14,3+HLOOKUP(Cronograma!J1594,Meses!$D$1:$G$2,2,FALSE),FALSE),
IF(P1594="En programación",M1594,""))</f>
        <v>45330</v>
      </c>
      <c r="S1594" s="25" t="str">
        <f t="shared" si="74"/>
        <v>2024/2</v>
      </c>
      <c r="T1594" s="21">
        <f>IFERROR(
(VLOOKUP(MONTH(R1594),Meses!$B$3:$C$14,2,FALSE)-DAY(R1594))/VLOOKUP(MONTH(R1594),Meses!$B$3:$C$14,2,FALSE)*U1594,
"")</f>
        <v>20064.413793103449</v>
      </c>
      <c r="U1594" s="22">
        <f t="shared" si="73"/>
        <v>27708</v>
      </c>
    </row>
    <row r="1595" spans="1:21" ht="31.8" hidden="1" thickBot="1" x14ac:dyDescent="0.6">
      <c r="A1595" s="10" t="s">
        <v>1231</v>
      </c>
      <c r="B1595" s="10" t="s">
        <v>2005</v>
      </c>
      <c r="C1595" s="12">
        <v>45302</v>
      </c>
      <c r="D1595" s="10" t="s">
        <v>14</v>
      </c>
      <c r="E1595" s="10" t="s">
        <v>14</v>
      </c>
      <c r="F1595" s="10">
        <v>15594</v>
      </c>
      <c r="G1595" s="10" t="s">
        <v>15</v>
      </c>
      <c r="H1595" s="10" t="s">
        <v>2406</v>
      </c>
      <c r="I1595" s="10" t="s">
        <v>18</v>
      </c>
      <c r="J1595" s="10" t="s">
        <v>143</v>
      </c>
      <c r="K1595" s="10" t="s">
        <v>538</v>
      </c>
      <c r="L1595" s="10" t="s">
        <v>279</v>
      </c>
      <c r="M1595" s="12"/>
      <c r="N1595" s="10" t="s">
        <v>15</v>
      </c>
      <c r="O1595" s="10" t="s">
        <v>2054</v>
      </c>
      <c r="P1595" s="25" t="str">
        <f>IFERROR(
IF(OR(O1595="anulado",O1595="stand by"),CONCATENATE(O1595,": ",H1595),
IF(OR(YEAR(M1595)=2022,YEAR(M1595)=2023),CONCATENATE("Se activó en ",YEAR(M1595)),
IF(AND(OR(O1595="En proceso",O1595="facturando"),AND(J1595="-",M1595="")),"Por revisar",
IF(M1595="",IF(J1595="NUEVAS",CONCATENATE("Estado: ",O1595,", ",J1595),
IF(L1595=Meses!$A$3,"Por revisar",
IF(H1595="","Sin registro","En programación Frcst."))),"En programación")))),
"Error")</f>
        <v>En programación Frcst.</v>
      </c>
      <c r="Q1595" s="9" t="str">
        <f t="shared" si="72"/>
        <v/>
      </c>
      <c r="R1595" s="25">
        <f>IF(P1595="En programación Frcst.",VLOOKUP(L1595,Meses!$A$1:$H$14,3+HLOOKUP(Cronograma!J1595,Meses!$D$1:$G$2,2,FALSE),FALSE),
IF(P1595="En programación",M1595,""))</f>
        <v>45302</v>
      </c>
      <c r="S1595" s="25" t="str">
        <f t="shared" si="74"/>
        <v>2024/1</v>
      </c>
      <c r="T1595" s="21">
        <f>IFERROR(
(VLOOKUP(MONTH(R1595),Meses!$B$3:$C$14,2,FALSE)-DAY(R1595))/VLOOKUP(MONTH(R1595),Meses!$B$3:$C$14,2,FALSE)*U1595,
"")</f>
        <v>10060.645161290322</v>
      </c>
      <c r="U1595" s="22">
        <f t="shared" si="73"/>
        <v>15594</v>
      </c>
    </row>
    <row r="1596" spans="1:21" ht="47.4" hidden="1" thickBot="1" x14ac:dyDescent="0.6">
      <c r="A1596" s="10" t="s">
        <v>2006</v>
      </c>
      <c r="B1596" s="10" t="s">
        <v>2007</v>
      </c>
      <c r="C1596" s="12"/>
      <c r="D1596" s="10" t="s">
        <v>74</v>
      </c>
      <c r="E1596" s="10" t="s">
        <v>74</v>
      </c>
      <c r="F1596" s="10">
        <v>4500</v>
      </c>
      <c r="G1596" s="10" t="s">
        <v>15</v>
      </c>
      <c r="H1596" s="10" t="s">
        <v>2917</v>
      </c>
      <c r="I1596" s="10" t="s">
        <v>43</v>
      </c>
      <c r="J1596" s="10" t="s">
        <v>143</v>
      </c>
      <c r="K1596" s="10" t="s">
        <v>2895</v>
      </c>
      <c r="L1596" s="10" t="s">
        <v>2292</v>
      </c>
      <c r="M1596" s="12">
        <v>45400</v>
      </c>
      <c r="N1596" s="10" t="s">
        <v>15</v>
      </c>
      <c r="O1596" s="10" t="s">
        <v>2057</v>
      </c>
      <c r="P1596" s="25" t="str">
        <f>IFERROR(
IF(OR(O1596="anulado",O1596="stand by"),CONCATENATE(O1596,": ",H1596),
IF(OR(YEAR(M1596)=2022,YEAR(M1596)=2023),CONCATENATE("Se activó en ",YEAR(M1596)),
IF(AND(OR(O1596="En proceso",O1596="facturando"),AND(J1596="-",M1596="")),"Por revisar",
IF(M1596="",IF(J1596="NUEVAS",CONCATENATE("Estado: ",O1596,", ",J1596),
IF(L1596=Meses!$A$3,"Por revisar",
IF(H1596="","Sin registro","En programación Frcst."))),"En programación")))),
"Error")</f>
        <v>En programación</v>
      </c>
      <c r="Q1596" s="9" t="str">
        <f t="shared" si="72"/>
        <v/>
      </c>
      <c r="R1596" s="25">
        <f>IF(P1596="En programación Frcst.",VLOOKUP(L1596,Meses!$A$1:$H$14,3+HLOOKUP(Cronograma!J1596,Meses!$D$1:$G$2,2,FALSE),FALSE),
IF(P1596="En programación",M1596,""))</f>
        <v>45400</v>
      </c>
      <c r="S1596" s="25" t="str">
        <f t="shared" si="74"/>
        <v>2024/4</v>
      </c>
      <c r="T1596" s="21">
        <f>IFERROR(
(VLOOKUP(MONTH(R1596),Meses!$B$3:$C$14,2,FALSE)-DAY(R1596))/VLOOKUP(MONTH(R1596),Meses!$B$3:$C$14,2,FALSE)*U1596,
"")</f>
        <v>1800</v>
      </c>
      <c r="U1596" s="22">
        <f t="shared" si="73"/>
        <v>4500</v>
      </c>
    </row>
    <row r="1597" spans="1:21" ht="31.8" hidden="1" thickBot="1" x14ac:dyDescent="0.6">
      <c r="A1597" s="10" t="s">
        <v>2008</v>
      </c>
      <c r="B1597" s="10" t="s">
        <v>2009</v>
      </c>
      <c r="C1597" s="12"/>
      <c r="D1597" s="10" t="s">
        <v>14</v>
      </c>
      <c r="E1597" s="10" t="s">
        <v>14</v>
      </c>
      <c r="F1597" s="10">
        <v>137000</v>
      </c>
      <c r="G1597" s="10" t="s">
        <v>15</v>
      </c>
      <c r="H1597" s="10" t="s">
        <v>2917</v>
      </c>
      <c r="I1597" s="10" t="s">
        <v>18</v>
      </c>
      <c r="J1597" s="10" t="s">
        <v>277</v>
      </c>
      <c r="K1597" s="10" t="s">
        <v>3327</v>
      </c>
      <c r="L1597" s="10" t="s">
        <v>2292</v>
      </c>
      <c r="M1597" s="12">
        <v>45400</v>
      </c>
      <c r="N1597" s="10" t="s">
        <v>15</v>
      </c>
      <c r="O1597" s="10" t="s">
        <v>2057</v>
      </c>
      <c r="P1597" s="25" t="str">
        <f>IFERROR(
IF(OR(O1597="anulado",O1597="stand by"),CONCATENATE(O1597,": ",H1597),
IF(OR(YEAR(M1597)=2022,YEAR(M1597)=2023),CONCATENATE("Se activó en ",YEAR(M1597)),
IF(AND(OR(O1597="En proceso",O1597="facturando"),AND(J1597="-",M1597="")),"Por revisar",
IF(M1597="",IF(J1597="NUEVAS",CONCATENATE("Estado: ",O1597,", ",J1597),
IF(L1597=Meses!$A$3,"Por revisar",
IF(H1597="","Sin registro","En programación Frcst."))),"En programación")))),
"Error")</f>
        <v>En programación</v>
      </c>
      <c r="Q1597" s="9" t="str">
        <f t="shared" si="72"/>
        <v/>
      </c>
      <c r="R1597" s="25">
        <f>IF(P1597="En programación Frcst.",VLOOKUP(L1597,Meses!$A$1:$H$14,3+HLOOKUP(Cronograma!J1597,Meses!$D$1:$G$2,2,FALSE),FALSE),
IF(P1597="En programación",M1597,""))</f>
        <v>45400</v>
      </c>
      <c r="S1597" s="25" t="str">
        <f t="shared" si="74"/>
        <v>2024/4</v>
      </c>
      <c r="T1597" s="21">
        <f>IFERROR(
(VLOOKUP(MONTH(R1597),Meses!$B$3:$C$14,2,FALSE)-DAY(R1597))/VLOOKUP(MONTH(R1597),Meses!$B$3:$C$14,2,FALSE)*U1597,
"")</f>
        <v>54800</v>
      </c>
      <c r="U1597" s="22">
        <f t="shared" si="73"/>
        <v>137000</v>
      </c>
    </row>
    <row r="1598" spans="1:21" ht="63" thickBot="1" x14ac:dyDescent="0.6">
      <c r="A1598" s="10" t="s">
        <v>2010</v>
      </c>
      <c r="B1598" s="10" t="s">
        <v>2011</v>
      </c>
      <c r="C1598" s="12"/>
      <c r="D1598" s="10" t="s">
        <v>654</v>
      </c>
      <c r="E1598" s="10" t="s">
        <v>14</v>
      </c>
      <c r="F1598" s="10">
        <v>15500</v>
      </c>
      <c r="G1598" s="10" t="s">
        <v>15</v>
      </c>
      <c r="H1598" s="10" t="s">
        <v>2916</v>
      </c>
      <c r="I1598" s="10" t="s">
        <v>66</v>
      </c>
      <c r="J1598" s="10" t="s">
        <v>282</v>
      </c>
      <c r="K1598" s="10" t="s">
        <v>3326</v>
      </c>
      <c r="L1598" s="10" t="s">
        <v>2293</v>
      </c>
      <c r="M1598" s="12">
        <v>45414</v>
      </c>
      <c r="N1598" s="10" t="s">
        <v>15</v>
      </c>
      <c r="O1598" s="10" t="s">
        <v>2057</v>
      </c>
      <c r="P1598" s="25" t="str">
        <f>IFERROR(
IF(OR(O1598="anulado",O1598="stand by"),CONCATENATE(O1598,": ",H1598),
IF(OR(YEAR(M1598)=2022,YEAR(M1598)=2023),CONCATENATE("Se activó en ",YEAR(M1598)),
IF(AND(OR(O1598="En proceso",O1598="facturando"),AND(J1598="-",M1598="")),"Por revisar",
IF(M1598="",IF(J1598="NUEVAS",CONCATENATE("Estado: ",O1598,", ",J1598),
IF(L1598=Meses!$A$3,"Por revisar",
IF(H1598="","Sin registro","En programación Frcst."))),"En programación")))),
"Error")</f>
        <v>En programación</v>
      </c>
      <c r="Q1598" s="9" t="str">
        <f t="shared" si="72"/>
        <v/>
      </c>
      <c r="R1598" s="25">
        <f>IF(P1598="En programación Frcst.",VLOOKUP(L1598,Meses!$A$1:$H$14,3+HLOOKUP(Cronograma!J1598,Meses!$D$1:$G$2,2,FALSE),FALSE),
IF(P1598="En programación",M1598,""))</f>
        <v>45414</v>
      </c>
      <c r="S1598" s="25" t="str">
        <f t="shared" si="74"/>
        <v>2024/5</v>
      </c>
      <c r="T1598" s="21">
        <f>IFERROR(
(VLOOKUP(MONTH(R1598),Meses!$B$3:$C$14,2,FALSE)-DAY(R1598))/VLOOKUP(MONTH(R1598),Meses!$B$3:$C$14,2,FALSE)*U1598,
"")</f>
        <v>14500</v>
      </c>
      <c r="U1598" s="22">
        <f t="shared" si="73"/>
        <v>15500</v>
      </c>
    </row>
    <row r="1599" spans="1:21" ht="31.8" hidden="1" thickBot="1" x14ac:dyDescent="0.6">
      <c r="A1599" s="10" t="s">
        <v>173</v>
      </c>
      <c r="B1599" s="10" t="s">
        <v>2012</v>
      </c>
      <c r="C1599" s="12">
        <v>45351</v>
      </c>
      <c r="D1599" s="10" t="s">
        <v>14</v>
      </c>
      <c r="E1599" s="10" t="s">
        <v>14</v>
      </c>
      <c r="F1599" s="10">
        <v>40</v>
      </c>
      <c r="G1599" s="10" t="s">
        <v>15</v>
      </c>
      <c r="H1599" s="10" t="s">
        <v>2406</v>
      </c>
      <c r="I1599" s="10" t="s">
        <v>18</v>
      </c>
      <c r="J1599" s="10" t="s">
        <v>292</v>
      </c>
      <c r="K1599" s="10" t="s">
        <v>1654</v>
      </c>
      <c r="L1599" s="10" t="s">
        <v>748</v>
      </c>
      <c r="M1599" s="12"/>
      <c r="N1599" s="10" t="s">
        <v>15</v>
      </c>
      <c r="O1599" s="10" t="s">
        <v>2054</v>
      </c>
      <c r="P1599" s="25" t="str">
        <f>IFERROR(
IF(OR(O1599="anulado",O1599="stand by"),CONCATENATE(O1599,": ",H1599),
IF(OR(YEAR(M1599)=2022,YEAR(M1599)=2023),CONCATENATE("Se activó en ",YEAR(M1599)),
IF(AND(OR(O1599="En proceso",O1599="facturando"),AND(J1599="-",M1599="")),"Por revisar",
IF(M1599="",IF(J1599="NUEVAS",CONCATENATE("Estado: ",O1599,", ",J1599),
IF(L1599=Meses!$A$3,"Por revisar",
IF(H1599="","Sin registro","En programación Frcst."))),"En programación")))),
"Error")</f>
        <v>En programación Frcst.</v>
      </c>
      <c r="Q1599" s="9" t="str">
        <f t="shared" si="72"/>
        <v/>
      </c>
      <c r="R1599" s="25">
        <f>IF(P1599="En programación Frcst.",VLOOKUP(L1599,Meses!$A$1:$H$14,3+HLOOKUP(Cronograma!J1599,Meses!$D$1:$G$2,2,FALSE),FALSE),
IF(P1599="En programación",M1599,""))</f>
        <v>45344</v>
      </c>
      <c r="S1599" s="25" t="str">
        <f t="shared" si="74"/>
        <v>2024/2</v>
      </c>
      <c r="T1599" s="21">
        <f>IFERROR(
(VLOOKUP(MONTH(R1599),Meses!$B$3:$C$14,2,FALSE)-DAY(R1599))/VLOOKUP(MONTH(R1599),Meses!$B$3:$C$14,2,FALSE)*U1599,
"")</f>
        <v>9.6551724137931032</v>
      </c>
      <c r="U1599" s="22">
        <f t="shared" si="73"/>
        <v>40</v>
      </c>
    </row>
    <row r="1600" spans="1:21" ht="31.8" hidden="1" thickBot="1" x14ac:dyDescent="0.6">
      <c r="A1600" s="10" t="s">
        <v>173</v>
      </c>
      <c r="B1600" s="10" t="s">
        <v>2013</v>
      </c>
      <c r="C1600" s="12"/>
      <c r="D1600" s="10" t="s">
        <v>14</v>
      </c>
      <c r="E1600" s="10" t="s">
        <v>14</v>
      </c>
      <c r="F1600" s="10">
        <v>895</v>
      </c>
      <c r="G1600" s="10" t="s">
        <v>15</v>
      </c>
      <c r="H1600" s="10" t="s">
        <v>2916</v>
      </c>
      <c r="I1600" s="10" t="s">
        <v>18</v>
      </c>
      <c r="J1600" s="10" t="s">
        <v>277</v>
      </c>
      <c r="K1600" s="10" t="s">
        <v>3327</v>
      </c>
      <c r="L1600" s="10" t="s">
        <v>2292</v>
      </c>
      <c r="M1600" s="12">
        <v>45400</v>
      </c>
      <c r="N1600" s="10" t="s">
        <v>15</v>
      </c>
      <c r="O1600" s="10" t="s">
        <v>2057</v>
      </c>
      <c r="P1600" s="25" t="str">
        <f>IFERROR(
IF(OR(O1600="anulado",O1600="stand by"),CONCATENATE(O1600,": ",H1600),
IF(OR(YEAR(M1600)=2022,YEAR(M1600)=2023),CONCATENATE("Se activó en ",YEAR(M1600)),
IF(AND(OR(O1600="En proceso",O1600="facturando"),AND(J1600="-",M1600="")),"Por revisar",
IF(M1600="",IF(J1600="NUEVAS",CONCATENATE("Estado: ",O1600,", ",J1600),
IF(L1600=Meses!$A$3,"Por revisar",
IF(H1600="","Sin registro","En programación Frcst."))),"En programación")))),
"Error")</f>
        <v>En programación</v>
      </c>
      <c r="Q1600" s="9" t="str">
        <f t="shared" si="72"/>
        <v/>
      </c>
      <c r="R1600" s="25">
        <f>IF(P1600="En programación Frcst.",VLOOKUP(L1600,Meses!$A$1:$H$14,3+HLOOKUP(Cronograma!J1600,Meses!$D$1:$G$2,2,FALSE),FALSE),
IF(P1600="En programación",M1600,""))</f>
        <v>45400</v>
      </c>
      <c r="S1600" s="25" t="str">
        <f t="shared" si="74"/>
        <v>2024/4</v>
      </c>
      <c r="T1600" s="21">
        <f>IFERROR(
(VLOOKUP(MONTH(R1600),Meses!$B$3:$C$14,2,FALSE)-DAY(R1600))/VLOOKUP(MONTH(R1600),Meses!$B$3:$C$14,2,FALSE)*U1600,
"")</f>
        <v>358</v>
      </c>
      <c r="U1600" s="22">
        <f t="shared" si="73"/>
        <v>895</v>
      </c>
    </row>
    <row r="1601" spans="1:21" ht="31.8" thickBot="1" x14ac:dyDescent="0.6">
      <c r="A1601" s="10" t="s">
        <v>2014</v>
      </c>
      <c r="B1601" s="10" t="s">
        <v>2015</v>
      </c>
      <c r="C1601" s="12"/>
      <c r="D1601" s="10" t="s">
        <v>654</v>
      </c>
      <c r="E1601" s="10" t="s">
        <v>14</v>
      </c>
      <c r="F1601" s="10">
        <v>13146</v>
      </c>
      <c r="G1601" s="10" t="s">
        <v>15</v>
      </c>
      <c r="H1601" s="10" t="s">
        <v>2917</v>
      </c>
      <c r="I1601" s="10" t="s">
        <v>66</v>
      </c>
      <c r="J1601" s="10" t="s">
        <v>282</v>
      </c>
      <c r="K1601" s="10" t="s">
        <v>3326</v>
      </c>
      <c r="L1601" s="10" t="s">
        <v>2293</v>
      </c>
      <c r="M1601" s="12">
        <v>45414</v>
      </c>
      <c r="N1601" s="10" t="s">
        <v>15</v>
      </c>
      <c r="O1601" s="10" t="s">
        <v>2057</v>
      </c>
      <c r="P1601" s="25" t="str">
        <f>IFERROR(
IF(OR(O1601="anulado",O1601="stand by"),CONCATENATE(O1601,": ",H1601),
IF(OR(YEAR(M1601)=2022,YEAR(M1601)=2023),CONCATENATE("Se activó en ",YEAR(M1601)),
IF(AND(OR(O1601="En proceso",O1601="facturando"),AND(J1601="-",M1601="")),"Por revisar",
IF(M1601="",IF(J1601="NUEVAS",CONCATENATE("Estado: ",O1601,", ",J1601),
IF(L1601=Meses!$A$3,"Por revisar",
IF(H1601="","Sin registro","En programación Frcst."))),"En programación")))),
"Error")</f>
        <v>En programación</v>
      </c>
      <c r="Q1601" s="9" t="str">
        <f t="shared" si="72"/>
        <v/>
      </c>
      <c r="R1601" s="25">
        <f>IF(P1601="En programación Frcst.",VLOOKUP(L1601,Meses!$A$1:$H$14,3+HLOOKUP(Cronograma!J1601,Meses!$D$1:$G$2,2,FALSE),FALSE),
IF(P1601="En programación",M1601,""))</f>
        <v>45414</v>
      </c>
      <c r="S1601" s="25" t="str">
        <f t="shared" si="74"/>
        <v>2024/5</v>
      </c>
      <c r="T1601" s="21">
        <f>IFERROR(
(VLOOKUP(MONTH(R1601),Meses!$B$3:$C$14,2,FALSE)-DAY(R1601))/VLOOKUP(MONTH(R1601),Meses!$B$3:$C$14,2,FALSE)*U1601,
"")</f>
        <v>12297.870967741936</v>
      </c>
      <c r="U1601" s="22">
        <f t="shared" si="73"/>
        <v>13146</v>
      </c>
    </row>
    <row r="1602" spans="1:21" ht="31.8" hidden="1" thickBot="1" x14ac:dyDescent="0.6">
      <c r="A1602" s="10" t="s">
        <v>173</v>
      </c>
      <c r="B1602" s="10" t="s">
        <v>2016</v>
      </c>
      <c r="C1602" s="12"/>
      <c r="D1602" s="10" t="s">
        <v>14</v>
      </c>
      <c r="E1602" s="10" t="s">
        <v>14</v>
      </c>
      <c r="F1602" s="10">
        <v>4029</v>
      </c>
      <c r="G1602" s="10" t="s">
        <v>15</v>
      </c>
      <c r="H1602" s="10" t="s">
        <v>2916</v>
      </c>
      <c r="I1602" s="10" t="s">
        <v>18</v>
      </c>
      <c r="J1602" s="10" t="s">
        <v>277</v>
      </c>
      <c r="K1602" s="10" t="s">
        <v>3327</v>
      </c>
      <c r="L1602" s="10" t="s">
        <v>2292</v>
      </c>
      <c r="M1602" s="12">
        <v>45400</v>
      </c>
      <c r="N1602" s="10" t="s">
        <v>15</v>
      </c>
      <c r="O1602" s="10" t="s">
        <v>2057</v>
      </c>
      <c r="P1602" s="25" t="str">
        <f>IFERROR(
IF(OR(O1602="anulado",O1602="stand by"),CONCATENATE(O1602,": ",H1602),
IF(OR(YEAR(M1602)=2022,YEAR(M1602)=2023),CONCATENATE("Se activó en ",YEAR(M1602)),
IF(AND(OR(O1602="En proceso",O1602="facturando"),AND(J1602="-",M1602="")),"Por revisar",
IF(M1602="",IF(J1602="NUEVAS",CONCATENATE("Estado: ",O1602,", ",J1602),
IF(L1602=Meses!$A$3,"Por revisar",
IF(H1602="","Sin registro","En programación Frcst."))),"En programación")))),
"Error")</f>
        <v>En programación</v>
      </c>
      <c r="Q1602" s="9" t="str">
        <f t="shared" ref="Q1602:Q1665" si="75">IF(P1602="Por revisar",CONCATENATE("programación de act. ",N1602,", estado: ",O1602,", Comercializador: ",D1602,", Etapa: ",H1602),"")</f>
        <v/>
      </c>
      <c r="R1602" s="25">
        <f>IF(P1602="En programación Frcst.",VLOOKUP(L1602,Meses!$A$1:$H$14,3+HLOOKUP(Cronograma!J1602,Meses!$D$1:$G$2,2,FALSE),FALSE),
IF(P1602="En programación",M1602,""))</f>
        <v>45400</v>
      </c>
      <c r="S1602" s="25" t="str">
        <f t="shared" si="74"/>
        <v>2024/4</v>
      </c>
      <c r="T1602" s="21">
        <f>IFERROR(
(VLOOKUP(MONTH(R1602),Meses!$B$3:$C$14,2,FALSE)-DAY(R1602))/VLOOKUP(MONTH(R1602),Meses!$B$3:$C$14,2,FALSE)*U1602,
"")</f>
        <v>1611.6000000000001</v>
      </c>
      <c r="U1602" s="22">
        <f t="shared" ref="U1602:U1665" si="76">F1602</f>
        <v>4029</v>
      </c>
    </row>
    <row r="1603" spans="1:21" ht="31.8" hidden="1" thickBot="1" x14ac:dyDescent="0.6">
      <c r="A1603" s="10" t="s">
        <v>173</v>
      </c>
      <c r="B1603" s="10" t="s">
        <v>2017</v>
      </c>
      <c r="C1603" s="12"/>
      <c r="D1603" s="10" t="s">
        <v>14</v>
      </c>
      <c r="E1603" s="10" t="s">
        <v>14</v>
      </c>
      <c r="F1603" s="10">
        <v>2900</v>
      </c>
      <c r="G1603" s="10" t="s">
        <v>15</v>
      </c>
      <c r="H1603" s="10" t="s">
        <v>2916</v>
      </c>
      <c r="I1603" s="10" t="s">
        <v>18</v>
      </c>
      <c r="J1603" s="10" t="s">
        <v>277</v>
      </c>
      <c r="K1603" s="10" t="s">
        <v>3327</v>
      </c>
      <c r="L1603" s="10" t="s">
        <v>2292</v>
      </c>
      <c r="M1603" s="12">
        <v>45400</v>
      </c>
      <c r="N1603" s="10" t="s">
        <v>15</v>
      </c>
      <c r="O1603" s="10" t="s">
        <v>2057</v>
      </c>
      <c r="P1603" s="25" t="str">
        <f>IFERROR(
IF(OR(O1603="anulado",O1603="stand by"),CONCATENATE(O1603,": ",H1603),
IF(OR(YEAR(M1603)=2022,YEAR(M1603)=2023),CONCATENATE("Se activó en ",YEAR(M1603)),
IF(AND(OR(O1603="En proceso",O1603="facturando"),AND(J1603="-",M1603="")),"Por revisar",
IF(M1603="",IF(J1603="NUEVAS",CONCATENATE("Estado: ",O1603,", ",J1603),
IF(L1603=Meses!$A$3,"Por revisar",
IF(H1603="","Sin registro","En programación Frcst."))),"En programación")))),
"Error")</f>
        <v>En programación</v>
      </c>
      <c r="Q1603" s="9" t="str">
        <f t="shared" si="75"/>
        <v/>
      </c>
      <c r="R1603" s="25">
        <f>IF(P1603="En programación Frcst.",VLOOKUP(L1603,Meses!$A$1:$H$14,3+HLOOKUP(Cronograma!J1603,Meses!$D$1:$G$2,2,FALSE),FALSE),
IF(P1603="En programación",M1603,""))</f>
        <v>45400</v>
      </c>
      <c r="S1603" s="25" t="str">
        <f t="shared" ref="S1603:S1666" si="77">IFERROR(CONCATENATE(YEAR(R1603),"/",MONTH(R1603)),"")</f>
        <v>2024/4</v>
      </c>
      <c r="T1603" s="21">
        <f>IFERROR(
(VLOOKUP(MONTH(R1603),Meses!$B$3:$C$14,2,FALSE)-DAY(R1603))/VLOOKUP(MONTH(R1603),Meses!$B$3:$C$14,2,FALSE)*U1603,
"")</f>
        <v>1160</v>
      </c>
      <c r="U1603" s="22">
        <f t="shared" si="76"/>
        <v>2900</v>
      </c>
    </row>
    <row r="1604" spans="1:21" ht="47.4" thickBot="1" x14ac:dyDescent="0.6">
      <c r="A1604" s="10" t="s">
        <v>2018</v>
      </c>
      <c r="B1604" s="10" t="s">
        <v>2019</v>
      </c>
      <c r="C1604" s="12"/>
      <c r="D1604" s="10" t="s">
        <v>1207</v>
      </c>
      <c r="E1604" s="10" t="s">
        <v>289</v>
      </c>
      <c r="F1604" s="10">
        <v>1300</v>
      </c>
      <c r="G1604" s="10" t="s">
        <v>15</v>
      </c>
      <c r="H1604" s="10" t="s">
        <v>2917</v>
      </c>
      <c r="I1604" s="10" t="s">
        <v>66</v>
      </c>
      <c r="J1604" s="10" t="s">
        <v>282</v>
      </c>
      <c r="K1604" s="10" t="s">
        <v>3326</v>
      </c>
      <c r="L1604" s="10" t="s">
        <v>2293</v>
      </c>
      <c r="M1604" s="12">
        <v>45414</v>
      </c>
      <c r="N1604" s="10" t="s">
        <v>15</v>
      </c>
      <c r="O1604" s="10" t="s">
        <v>2057</v>
      </c>
      <c r="P1604" s="25" t="str">
        <f>IFERROR(
IF(OR(O1604="anulado",O1604="stand by"),CONCATENATE(O1604,": ",H1604),
IF(OR(YEAR(M1604)=2022,YEAR(M1604)=2023),CONCATENATE("Se activó en ",YEAR(M1604)),
IF(AND(OR(O1604="En proceso",O1604="facturando"),AND(J1604="-",M1604="")),"Por revisar",
IF(M1604="",IF(J1604="NUEVAS",CONCATENATE("Estado: ",O1604,", ",J1604),
IF(L1604=Meses!$A$3,"Por revisar",
IF(H1604="","Sin registro","En programación Frcst."))),"En programación")))),
"Error")</f>
        <v>En programación</v>
      </c>
      <c r="Q1604" s="9" t="str">
        <f t="shared" si="75"/>
        <v/>
      </c>
      <c r="R1604" s="25">
        <f>IF(P1604="En programación Frcst.",VLOOKUP(L1604,Meses!$A$1:$H$14,3+HLOOKUP(Cronograma!J1604,Meses!$D$1:$G$2,2,FALSE),FALSE),
IF(P1604="En programación",M1604,""))</f>
        <v>45414</v>
      </c>
      <c r="S1604" s="25" t="str">
        <f t="shared" si="77"/>
        <v>2024/5</v>
      </c>
      <c r="T1604" s="21">
        <f>IFERROR(
(VLOOKUP(MONTH(R1604),Meses!$B$3:$C$14,2,FALSE)-DAY(R1604))/VLOOKUP(MONTH(R1604),Meses!$B$3:$C$14,2,FALSE)*U1604,
"")</f>
        <v>1216.1290322580644</v>
      </c>
      <c r="U1604" s="22">
        <f t="shared" si="76"/>
        <v>1300</v>
      </c>
    </row>
    <row r="1605" spans="1:21" ht="47.4" hidden="1" thickBot="1" x14ac:dyDescent="0.6">
      <c r="A1605" s="10" t="s">
        <v>2020</v>
      </c>
      <c r="B1605" s="10" t="s">
        <v>2021</v>
      </c>
      <c r="C1605" s="12"/>
      <c r="D1605" s="10" t="s">
        <v>959</v>
      </c>
      <c r="E1605" s="10" t="s">
        <v>959</v>
      </c>
      <c r="F1605" s="10">
        <v>5600</v>
      </c>
      <c r="G1605" s="10" t="s">
        <v>15</v>
      </c>
      <c r="H1605" s="10" t="s">
        <v>2916</v>
      </c>
      <c r="I1605" s="10" t="s">
        <v>43</v>
      </c>
      <c r="J1605" s="10" t="s">
        <v>143</v>
      </c>
      <c r="K1605" s="10" t="s">
        <v>2895</v>
      </c>
      <c r="L1605" s="10" t="s">
        <v>2292</v>
      </c>
      <c r="M1605" s="12">
        <v>45400</v>
      </c>
      <c r="N1605" s="10" t="s">
        <v>15</v>
      </c>
      <c r="O1605" s="10" t="s">
        <v>2057</v>
      </c>
      <c r="P1605" s="25" t="str">
        <f>IFERROR(
IF(OR(O1605="anulado",O1605="stand by"),CONCATENATE(O1605,": ",H1605),
IF(OR(YEAR(M1605)=2022,YEAR(M1605)=2023),CONCATENATE("Se activó en ",YEAR(M1605)),
IF(AND(OR(O1605="En proceso",O1605="facturando"),AND(J1605="-",M1605="")),"Por revisar",
IF(M1605="",IF(J1605="NUEVAS",CONCATENATE("Estado: ",O1605,", ",J1605),
IF(L1605=Meses!$A$3,"Por revisar",
IF(H1605="","Sin registro","En programación Frcst."))),"En programación")))),
"Error")</f>
        <v>En programación</v>
      </c>
      <c r="Q1605" s="9" t="str">
        <f t="shared" si="75"/>
        <v/>
      </c>
      <c r="R1605" s="25">
        <f>IF(P1605="En programación Frcst.",VLOOKUP(L1605,Meses!$A$1:$H$14,3+HLOOKUP(Cronograma!J1605,Meses!$D$1:$G$2,2,FALSE),FALSE),
IF(P1605="En programación",M1605,""))</f>
        <v>45400</v>
      </c>
      <c r="S1605" s="25" t="str">
        <f t="shared" si="77"/>
        <v>2024/4</v>
      </c>
      <c r="T1605" s="21">
        <f>IFERROR(
(VLOOKUP(MONTH(R1605),Meses!$B$3:$C$14,2,FALSE)-DAY(R1605))/VLOOKUP(MONTH(R1605),Meses!$B$3:$C$14,2,FALSE)*U1605,
"")</f>
        <v>2240</v>
      </c>
      <c r="U1605" s="22">
        <f t="shared" si="76"/>
        <v>5600</v>
      </c>
    </row>
    <row r="1606" spans="1:21" ht="47.4" hidden="1" thickBot="1" x14ac:dyDescent="0.6">
      <c r="A1606" s="10" t="s">
        <v>2022</v>
      </c>
      <c r="B1606" s="10" t="s">
        <v>2023</v>
      </c>
      <c r="C1606" s="12"/>
      <c r="D1606" s="10" t="s">
        <v>44</v>
      </c>
      <c r="E1606" s="10" t="s">
        <v>44</v>
      </c>
      <c r="F1606" s="10">
        <v>10722</v>
      </c>
      <c r="G1606" s="10" t="s">
        <v>15</v>
      </c>
      <c r="H1606" s="10" t="s">
        <v>2917</v>
      </c>
      <c r="I1606" s="10" t="s">
        <v>43</v>
      </c>
      <c r="J1606" s="10" t="s">
        <v>143</v>
      </c>
      <c r="K1606" s="10" t="s">
        <v>2895</v>
      </c>
      <c r="L1606" s="10" t="s">
        <v>2292</v>
      </c>
      <c r="M1606" s="12">
        <v>45400</v>
      </c>
      <c r="N1606" s="10" t="s">
        <v>15</v>
      </c>
      <c r="O1606" s="10" t="s">
        <v>2057</v>
      </c>
      <c r="P1606" s="25" t="str">
        <f>IFERROR(
IF(OR(O1606="anulado",O1606="stand by"),CONCATENATE(O1606,": ",H1606),
IF(OR(YEAR(M1606)=2022,YEAR(M1606)=2023),CONCATENATE("Se activó en ",YEAR(M1606)),
IF(AND(OR(O1606="En proceso",O1606="facturando"),AND(J1606="-",M1606="")),"Por revisar",
IF(M1606="",IF(J1606="NUEVAS",CONCATENATE("Estado: ",O1606,", ",J1606),
IF(L1606=Meses!$A$3,"Por revisar",
IF(H1606="","Sin registro","En programación Frcst."))),"En programación")))),
"Error")</f>
        <v>En programación</v>
      </c>
      <c r="Q1606" s="9" t="str">
        <f t="shared" si="75"/>
        <v/>
      </c>
      <c r="R1606" s="25">
        <f>IF(P1606="En programación Frcst.",VLOOKUP(L1606,Meses!$A$1:$H$14,3+HLOOKUP(Cronograma!J1606,Meses!$D$1:$G$2,2,FALSE),FALSE),
IF(P1606="En programación",M1606,""))</f>
        <v>45400</v>
      </c>
      <c r="S1606" s="25" t="str">
        <f t="shared" si="77"/>
        <v>2024/4</v>
      </c>
      <c r="T1606" s="21">
        <f>IFERROR(
(VLOOKUP(MONTH(R1606),Meses!$B$3:$C$14,2,FALSE)-DAY(R1606))/VLOOKUP(MONTH(R1606),Meses!$B$3:$C$14,2,FALSE)*U1606,
"")</f>
        <v>4288.8</v>
      </c>
      <c r="U1606" s="22">
        <f t="shared" si="76"/>
        <v>10722</v>
      </c>
    </row>
    <row r="1607" spans="1:21" ht="63" hidden="1" thickBot="1" x14ac:dyDescent="0.6">
      <c r="A1607" s="10" t="s">
        <v>2024</v>
      </c>
      <c r="B1607" s="10" t="s">
        <v>2025</v>
      </c>
      <c r="C1607" s="12">
        <v>45302</v>
      </c>
      <c r="D1607" s="10" t="s">
        <v>181</v>
      </c>
      <c r="E1607" s="10" t="s">
        <v>14</v>
      </c>
      <c r="F1607" s="10">
        <v>179671</v>
      </c>
      <c r="G1607" s="10" t="s">
        <v>20</v>
      </c>
      <c r="H1607" s="10" t="s">
        <v>17</v>
      </c>
      <c r="I1607" s="10" t="s">
        <v>66</v>
      </c>
      <c r="J1607" s="10" t="s">
        <v>143</v>
      </c>
      <c r="K1607" s="10" t="s">
        <v>538</v>
      </c>
      <c r="L1607" s="10" t="s">
        <v>279</v>
      </c>
      <c r="M1607" s="12"/>
      <c r="N1607" s="10" t="s">
        <v>20</v>
      </c>
      <c r="O1607" s="10" t="s">
        <v>2054</v>
      </c>
      <c r="P1607" s="25" t="str">
        <f>IFERROR(
IF(OR(O1607="anulado",O1607="stand by"),CONCATENATE(O1607,": ",H1607),
IF(OR(YEAR(M1607)=2022,YEAR(M1607)=2023),CONCATENATE("Se activó en ",YEAR(M1607)),
IF(AND(OR(O1607="En proceso",O1607="facturando"),AND(J1607="-",M1607="")),"Por revisar",
IF(M1607="",IF(J1607="NUEVAS",CONCATENATE("Estado: ",O1607,", ",J1607),
IF(L1607=Meses!$A$3,"Por revisar",
IF(H1607="","Sin registro","En programación Frcst."))),"En programación")))),
"Error")</f>
        <v>En programación Frcst.</v>
      </c>
      <c r="Q1607" s="9" t="str">
        <f t="shared" si="75"/>
        <v/>
      </c>
      <c r="R1607" s="25">
        <f>IF(P1607="En programación Frcst.",VLOOKUP(L1607,Meses!$A$1:$H$14,3+HLOOKUP(Cronograma!J1607,Meses!$D$1:$G$2,2,FALSE),FALSE),
IF(P1607="En programación",M1607,""))</f>
        <v>45302</v>
      </c>
      <c r="S1607" s="25" t="str">
        <f t="shared" si="77"/>
        <v>2024/1</v>
      </c>
      <c r="T1607" s="21">
        <f>IFERROR(
(VLOOKUP(MONTH(R1607),Meses!$B$3:$C$14,2,FALSE)-DAY(R1607))/VLOOKUP(MONTH(R1607),Meses!$B$3:$C$14,2,FALSE)*U1607,
"")</f>
        <v>115916.77419354838</v>
      </c>
      <c r="U1607" s="22">
        <f t="shared" si="76"/>
        <v>179671</v>
      </c>
    </row>
    <row r="1608" spans="1:21" ht="31.8" hidden="1" thickBot="1" x14ac:dyDescent="0.6">
      <c r="A1608" s="10" t="s">
        <v>2026</v>
      </c>
      <c r="B1608" s="10" t="s">
        <v>2027</v>
      </c>
      <c r="C1608" s="12"/>
      <c r="D1608" s="10" t="s">
        <v>14</v>
      </c>
      <c r="E1608" s="10" t="s">
        <v>14</v>
      </c>
      <c r="F1608" s="10">
        <v>20540</v>
      </c>
      <c r="G1608" s="10" t="s">
        <v>15</v>
      </c>
      <c r="H1608" s="10" t="s">
        <v>2917</v>
      </c>
      <c r="I1608" s="10" t="s">
        <v>18</v>
      </c>
      <c r="J1608" s="10" t="s">
        <v>277</v>
      </c>
      <c r="K1608" s="10" t="s">
        <v>3327</v>
      </c>
      <c r="L1608" s="10" t="s">
        <v>2292</v>
      </c>
      <c r="M1608" s="12">
        <v>45400</v>
      </c>
      <c r="N1608" s="10" t="s">
        <v>15</v>
      </c>
      <c r="O1608" s="10" t="s">
        <v>2057</v>
      </c>
      <c r="P1608" s="25" t="str">
        <f>IFERROR(
IF(OR(O1608="anulado",O1608="stand by"),CONCATENATE(O1608,": ",H1608),
IF(OR(YEAR(M1608)=2022,YEAR(M1608)=2023),CONCATENATE("Se activó en ",YEAR(M1608)),
IF(AND(OR(O1608="En proceso",O1608="facturando"),AND(J1608="-",M1608="")),"Por revisar",
IF(M1608="",IF(J1608="NUEVAS",CONCATENATE("Estado: ",O1608,", ",J1608),
IF(L1608=Meses!$A$3,"Por revisar",
IF(H1608="","Sin registro","En programación Frcst."))),"En programación")))),
"Error")</f>
        <v>En programación</v>
      </c>
      <c r="Q1608" s="9" t="str">
        <f t="shared" si="75"/>
        <v/>
      </c>
      <c r="R1608" s="25">
        <f>IF(P1608="En programación Frcst.",VLOOKUP(L1608,Meses!$A$1:$H$14,3+HLOOKUP(Cronograma!J1608,Meses!$D$1:$G$2,2,FALSE),FALSE),
IF(P1608="En programación",M1608,""))</f>
        <v>45400</v>
      </c>
      <c r="S1608" s="25" t="str">
        <f t="shared" si="77"/>
        <v>2024/4</v>
      </c>
      <c r="T1608" s="21">
        <f>IFERROR(
(VLOOKUP(MONTH(R1608),Meses!$B$3:$C$14,2,FALSE)-DAY(R1608))/VLOOKUP(MONTH(R1608),Meses!$B$3:$C$14,2,FALSE)*U1608,
"")</f>
        <v>8216</v>
      </c>
      <c r="U1608" s="22">
        <f t="shared" si="76"/>
        <v>20540</v>
      </c>
    </row>
    <row r="1609" spans="1:21" ht="47.4" thickBot="1" x14ac:dyDescent="0.6">
      <c r="A1609" s="10" t="s">
        <v>2018</v>
      </c>
      <c r="B1609" s="10" t="s">
        <v>2028</v>
      </c>
      <c r="C1609" s="12"/>
      <c r="D1609" s="10" t="s">
        <v>1207</v>
      </c>
      <c r="E1609" s="10" t="s">
        <v>289</v>
      </c>
      <c r="F1609" s="10">
        <v>7500</v>
      </c>
      <c r="G1609" s="10" t="s">
        <v>15</v>
      </c>
      <c r="H1609" s="10" t="s">
        <v>2916</v>
      </c>
      <c r="I1609" s="10" t="s">
        <v>66</v>
      </c>
      <c r="J1609" s="10" t="s">
        <v>282</v>
      </c>
      <c r="K1609" s="10" t="s">
        <v>3326</v>
      </c>
      <c r="L1609" s="10" t="s">
        <v>2293</v>
      </c>
      <c r="M1609" s="12">
        <v>45414</v>
      </c>
      <c r="N1609" s="10" t="s">
        <v>15</v>
      </c>
      <c r="O1609" s="10" t="s">
        <v>2057</v>
      </c>
      <c r="P1609" s="25" t="str">
        <f>IFERROR(
IF(OR(O1609="anulado",O1609="stand by"),CONCATENATE(O1609,": ",H1609),
IF(OR(YEAR(M1609)=2022,YEAR(M1609)=2023),CONCATENATE("Se activó en ",YEAR(M1609)),
IF(AND(OR(O1609="En proceso",O1609="facturando"),AND(J1609="-",M1609="")),"Por revisar",
IF(M1609="",IF(J1609="NUEVAS",CONCATENATE("Estado: ",O1609,", ",J1609),
IF(L1609=Meses!$A$3,"Por revisar",
IF(H1609="","Sin registro","En programación Frcst."))),"En programación")))),
"Error")</f>
        <v>En programación</v>
      </c>
      <c r="Q1609" s="9" t="str">
        <f t="shared" si="75"/>
        <v/>
      </c>
      <c r="R1609" s="25">
        <f>IF(P1609="En programación Frcst.",VLOOKUP(L1609,Meses!$A$1:$H$14,3+HLOOKUP(Cronograma!J1609,Meses!$D$1:$G$2,2,FALSE),FALSE),
IF(P1609="En programación",M1609,""))</f>
        <v>45414</v>
      </c>
      <c r="S1609" s="25" t="str">
        <f t="shared" si="77"/>
        <v>2024/5</v>
      </c>
      <c r="T1609" s="21">
        <f>IFERROR(
(VLOOKUP(MONTH(R1609),Meses!$B$3:$C$14,2,FALSE)-DAY(R1609))/VLOOKUP(MONTH(R1609),Meses!$B$3:$C$14,2,FALSE)*U1609,
"")</f>
        <v>7016.1290322580644</v>
      </c>
      <c r="U1609" s="22">
        <f t="shared" si="76"/>
        <v>7500</v>
      </c>
    </row>
    <row r="1610" spans="1:21" ht="47.4" thickBot="1" x14ac:dyDescent="0.6">
      <c r="A1610" s="10" t="s">
        <v>2018</v>
      </c>
      <c r="B1610" s="10" t="s">
        <v>2029</v>
      </c>
      <c r="C1610" s="12"/>
      <c r="D1610" s="10" t="s">
        <v>1207</v>
      </c>
      <c r="E1610" s="10" t="s">
        <v>289</v>
      </c>
      <c r="F1610" s="10">
        <v>400</v>
      </c>
      <c r="G1610" s="10" t="s">
        <v>15</v>
      </c>
      <c r="H1610" s="10" t="s">
        <v>2916</v>
      </c>
      <c r="I1610" s="10" t="s">
        <v>66</v>
      </c>
      <c r="J1610" s="10" t="s">
        <v>282</v>
      </c>
      <c r="K1610" s="10" t="s">
        <v>3326</v>
      </c>
      <c r="L1610" s="10" t="s">
        <v>2293</v>
      </c>
      <c r="M1610" s="12">
        <v>45414</v>
      </c>
      <c r="N1610" s="10" t="s">
        <v>15</v>
      </c>
      <c r="O1610" s="10" t="s">
        <v>2057</v>
      </c>
      <c r="P1610" s="25" t="str">
        <f>IFERROR(
IF(OR(O1610="anulado",O1610="stand by"),CONCATENATE(O1610,": ",H1610),
IF(OR(YEAR(M1610)=2022,YEAR(M1610)=2023),CONCATENATE("Se activó en ",YEAR(M1610)),
IF(AND(OR(O1610="En proceso",O1610="facturando"),AND(J1610="-",M1610="")),"Por revisar",
IF(M1610="",IF(J1610="NUEVAS",CONCATENATE("Estado: ",O1610,", ",J1610),
IF(L1610=Meses!$A$3,"Por revisar",
IF(H1610="","Sin registro","En programación Frcst."))),"En programación")))),
"Error")</f>
        <v>En programación</v>
      </c>
      <c r="Q1610" s="9" t="str">
        <f t="shared" si="75"/>
        <v/>
      </c>
      <c r="R1610" s="25">
        <f>IF(P1610="En programación Frcst.",VLOOKUP(L1610,Meses!$A$1:$H$14,3+HLOOKUP(Cronograma!J1610,Meses!$D$1:$G$2,2,FALSE),FALSE),
IF(P1610="En programación",M1610,""))</f>
        <v>45414</v>
      </c>
      <c r="S1610" s="25" t="str">
        <f t="shared" si="77"/>
        <v>2024/5</v>
      </c>
      <c r="T1610" s="21">
        <f>IFERROR(
(VLOOKUP(MONTH(R1610),Meses!$B$3:$C$14,2,FALSE)-DAY(R1610))/VLOOKUP(MONTH(R1610),Meses!$B$3:$C$14,2,FALSE)*U1610,
"")</f>
        <v>374.19354838709677</v>
      </c>
      <c r="U1610" s="22">
        <f t="shared" si="76"/>
        <v>400</v>
      </c>
    </row>
    <row r="1611" spans="1:21" ht="47.4" hidden="1" thickBot="1" x14ac:dyDescent="0.6">
      <c r="A1611" s="10" t="s">
        <v>2020</v>
      </c>
      <c r="B1611" s="10" t="s">
        <v>2030</v>
      </c>
      <c r="C1611" s="12"/>
      <c r="D1611" s="10" t="s">
        <v>959</v>
      </c>
      <c r="E1611" s="10" t="s">
        <v>959</v>
      </c>
      <c r="F1611" s="10">
        <v>2200</v>
      </c>
      <c r="G1611" s="10" t="s">
        <v>15</v>
      </c>
      <c r="H1611" s="10" t="s">
        <v>2916</v>
      </c>
      <c r="I1611" s="10" t="s">
        <v>43</v>
      </c>
      <c r="J1611" s="10" t="s">
        <v>143</v>
      </c>
      <c r="K1611" s="10" t="s">
        <v>2895</v>
      </c>
      <c r="L1611" s="10" t="s">
        <v>2292</v>
      </c>
      <c r="M1611" s="12">
        <v>45400</v>
      </c>
      <c r="N1611" s="10" t="s">
        <v>15</v>
      </c>
      <c r="O1611" s="10" t="s">
        <v>2057</v>
      </c>
      <c r="P1611" s="25" t="str">
        <f>IFERROR(
IF(OR(O1611="anulado",O1611="stand by"),CONCATENATE(O1611,": ",H1611),
IF(OR(YEAR(M1611)=2022,YEAR(M1611)=2023),CONCATENATE("Se activó en ",YEAR(M1611)),
IF(AND(OR(O1611="En proceso",O1611="facturando"),AND(J1611="-",M1611="")),"Por revisar",
IF(M1611="",IF(J1611="NUEVAS",CONCATENATE("Estado: ",O1611,", ",J1611),
IF(L1611=Meses!$A$3,"Por revisar",
IF(H1611="","Sin registro","En programación Frcst."))),"En programación")))),
"Error")</f>
        <v>En programación</v>
      </c>
      <c r="Q1611" s="9" t="str">
        <f t="shared" si="75"/>
        <v/>
      </c>
      <c r="R1611" s="25">
        <f>IF(P1611="En programación Frcst.",VLOOKUP(L1611,Meses!$A$1:$H$14,3+HLOOKUP(Cronograma!J1611,Meses!$D$1:$G$2,2,FALSE),FALSE),
IF(P1611="En programación",M1611,""))</f>
        <v>45400</v>
      </c>
      <c r="S1611" s="25" t="str">
        <f t="shared" si="77"/>
        <v>2024/4</v>
      </c>
      <c r="T1611" s="21">
        <f>IFERROR(
(VLOOKUP(MONTH(R1611),Meses!$B$3:$C$14,2,FALSE)-DAY(R1611))/VLOOKUP(MONTH(R1611),Meses!$B$3:$C$14,2,FALSE)*U1611,
"")</f>
        <v>880</v>
      </c>
      <c r="U1611" s="22">
        <f t="shared" si="76"/>
        <v>2200</v>
      </c>
    </row>
    <row r="1612" spans="1:21" ht="47.4" thickBot="1" x14ac:dyDescent="0.6">
      <c r="A1612" s="10" t="s">
        <v>2018</v>
      </c>
      <c r="B1612" s="10" t="s">
        <v>2031</v>
      </c>
      <c r="C1612" s="12"/>
      <c r="D1612" s="10" t="s">
        <v>1207</v>
      </c>
      <c r="E1612" s="10" t="s">
        <v>289</v>
      </c>
      <c r="F1612" s="10">
        <v>1600</v>
      </c>
      <c r="G1612" s="10" t="s">
        <v>15</v>
      </c>
      <c r="H1612" s="10" t="s">
        <v>2916</v>
      </c>
      <c r="I1612" s="10" t="s">
        <v>66</v>
      </c>
      <c r="J1612" s="10" t="s">
        <v>282</v>
      </c>
      <c r="K1612" s="10" t="s">
        <v>3326</v>
      </c>
      <c r="L1612" s="10" t="s">
        <v>2293</v>
      </c>
      <c r="M1612" s="12">
        <v>45414</v>
      </c>
      <c r="N1612" s="10" t="s">
        <v>15</v>
      </c>
      <c r="O1612" s="10" t="s">
        <v>2057</v>
      </c>
      <c r="P1612" s="25" t="str">
        <f>IFERROR(
IF(OR(O1612="anulado",O1612="stand by"),CONCATENATE(O1612,": ",H1612),
IF(OR(YEAR(M1612)=2022,YEAR(M1612)=2023),CONCATENATE("Se activó en ",YEAR(M1612)),
IF(AND(OR(O1612="En proceso",O1612="facturando"),AND(J1612="-",M1612="")),"Por revisar",
IF(M1612="",IF(J1612="NUEVAS",CONCATENATE("Estado: ",O1612,", ",J1612),
IF(L1612=Meses!$A$3,"Por revisar",
IF(H1612="","Sin registro","En programación Frcst."))),"En programación")))),
"Error")</f>
        <v>En programación</v>
      </c>
      <c r="Q1612" s="9" t="str">
        <f t="shared" si="75"/>
        <v/>
      </c>
      <c r="R1612" s="25">
        <f>IF(P1612="En programación Frcst.",VLOOKUP(L1612,Meses!$A$1:$H$14,3+HLOOKUP(Cronograma!J1612,Meses!$D$1:$G$2,2,FALSE),FALSE),
IF(P1612="En programación",M1612,""))</f>
        <v>45414</v>
      </c>
      <c r="S1612" s="25" t="str">
        <f t="shared" si="77"/>
        <v>2024/5</v>
      </c>
      <c r="T1612" s="21">
        <f>IFERROR(
(VLOOKUP(MONTH(R1612),Meses!$B$3:$C$14,2,FALSE)-DAY(R1612))/VLOOKUP(MONTH(R1612),Meses!$B$3:$C$14,2,FALSE)*U1612,
"")</f>
        <v>1496.7741935483871</v>
      </c>
      <c r="U1612" s="22">
        <f t="shared" si="76"/>
        <v>1600</v>
      </c>
    </row>
    <row r="1613" spans="1:21" ht="47.4" thickBot="1" x14ac:dyDescent="0.6">
      <c r="A1613" s="10" t="s">
        <v>2018</v>
      </c>
      <c r="B1613" s="10" t="s">
        <v>2032</v>
      </c>
      <c r="C1613" s="12"/>
      <c r="D1613" s="10" t="s">
        <v>1207</v>
      </c>
      <c r="E1613" s="10" t="s">
        <v>289</v>
      </c>
      <c r="F1613" s="10">
        <v>1000</v>
      </c>
      <c r="G1613" s="10" t="s">
        <v>15</v>
      </c>
      <c r="H1613" s="10" t="s">
        <v>2916</v>
      </c>
      <c r="I1613" s="10" t="s">
        <v>66</v>
      </c>
      <c r="J1613" s="10" t="s">
        <v>282</v>
      </c>
      <c r="K1613" s="10" t="s">
        <v>3326</v>
      </c>
      <c r="L1613" s="10" t="s">
        <v>2293</v>
      </c>
      <c r="M1613" s="12">
        <v>45414</v>
      </c>
      <c r="N1613" s="10" t="s">
        <v>15</v>
      </c>
      <c r="O1613" s="10" t="s">
        <v>2057</v>
      </c>
      <c r="P1613" s="25" t="str">
        <f>IFERROR(
IF(OR(O1613="anulado",O1613="stand by"),CONCATENATE(O1613,": ",H1613),
IF(OR(YEAR(M1613)=2022,YEAR(M1613)=2023),CONCATENATE("Se activó en ",YEAR(M1613)),
IF(AND(OR(O1613="En proceso",O1613="facturando"),AND(J1613="-",M1613="")),"Por revisar",
IF(M1613="",IF(J1613="NUEVAS",CONCATENATE("Estado: ",O1613,", ",J1613),
IF(L1613=Meses!$A$3,"Por revisar",
IF(H1613="","Sin registro","En programación Frcst."))),"En programación")))),
"Error")</f>
        <v>En programación</v>
      </c>
      <c r="Q1613" s="9" t="str">
        <f t="shared" si="75"/>
        <v/>
      </c>
      <c r="R1613" s="25">
        <f>IF(P1613="En programación Frcst.",VLOOKUP(L1613,Meses!$A$1:$H$14,3+HLOOKUP(Cronograma!J1613,Meses!$D$1:$G$2,2,FALSE),FALSE),
IF(P1613="En programación",M1613,""))</f>
        <v>45414</v>
      </c>
      <c r="S1613" s="25" t="str">
        <f t="shared" si="77"/>
        <v>2024/5</v>
      </c>
      <c r="T1613" s="21">
        <f>IFERROR(
(VLOOKUP(MONTH(R1613),Meses!$B$3:$C$14,2,FALSE)-DAY(R1613))/VLOOKUP(MONTH(R1613),Meses!$B$3:$C$14,2,FALSE)*U1613,
"")</f>
        <v>935.48387096774184</v>
      </c>
      <c r="U1613" s="22">
        <f t="shared" si="76"/>
        <v>1000</v>
      </c>
    </row>
    <row r="1614" spans="1:21" ht="31.8" hidden="1" thickBot="1" x14ac:dyDescent="0.6">
      <c r="A1614" s="10" t="s">
        <v>2033</v>
      </c>
      <c r="B1614" s="10" t="s">
        <v>2034</v>
      </c>
      <c r="C1614" s="12" t="s">
        <v>2424</v>
      </c>
      <c r="D1614" s="10" t="s">
        <v>1207</v>
      </c>
      <c r="E1614" s="10" t="s">
        <v>23</v>
      </c>
      <c r="F1614" s="10">
        <v>55000</v>
      </c>
      <c r="G1614" s="10" t="s">
        <v>15</v>
      </c>
      <c r="H1614" s="10" t="s">
        <v>140</v>
      </c>
      <c r="I1614" s="10" t="s">
        <v>66</v>
      </c>
      <c r="J1614" s="10" t="s">
        <v>19</v>
      </c>
      <c r="K1614" s="10" t="s">
        <v>19</v>
      </c>
      <c r="L1614" s="10" t="s">
        <v>19</v>
      </c>
      <c r="M1614" s="12"/>
      <c r="N1614" s="10" t="s">
        <v>15</v>
      </c>
      <c r="O1614" s="10" t="s">
        <v>2056</v>
      </c>
      <c r="P1614" s="25" t="str">
        <f>IFERROR(
IF(OR(O1614="anulado",O1614="stand by"),CONCATENATE(O1614,": ",H1614),
IF(OR(YEAR(M1614)=2022,YEAR(M1614)=2023),CONCATENATE("Se activó en ",YEAR(M1614)),
IF(AND(OR(O1614="En proceso",O1614="facturando"),AND(J1614="-",M1614="")),"Por revisar",
IF(M1614="",IF(J1614="NUEVAS",CONCATENATE("Estado: ",O1614,", ",J1614),
IF(L1614=Meses!$A$3,"Por revisar",
IF(H1614="","Sin registro","En programación Frcst."))),"En programación")))),
"Error")</f>
        <v>anulado: Desistido</v>
      </c>
      <c r="Q1614" s="9" t="str">
        <f t="shared" si="75"/>
        <v/>
      </c>
      <c r="R1614" s="25" t="str">
        <f>IF(P1614="En programación Frcst.",VLOOKUP(L1614,Meses!$A$1:$H$14,3+HLOOKUP(Cronograma!J1614,Meses!$D$1:$G$2,2,FALSE),FALSE),
IF(P1614="En programación",M1614,""))</f>
        <v/>
      </c>
      <c r="S1614" s="25" t="str">
        <f t="shared" si="77"/>
        <v/>
      </c>
      <c r="T1614" s="21" t="str">
        <f>IFERROR(
(VLOOKUP(MONTH(R1614),Meses!$B$3:$C$14,2,FALSE)-DAY(R1614))/VLOOKUP(MONTH(R1614),Meses!$B$3:$C$14,2,FALSE)*U1614,
"")</f>
        <v/>
      </c>
      <c r="U1614" s="22">
        <f t="shared" si="76"/>
        <v>55000</v>
      </c>
    </row>
    <row r="1615" spans="1:21" ht="47.4" thickBot="1" x14ac:dyDescent="0.6">
      <c r="A1615" s="10" t="s">
        <v>973</v>
      </c>
      <c r="B1615" s="10" t="s">
        <v>2035</v>
      </c>
      <c r="C1615" s="12"/>
      <c r="D1615" s="10" t="s">
        <v>654</v>
      </c>
      <c r="E1615" s="10" t="s">
        <v>14</v>
      </c>
      <c r="F1615" s="10">
        <v>24000</v>
      </c>
      <c r="G1615" s="10" t="s">
        <v>15</v>
      </c>
      <c r="H1615" s="10" t="s">
        <v>2916</v>
      </c>
      <c r="I1615" s="10" t="s">
        <v>66</v>
      </c>
      <c r="J1615" s="10" t="s">
        <v>282</v>
      </c>
      <c r="K1615" s="10" t="s">
        <v>3326</v>
      </c>
      <c r="L1615" s="10" t="s">
        <v>2293</v>
      </c>
      <c r="M1615" s="12">
        <v>45414</v>
      </c>
      <c r="N1615" s="10" t="s">
        <v>15</v>
      </c>
      <c r="O1615" s="10" t="s">
        <v>2057</v>
      </c>
      <c r="P1615" s="25" t="str">
        <f>IFERROR(
IF(OR(O1615="anulado",O1615="stand by"),CONCATENATE(O1615,": ",H1615),
IF(OR(YEAR(M1615)=2022,YEAR(M1615)=2023),CONCATENATE("Se activó en ",YEAR(M1615)),
IF(AND(OR(O1615="En proceso",O1615="facturando"),AND(J1615="-",M1615="")),"Por revisar",
IF(M1615="",IF(J1615="NUEVAS",CONCATENATE("Estado: ",O1615,", ",J1615),
IF(L1615=Meses!$A$3,"Por revisar",
IF(H1615="","Sin registro","En programación Frcst."))),"En programación")))),
"Error")</f>
        <v>En programación</v>
      </c>
      <c r="Q1615" s="9" t="str">
        <f t="shared" si="75"/>
        <v/>
      </c>
      <c r="R1615" s="25">
        <f>IF(P1615="En programación Frcst.",VLOOKUP(L1615,Meses!$A$1:$H$14,3+HLOOKUP(Cronograma!J1615,Meses!$D$1:$G$2,2,FALSE),FALSE),
IF(P1615="En programación",M1615,""))</f>
        <v>45414</v>
      </c>
      <c r="S1615" s="25" t="str">
        <f t="shared" si="77"/>
        <v>2024/5</v>
      </c>
      <c r="T1615" s="21">
        <f>IFERROR(
(VLOOKUP(MONTH(R1615),Meses!$B$3:$C$14,2,FALSE)-DAY(R1615))/VLOOKUP(MONTH(R1615),Meses!$B$3:$C$14,2,FALSE)*U1615,
"")</f>
        <v>22451.612903225807</v>
      </c>
      <c r="U1615" s="22">
        <f t="shared" si="76"/>
        <v>24000</v>
      </c>
    </row>
    <row r="1616" spans="1:21" ht="63" hidden="1" thickBot="1" x14ac:dyDescent="0.6">
      <c r="A1616" s="10" t="s">
        <v>2036</v>
      </c>
      <c r="B1616" s="10" t="s">
        <v>2037</v>
      </c>
      <c r="C1616" s="12"/>
      <c r="D1616" s="10" t="s">
        <v>156</v>
      </c>
      <c r="E1616" s="10" t="s">
        <v>156</v>
      </c>
      <c r="F1616" s="10">
        <v>23666</v>
      </c>
      <c r="G1616" s="10" t="s">
        <v>15</v>
      </c>
      <c r="H1616" s="10" t="s">
        <v>1050</v>
      </c>
      <c r="I1616" s="10" t="s">
        <v>43</v>
      </c>
      <c r="J1616" s="10" t="s">
        <v>143</v>
      </c>
      <c r="K1616" s="10" t="s">
        <v>2895</v>
      </c>
      <c r="L1616" s="10" t="s">
        <v>2292</v>
      </c>
      <c r="M1616" s="12">
        <v>45400</v>
      </c>
      <c r="N1616" s="10" t="s">
        <v>15</v>
      </c>
      <c r="O1616" s="10" t="s">
        <v>2057</v>
      </c>
      <c r="P1616" s="25" t="str">
        <f>IFERROR(
IF(OR(O1616="anulado",O1616="stand by"),CONCATENATE(O1616,": ",H1616),
IF(OR(YEAR(M1616)=2022,YEAR(M1616)=2023),CONCATENATE("Se activó en ",YEAR(M1616)),
IF(AND(OR(O1616="En proceso",O1616="facturando"),AND(J1616="-",M1616="")),"Por revisar",
IF(M1616="",IF(J1616="NUEVAS",CONCATENATE("Estado: ",O1616,", ",J1616),
IF(L1616=Meses!$A$3,"Por revisar",
IF(H1616="","Sin registro","En programación Frcst."))),"En programación")))),
"Error")</f>
        <v>En programación</v>
      </c>
      <c r="Q1616" s="9" t="str">
        <f t="shared" si="75"/>
        <v/>
      </c>
      <c r="R1616" s="25">
        <f>IF(P1616="En programación Frcst.",VLOOKUP(L1616,Meses!$A$1:$H$14,3+HLOOKUP(Cronograma!J1616,Meses!$D$1:$G$2,2,FALSE),FALSE),
IF(P1616="En programación",M1616,""))</f>
        <v>45400</v>
      </c>
      <c r="S1616" s="25" t="str">
        <f t="shared" si="77"/>
        <v>2024/4</v>
      </c>
      <c r="T1616" s="21">
        <f>IFERROR(
(VLOOKUP(MONTH(R1616),Meses!$B$3:$C$14,2,FALSE)-DAY(R1616))/VLOOKUP(MONTH(R1616),Meses!$B$3:$C$14,2,FALSE)*U1616,
"")</f>
        <v>9466.4</v>
      </c>
      <c r="U1616" s="22">
        <f t="shared" si="76"/>
        <v>23666</v>
      </c>
    </row>
    <row r="1617" spans="1:21" ht="31.8" hidden="1" thickBot="1" x14ac:dyDescent="0.6">
      <c r="A1617" s="10" t="s">
        <v>2038</v>
      </c>
      <c r="B1617" s="10" t="s">
        <v>2039</v>
      </c>
      <c r="C1617" s="12"/>
      <c r="D1617" s="10" t="s">
        <v>14</v>
      </c>
      <c r="E1617" s="10" t="s">
        <v>14</v>
      </c>
      <c r="F1617" s="10">
        <v>5040</v>
      </c>
      <c r="G1617" s="10" t="s">
        <v>15</v>
      </c>
      <c r="H1617" s="10" t="s">
        <v>2916</v>
      </c>
      <c r="I1617" s="10" t="s">
        <v>18</v>
      </c>
      <c r="J1617" s="10" t="s">
        <v>277</v>
      </c>
      <c r="K1617" s="10" t="s">
        <v>3327</v>
      </c>
      <c r="L1617" s="10" t="s">
        <v>2292</v>
      </c>
      <c r="M1617" s="12">
        <v>45400</v>
      </c>
      <c r="N1617" s="10" t="s">
        <v>15</v>
      </c>
      <c r="O1617" s="10" t="s">
        <v>2057</v>
      </c>
      <c r="P1617" s="25" t="str">
        <f>IFERROR(
IF(OR(O1617="anulado",O1617="stand by"),CONCATENATE(O1617,": ",H1617),
IF(OR(YEAR(M1617)=2022,YEAR(M1617)=2023),CONCATENATE("Se activó en ",YEAR(M1617)),
IF(AND(OR(O1617="En proceso",O1617="facturando"),AND(J1617="-",M1617="")),"Por revisar",
IF(M1617="",IF(J1617="NUEVAS",CONCATENATE("Estado: ",O1617,", ",J1617),
IF(L1617=Meses!$A$3,"Por revisar",
IF(H1617="","Sin registro","En programación Frcst."))),"En programación")))),
"Error")</f>
        <v>En programación</v>
      </c>
      <c r="Q1617" s="9" t="str">
        <f t="shared" si="75"/>
        <v/>
      </c>
      <c r="R1617" s="25">
        <f>IF(P1617="En programación Frcst.",VLOOKUP(L1617,Meses!$A$1:$H$14,3+HLOOKUP(Cronograma!J1617,Meses!$D$1:$G$2,2,FALSE),FALSE),
IF(P1617="En programación",M1617,""))</f>
        <v>45400</v>
      </c>
      <c r="S1617" s="25" t="str">
        <f t="shared" si="77"/>
        <v>2024/4</v>
      </c>
      <c r="T1617" s="21">
        <f>IFERROR(
(VLOOKUP(MONTH(R1617),Meses!$B$3:$C$14,2,FALSE)-DAY(R1617))/VLOOKUP(MONTH(R1617),Meses!$B$3:$C$14,2,FALSE)*U1617,
"")</f>
        <v>2016</v>
      </c>
      <c r="U1617" s="22">
        <f t="shared" si="76"/>
        <v>5040</v>
      </c>
    </row>
    <row r="1618" spans="1:21" ht="63" hidden="1" thickBot="1" x14ac:dyDescent="0.6">
      <c r="A1618" s="10" t="s">
        <v>2036</v>
      </c>
      <c r="B1618" s="10" t="s">
        <v>2040</v>
      </c>
      <c r="C1618" s="12"/>
      <c r="D1618" s="10" t="s">
        <v>74</v>
      </c>
      <c r="E1618" s="10" t="s">
        <v>74</v>
      </c>
      <c r="F1618" s="10">
        <v>60720</v>
      </c>
      <c r="G1618" s="10" t="s">
        <v>15</v>
      </c>
      <c r="H1618" s="10" t="s">
        <v>2917</v>
      </c>
      <c r="I1618" s="10" t="s">
        <v>43</v>
      </c>
      <c r="J1618" s="10" t="s">
        <v>143</v>
      </c>
      <c r="K1618" s="10" t="s">
        <v>2895</v>
      </c>
      <c r="L1618" s="10" t="s">
        <v>2292</v>
      </c>
      <c r="M1618" s="12">
        <v>45400</v>
      </c>
      <c r="N1618" s="10" t="s">
        <v>15</v>
      </c>
      <c r="O1618" s="10" t="s">
        <v>2057</v>
      </c>
      <c r="P1618" s="25" t="str">
        <f>IFERROR(
IF(OR(O1618="anulado",O1618="stand by"),CONCATENATE(O1618,": ",H1618),
IF(OR(YEAR(M1618)=2022,YEAR(M1618)=2023),CONCATENATE("Se activó en ",YEAR(M1618)),
IF(AND(OR(O1618="En proceso",O1618="facturando"),AND(J1618="-",M1618="")),"Por revisar",
IF(M1618="",IF(J1618="NUEVAS",CONCATENATE("Estado: ",O1618,", ",J1618),
IF(L1618=Meses!$A$3,"Por revisar",
IF(H1618="","Sin registro","En programación Frcst."))),"En programación")))),
"Error")</f>
        <v>En programación</v>
      </c>
      <c r="Q1618" s="9" t="str">
        <f t="shared" si="75"/>
        <v/>
      </c>
      <c r="R1618" s="25">
        <f>IF(P1618="En programación Frcst.",VLOOKUP(L1618,Meses!$A$1:$H$14,3+HLOOKUP(Cronograma!J1618,Meses!$D$1:$G$2,2,FALSE),FALSE),
IF(P1618="En programación",M1618,""))</f>
        <v>45400</v>
      </c>
      <c r="S1618" s="25" t="str">
        <f t="shared" si="77"/>
        <v>2024/4</v>
      </c>
      <c r="T1618" s="21">
        <f>IFERROR(
(VLOOKUP(MONTH(R1618),Meses!$B$3:$C$14,2,FALSE)-DAY(R1618))/VLOOKUP(MONTH(R1618),Meses!$B$3:$C$14,2,FALSE)*U1618,
"")</f>
        <v>24288</v>
      </c>
      <c r="U1618" s="22">
        <f t="shared" si="76"/>
        <v>60720</v>
      </c>
    </row>
    <row r="1619" spans="1:21" ht="63" hidden="1" thickBot="1" x14ac:dyDescent="0.6">
      <c r="A1619" s="10" t="s">
        <v>2036</v>
      </c>
      <c r="B1619" s="10" t="s">
        <v>2041</v>
      </c>
      <c r="C1619" s="12"/>
      <c r="D1619" s="10" t="s">
        <v>74</v>
      </c>
      <c r="E1619" s="10" t="s">
        <v>74</v>
      </c>
      <c r="F1619" s="10">
        <v>37400</v>
      </c>
      <c r="G1619" s="10" t="s">
        <v>15</v>
      </c>
      <c r="H1619" s="10" t="s">
        <v>1050</v>
      </c>
      <c r="I1619" s="10" t="s">
        <v>43</v>
      </c>
      <c r="J1619" s="10" t="s">
        <v>143</v>
      </c>
      <c r="K1619" s="10" t="s">
        <v>2895</v>
      </c>
      <c r="L1619" s="10" t="s">
        <v>2292</v>
      </c>
      <c r="M1619" s="12">
        <v>45400</v>
      </c>
      <c r="N1619" s="10" t="s">
        <v>15</v>
      </c>
      <c r="O1619" s="10" t="s">
        <v>2057</v>
      </c>
      <c r="P1619" s="25" t="str">
        <f>IFERROR(
IF(OR(O1619="anulado",O1619="stand by"),CONCATENATE(O1619,": ",H1619),
IF(OR(YEAR(M1619)=2022,YEAR(M1619)=2023),CONCATENATE("Se activó en ",YEAR(M1619)),
IF(AND(OR(O1619="En proceso",O1619="facturando"),AND(J1619="-",M1619="")),"Por revisar",
IF(M1619="",IF(J1619="NUEVAS",CONCATENATE("Estado: ",O1619,", ",J1619),
IF(L1619=Meses!$A$3,"Por revisar",
IF(H1619="","Sin registro","En programación Frcst."))),"En programación")))),
"Error")</f>
        <v>En programación</v>
      </c>
      <c r="Q1619" s="9" t="str">
        <f t="shared" si="75"/>
        <v/>
      </c>
      <c r="R1619" s="25">
        <f>IF(P1619="En programación Frcst.",VLOOKUP(L1619,Meses!$A$1:$H$14,3+HLOOKUP(Cronograma!J1619,Meses!$D$1:$G$2,2,FALSE),FALSE),
IF(P1619="En programación",M1619,""))</f>
        <v>45400</v>
      </c>
      <c r="S1619" s="25" t="str">
        <f t="shared" si="77"/>
        <v>2024/4</v>
      </c>
      <c r="T1619" s="21">
        <f>IFERROR(
(VLOOKUP(MONTH(R1619),Meses!$B$3:$C$14,2,FALSE)-DAY(R1619))/VLOOKUP(MONTH(R1619),Meses!$B$3:$C$14,2,FALSE)*U1619,
"")</f>
        <v>14960</v>
      </c>
      <c r="U1619" s="22">
        <f t="shared" si="76"/>
        <v>37400</v>
      </c>
    </row>
    <row r="1620" spans="1:21" ht="31.8" hidden="1" thickBot="1" x14ac:dyDescent="0.6">
      <c r="A1620" s="10" t="s">
        <v>2042</v>
      </c>
      <c r="B1620" s="10" t="s">
        <v>2043</v>
      </c>
      <c r="C1620" s="12">
        <v>45323</v>
      </c>
      <c r="D1620" s="10" t="s">
        <v>2044</v>
      </c>
      <c r="E1620" s="10" t="s">
        <v>14</v>
      </c>
      <c r="F1620" s="10">
        <v>2070822</v>
      </c>
      <c r="G1620" s="10" t="s">
        <v>20</v>
      </c>
      <c r="H1620" s="10" t="s">
        <v>17</v>
      </c>
      <c r="I1620" s="10" t="s">
        <v>66</v>
      </c>
      <c r="J1620" s="10" t="s">
        <v>282</v>
      </c>
      <c r="K1620" s="10" t="s">
        <v>747</v>
      </c>
      <c r="L1620" s="10" t="s">
        <v>748</v>
      </c>
      <c r="M1620" s="12"/>
      <c r="N1620" s="10" t="s">
        <v>15</v>
      </c>
      <c r="O1620" s="10" t="s">
        <v>2054</v>
      </c>
      <c r="P1620" s="25" t="str">
        <f>IFERROR(
IF(OR(O1620="anulado",O1620="stand by"),CONCATENATE(O1620,": ",H1620),
IF(OR(YEAR(M1620)=2022,YEAR(M1620)=2023),CONCATENATE("Se activó en ",YEAR(M1620)),
IF(AND(OR(O1620="En proceso",O1620="facturando"),AND(J1620="-",M1620="")),"Por revisar",
IF(M1620="",IF(J1620="NUEVAS",CONCATENATE("Estado: ",O1620,", ",J1620),
IF(L1620=Meses!$A$3,"Por revisar",
IF(H1620="","Sin registro","En programación Frcst."))),"En programación")))),
"Error")</f>
        <v>En programación Frcst.</v>
      </c>
      <c r="Q1620" s="9" t="str">
        <f t="shared" si="75"/>
        <v/>
      </c>
      <c r="R1620" s="25">
        <f>IF(P1620="En programación Frcst.",VLOOKUP(L1620,Meses!$A$1:$H$14,3+HLOOKUP(Cronograma!J1620,Meses!$D$1:$G$2,2,FALSE),FALSE),
IF(P1620="En programación",M1620,""))</f>
        <v>45323</v>
      </c>
      <c r="S1620" s="25" t="str">
        <f t="shared" si="77"/>
        <v>2024/2</v>
      </c>
      <c r="T1620" s="21">
        <f>IFERROR(
(VLOOKUP(MONTH(R1620),Meses!$B$3:$C$14,2,FALSE)-DAY(R1620))/VLOOKUP(MONTH(R1620),Meses!$B$3:$C$14,2,FALSE)*U1620,
"")</f>
        <v>1999414.3448275863</v>
      </c>
      <c r="U1620" s="22">
        <f t="shared" si="76"/>
        <v>2070822</v>
      </c>
    </row>
    <row r="1621" spans="1:21" ht="31.8" hidden="1" thickBot="1" x14ac:dyDescent="0.6">
      <c r="A1621" s="10" t="s">
        <v>2042</v>
      </c>
      <c r="B1621" s="10" t="s">
        <v>2045</v>
      </c>
      <c r="C1621" s="12">
        <v>45323</v>
      </c>
      <c r="D1621" s="10" t="s">
        <v>2044</v>
      </c>
      <c r="E1621" s="10" t="s">
        <v>14</v>
      </c>
      <c r="F1621" s="10">
        <v>176299</v>
      </c>
      <c r="G1621" s="10" t="s">
        <v>20</v>
      </c>
      <c r="H1621" s="10" t="s">
        <v>17</v>
      </c>
      <c r="I1621" s="10" t="s">
        <v>66</v>
      </c>
      <c r="J1621" s="10" t="s">
        <v>282</v>
      </c>
      <c r="K1621" s="10" t="s">
        <v>747</v>
      </c>
      <c r="L1621" s="10" t="s">
        <v>748</v>
      </c>
      <c r="M1621" s="12"/>
      <c r="N1621" s="10" t="s">
        <v>15</v>
      </c>
      <c r="O1621" s="10" t="s">
        <v>2054</v>
      </c>
      <c r="P1621" s="25" t="str">
        <f>IFERROR(
IF(OR(O1621="anulado",O1621="stand by"),CONCATENATE(O1621,": ",H1621),
IF(OR(YEAR(M1621)=2022,YEAR(M1621)=2023),CONCATENATE("Se activó en ",YEAR(M1621)),
IF(AND(OR(O1621="En proceso",O1621="facturando"),AND(J1621="-",M1621="")),"Por revisar",
IF(M1621="",IF(J1621="NUEVAS",CONCATENATE("Estado: ",O1621,", ",J1621),
IF(L1621=Meses!$A$3,"Por revisar",
IF(H1621="","Sin registro","En programación Frcst."))),"En programación")))),
"Error")</f>
        <v>En programación Frcst.</v>
      </c>
      <c r="Q1621" s="9" t="str">
        <f t="shared" si="75"/>
        <v/>
      </c>
      <c r="R1621" s="25">
        <f>IF(P1621="En programación Frcst.",VLOOKUP(L1621,Meses!$A$1:$H$14,3+HLOOKUP(Cronograma!J1621,Meses!$D$1:$G$2,2,FALSE),FALSE),
IF(P1621="En programación",M1621,""))</f>
        <v>45323</v>
      </c>
      <c r="S1621" s="25" t="str">
        <f t="shared" si="77"/>
        <v>2024/2</v>
      </c>
      <c r="T1621" s="21">
        <f>IFERROR(
(VLOOKUP(MONTH(R1621),Meses!$B$3:$C$14,2,FALSE)-DAY(R1621))/VLOOKUP(MONTH(R1621),Meses!$B$3:$C$14,2,FALSE)*U1621,
"")</f>
        <v>170219.72413793104</v>
      </c>
      <c r="U1621" s="22">
        <f t="shared" si="76"/>
        <v>176299</v>
      </c>
    </row>
    <row r="1622" spans="1:21" ht="31.8" hidden="1" thickBot="1" x14ac:dyDescent="0.6">
      <c r="A1622" s="10" t="s">
        <v>2046</v>
      </c>
      <c r="B1622" s="10" t="s">
        <v>2047</v>
      </c>
      <c r="C1622" s="12"/>
      <c r="D1622" s="10" t="s">
        <v>14</v>
      </c>
      <c r="E1622" s="10" t="s">
        <v>14</v>
      </c>
      <c r="F1622" s="10">
        <v>15893</v>
      </c>
      <c r="G1622" s="10" t="s">
        <v>15</v>
      </c>
      <c r="H1622" s="10" t="s">
        <v>2916</v>
      </c>
      <c r="I1622" s="10" t="s">
        <v>18</v>
      </c>
      <c r="J1622" s="10" t="s">
        <v>277</v>
      </c>
      <c r="K1622" s="10" t="s">
        <v>3327</v>
      </c>
      <c r="L1622" s="10" t="s">
        <v>2292</v>
      </c>
      <c r="M1622" s="12">
        <v>45400</v>
      </c>
      <c r="N1622" s="10" t="s">
        <v>15</v>
      </c>
      <c r="O1622" s="10" t="s">
        <v>2057</v>
      </c>
      <c r="P1622" s="25" t="str">
        <f>IFERROR(
IF(OR(O1622="anulado",O1622="stand by"),CONCATENATE(O1622,": ",H1622),
IF(OR(YEAR(M1622)=2022,YEAR(M1622)=2023),CONCATENATE("Se activó en ",YEAR(M1622)),
IF(AND(OR(O1622="En proceso",O1622="facturando"),AND(J1622="-",M1622="")),"Por revisar",
IF(M1622="",IF(J1622="NUEVAS",CONCATENATE("Estado: ",O1622,", ",J1622),
IF(L1622=Meses!$A$3,"Por revisar",
IF(H1622="","Sin registro","En programación Frcst."))),"En programación")))),
"Error")</f>
        <v>En programación</v>
      </c>
      <c r="Q1622" s="9" t="str">
        <f t="shared" si="75"/>
        <v/>
      </c>
      <c r="R1622" s="25">
        <f>IF(P1622="En programación Frcst.",VLOOKUP(L1622,Meses!$A$1:$H$14,3+HLOOKUP(Cronograma!J1622,Meses!$D$1:$G$2,2,FALSE),FALSE),
IF(P1622="En programación",M1622,""))</f>
        <v>45400</v>
      </c>
      <c r="S1622" s="25" t="str">
        <f t="shared" si="77"/>
        <v>2024/4</v>
      </c>
      <c r="T1622" s="21">
        <f>IFERROR(
(VLOOKUP(MONTH(R1622),Meses!$B$3:$C$14,2,FALSE)-DAY(R1622))/VLOOKUP(MONTH(R1622),Meses!$B$3:$C$14,2,FALSE)*U1622,
"")</f>
        <v>6357.2000000000007</v>
      </c>
      <c r="U1622" s="22">
        <f t="shared" si="76"/>
        <v>15893</v>
      </c>
    </row>
    <row r="1623" spans="1:21" ht="31.8" hidden="1" thickBot="1" x14ac:dyDescent="0.6">
      <c r="A1623" s="10" t="s">
        <v>2048</v>
      </c>
      <c r="B1623" s="10" t="s">
        <v>2049</v>
      </c>
      <c r="C1623" s="12"/>
      <c r="D1623" s="10" t="s">
        <v>74</v>
      </c>
      <c r="E1623" s="10" t="s">
        <v>74</v>
      </c>
      <c r="F1623" s="10">
        <v>3881</v>
      </c>
      <c r="G1623" s="10" t="s">
        <v>15</v>
      </c>
      <c r="H1623" s="10" t="s">
        <v>2917</v>
      </c>
      <c r="I1623" s="10" t="s">
        <v>43</v>
      </c>
      <c r="J1623" s="10" t="s">
        <v>143</v>
      </c>
      <c r="K1623" s="10" t="s">
        <v>2895</v>
      </c>
      <c r="L1623" s="10" t="s">
        <v>2292</v>
      </c>
      <c r="M1623" s="12">
        <v>45400</v>
      </c>
      <c r="N1623" s="10" t="s">
        <v>15</v>
      </c>
      <c r="O1623" s="10" t="s">
        <v>2057</v>
      </c>
      <c r="P1623" s="25" t="str">
        <f>IFERROR(
IF(OR(O1623="anulado",O1623="stand by"),CONCATENATE(O1623,": ",H1623),
IF(OR(YEAR(M1623)=2022,YEAR(M1623)=2023),CONCATENATE("Se activó en ",YEAR(M1623)),
IF(AND(OR(O1623="En proceso",O1623="facturando"),AND(J1623="-",M1623="")),"Por revisar",
IF(M1623="",IF(J1623="NUEVAS",CONCATENATE("Estado: ",O1623,", ",J1623),
IF(L1623=Meses!$A$3,"Por revisar",
IF(H1623="","Sin registro","En programación Frcst."))),"En programación")))),
"Error")</f>
        <v>En programación</v>
      </c>
      <c r="Q1623" s="9" t="str">
        <f t="shared" si="75"/>
        <v/>
      </c>
      <c r="R1623" s="25">
        <f>IF(P1623="En programación Frcst.",VLOOKUP(L1623,Meses!$A$1:$H$14,3+HLOOKUP(Cronograma!J1623,Meses!$D$1:$G$2,2,FALSE),FALSE),
IF(P1623="En programación",M1623,""))</f>
        <v>45400</v>
      </c>
      <c r="S1623" s="25" t="str">
        <f t="shared" si="77"/>
        <v>2024/4</v>
      </c>
      <c r="T1623" s="21">
        <f>IFERROR(
(VLOOKUP(MONTH(R1623),Meses!$B$3:$C$14,2,FALSE)-DAY(R1623))/VLOOKUP(MONTH(R1623),Meses!$B$3:$C$14,2,FALSE)*U1623,
"")</f>
        <v>1552.4</v>
      </c>
      <c r="U1623" s="22">
        <f t="shared" si="76"/>
        <v>3881</v>
      </c>
    </row>
    <row r="1624" spans="1:21" ht="31.8" hidden="1" thickBot="1" x14ac:dyDescent="0.6">
      <c r="A1624" s="10" t="s">
        <v>2046</v>
      </c>
      <c r="B1624" s="10" t="s">
        <v>2050</v>
      </c>
      <c r="C1624" s="12">
        <v>45323</v>
      </c>
      <c r="D1624" s="10" t="s">
        <v>14</v>
      </c>
      <c r="E1624" s="10" t="s">
        <v>14</v>
      </c>
      <c r="F1624" s="10">
        <v>1123</v>
      </c>
      <c r="G1624" s="10" t="s">
        <v>15</v>
      </c>
      <c r="H1624" s="10" t="s">
        <v>17</v>
      </c>
      <c r="I1624" s="10" t="s">
        <v>18</v>
      </c>
      <c r="J1624" s="10" t="s">
        <v>282</v>
      </c>
      <c r="K1624" s="10" t="s">
        <v>747</v>
      </c>
      <c r="L1624" s="10" t="s">
        <v>748</v>
      </c>
      <c r="M1624" s="12"/>
      <c r="N1624" s="10" t="s">
        <v>15</v>
      </c>
      <c r="O1624" s="10" t="s">
        <v>2054</v>
      </c>
      <c r="P1624" s="25" t="str">
        <f>IFERROR(
IF(OR(O1624="anulado",O1624="stand by"),CONCATENATE(O1624,": ",H1624),
IF(OR(YEAR(M1624)=2022,YEAR(M1624)=2023),CONCATENATE("Se activó en ",YEAR(M1624)),
IF(AND(OR(O1624="En proceso",O1624="facturando"),AND(J1624="-",M1624="")),"Por revisar",
IF(M1624="",IF(J1624="NUEVAS",CONCATENATE("Estado: ",O1624,", ",J1624),
IF(L1624=Meses!$A$3,"Por revisar",
IF(H1624="","Sin registro","En programación Frcst."))),"En programación")))),
"Error")</f>
        <v>En programación Frcst.</v>
      </c>
      <c r="Q1624" s="9" t="str">
        <f t="shared" si="75"/>
        <v/>
      </c>
      <c r="R1624" s="25">
        <f>IF(P1624="En programación Frcst.",VLOOKUP(L1624,Meses!$A$1:$H$14,3+HLOOKUP(Cronograma!J1624,Meses!$D$1:$G$2,2,FALSE),FALSE),
IF(P1624="En programación",M1624,""))</f>
        <v>45323</v>
      </c>
      <c r="S1624" s="25" t="str">
        <f t="shared" si="77"/>
        <v>2024/2</v>
      </c>
      <c r="T1624" s="21">
        <f>IFERROR(
(VLOOKUP(MONTH(R1624),Meses!$B$3:$C$14,2,FALSE)-DAY(R1624))/VLOOKUP(MONTH(R1624),Meses!$B$3:$C$14,2,FALSE)*U1624,
"")</f>
        <v>1084.2758620689656</v>
      </c>
      <c r="U1624" s="22">
        <f t="shared" si="76"/>
        <v>1123</v>
      </c>
    </row>
    <row r="1625" spans="1:21" ht="78.599999999999994" hidden="1" thickBot="1" x14ac:dyDescent="0.6">
      <c r="A1625" s="10" t="s">
        <v>2051</v>
      </c>
      <c r="B1625" s="10" t="s">
        <v>2052</v>
      </c>
      <c r="C1625" s="12"/>
      <c r="D1625" s="10" t="s">
        <v>171</v>
      </c>
      <c r="E1625" s="10" t="s">
        <v>188</v>
      </c>
      <c r="F1625" s="10">
        <v>963</v>
      </c>
      <c r="G1625" s="10" t="s">
        <v>15</v>
      </c>
      <c r="H1625" s="10" t="s">
        <v>3312</v>
      </c>
      <c r="I1625" s="10" t="s">
        <v>66</v>
      </c>
      <c r="J1625" s="10" t="s">
        <v>282</v>
      </c>
      <c r="K1625" s="10" t="s">
        <v>3326</v>
      </c>
      <c r="L1625" s="10" t="s">
        <v>2293</v>
      </c>
      <c r="M1625" s="12">
        <v>45414</v>
      </c>
      <c r="N1625" s="10" t="s">
        <v>15</v>
      </c>
      <c r="O1625" s="10" t="s">
        <v>2055</v>
      </c>
      <c r="P1625" s="25" t="str">
        <f>IFERROR(
IF(OR(O1625="anulado",O1625="stand by"),CONCATENATE(O1625,": ",H1625),
IF(OR(YEAR(M1625)=2022,YEAR(M1625)=2023),CONCATENATE("Se activó en ",YEAR(M1625)),
IF(AND(OR(O1625="En proceso",O1625="facturando"),AND(J1625="-",M1625="")),"Por revisar",
IF(M1625="",IF(J1625="NUEVAS",CONCATENATE("Estado: ",O1625,", ",J1625),
IF(L1625=Meses!$A$3,"Por revisar",
IF(H1625="","Sin registro","En programación Frcst."))),"En programación")))),
"Error")</f>
        <v>stand by: Devolver Sales</v>
      </c>
      <c r="Q1625" s="9" t="str">
        <f t="shared" si="75"/>
        <v/>
      </c>
      <c r="R1625" s="25" t="str">
        <f>IF(P1625="En programación Frcst.",VLOOKUP(L1625,Meses!$A$1:$H$14,3+HLOOKUP(Cronograma!J1625,Meses!$D$1:$G$2,2,FALSE),FALSE),
IF(P1625="En programación",M1625,""))</f>
        <v/>
      </c>
      <c r="S1625" s="25" t="str">
        <f t="shared" si="77"/>
        <v/>
      </c>
      <c r="T1625" s="21" t="str">
        <f>IFERROR(
(VLOOKUP(MONTH(R1625),Meses!$B$3:$C$14,2,FALSE)-DAY(R1625))/VLOOKUP(MONTH(R1625),Meses!$B$3:$C$14,2,FALSE)*U1625,
"")</f>
        <v/>
      </c>
      <c r="U1625" s="22">
        <f t="shared" si="76"/>
        <v>963</v>
      </c>
    </row>
    <row r="1626" spans="1:21" ht="47.4" hidden="1" thickBot="1" x14ac:dyDescent="0.6">
      <c r="A1626" s="10" t="s">
        <v>2060</v>
      </c>
      <c r="B1626" s="10" t="s">
        <v>2061</v>
      </c>
      <c r="C1626" s="12"/>
      <c r="D1626" s="10" t="s">
        <v>44</v>
      </c>
      <c r="E1626" s="10" t="s">
        <v>44</v>
      </c>
      <c r="F1626" s="10">
        <v>4606</v>
      </c>
      <c r="G1626" s="10" t="s">
        <v>15</v>
      </c>
      <c r="H1626" s="10" t="s">
        <v>2916</v>
      </c>
      <c r="I1626" s="10" t="s">
        <v>43</v>
      </c>
      <c r="J1626" s="10" t="s">
        <v>143</v>
      </c>
      <c r="K1626" s="10" t="s">
        <v>2895</v>
      </c>
      <c r="L1626" s="10" t="s">
        <v>2292</v>
      </c>
      <c r="M1626" s="12">
        <v>45400</v>
      </c>
      <c r="N1626" s="10" t="s">
        <v>15</v>
      </c>
      <c r="O1626" s="10" t="s">
        <v>2057</v>
      </c>
      <c r="P1626" s="25" t="str">
        <f>IFERROR(
IF(OR(O1626="anulado",O1626="stand by"),CONCATENATE(O1626,": ",H1626),
IF(OR(YEAR(M1626)=2022,YEAR(M1626)=2023),CONCATENATE("Se activó en ",YEAR(M1626)),
IF(AND(OR(O1626="En proceso",O1626="facturando"),AND(J1626="-",M1626="")),"Por revisar",
IF(M1626="",IF(J1626="NUEVAS",CONCATENATE("Estado: ",O1626,", ",J1626),
IF(L1626=Meses!$A$3,"Por revisar",
IF(H1626="","Sin registro","En programación Frcst."))),"En programación")))),
"Error")</f>
        <v>En programación</v>
      </c>
      <c r="Q1626" s="9" t="str">
        <f t="shared" si="75"/>
        <v/>
      </c>
      <c r="R1626" s="25">
        <f>IF(P1626="En programación Frcst.",VLOOKUP(L1626,Meses!$A$1:$H$14,3+HLOOKUP(Cronograma!J1626,Meses!$D$1:$G$2,2,FALSE),FALSE),
IF(P1626="En programación",M1626,""))</f>
        <v>45400</v>
      </c>
      <c r="S1626" s="25" t="str">
        <f t="shared" si="77"/>
        <v>2024/4</v>
      </c>
      <c r="T1626" s="21">
        <f>IFERROR(
(VLOOKUP(MONTH(R1626),Meses!$B$3:$C$14,2,FALSE)-DAY(R1626))/VLOOKUP(MONTH(R1626),Meses!$B$3:$C$14,2,FALSE)*U1626,
"")</f>
        <v>1842.4</v>
      </c>
      <c r="U1626" s="22">
        <f t="shared" si="76"/>
        <v>4606</v>
      </c>
    </row>
    <row r="1627" spans="1:21" ht="47.4" hidden="1" thickBot="1" x14ac:dyDescent="0.6">
      <c r="A1627" s="10" t="s">
        <v>2062</v>
      </c>
      <c r="B1627" s="10" t="s">
        <v>2063</v>
      </c>
      <c r="C1627" s="12"/>
      <c r="D1627" s="10" t="s">
        <v>156</v>
      </c>
      <c r="E1627" s="10" t="s">
        <v>156</v>
      </c>
      <c r="F1627" s="10">
        <v>19000</v>
      </c>
      <c r="G1627" s="10" t="s">
        <v>15</v>
      </c>
      <c r="H1627" s="10" t="s">
        <v>2916</v>
      </c>
      <c r="I1627" s="10" t="s">
        <v>43</v>
      </c>
      <c r="J1627" s="10" t="s">
        <v>143</v>
      </c>
      <c r="K1627" s="10" t="s">
        <v>2895</v>
      </c>
      <c r="L1627" s="10" t="s">
        <v>2292</v>
      </c>
      <c r="M1627" s="12">
        <v>45400</v>
      </c>
      <c r="N1627" s="10" t="s">
        <v>15</v>
      </c>
      <c r="O1627" s="10" t="s">
        <v>2057</v>
      </c>
      <c r="P1627" s="25" t="str">
        <f>IFERROR(
IF(OR(O1627="anulado",O1627="stand by"),CONCATENATE(O1627,": ",H1627),
IF(OR(YEAR(M1627)=2022,YEAR(M1627)=2023),CONCATENATE("Se activó en ",YEAR(M1627)),
IF(AND(OR(O1627="En proceso",O1627="facturando"),AND(J1627="-",M1627="")),"Por revisar",
IF(M1627="",IF(J1627="NUEVAS",CONCATENATE("Estado: ",O1627,", ",J1627),
IF(L1627=Meses!$A$3,"Por revisar",
IF(H1627="","Sin registro","En programación Frcst."))),"En programación")))),
"Error")</f>
        <v>En programación</v>
      </c>
      <c r="Q1627" s="9" t="str">
        <f t="shared" si="75"/>
        <v/>
      </c>
      <c r="R1627" s="25">
        <f>IF(P1627="En programación Frcst.",VLOOKUP(L1627,Meses!$A$1:$H$14,3+HLOOKUP(Cronograma!J1627,Meses!$D$1:$G$2,2,FALSE),FALSE),
IF(P1627="En programación",M1627,""))</f>
        <v>45400</v>
      </c>
      <c r="S1627" s="25" t="str">
        <f t="shared" si="77"/>
        <v>2024/4</v>
      </c>
      <c r="T1627" s="21">
        <f>IFERROR(
(VLOOKUP(MONTH(R1627),Meses!$B$3:$C$14,2,FALSE)-DAY(R1627))/VLOOKUP(MONTH(R1627),Meses!$B$3:$C$14,2,FALSE)*U1627,
"")</f>
        <v>7600</v>
      </c>
      <c r="U1627" s="22">
        <f t="shared" si="76"/>
        <v>19000</v>
      </c>
    </row>
    <row r="1628" spans="1:21" ht="78.599999999999994" hidden="1" thickBot="1" x14ac:dyDescent="0.6">
      <c r="A1628" s="10" t="s">
        <v>2064</v>
      </c>
      <c r="B1628" s="10" t="s">
        <v>2065</v>
      </c>
      <c r="C1628" s="12">
        <v>45029</v>
      </c>
      <c r="D1628" s="10" t="s">
        <v>323</v>
      </c>
      <c r="E1628" s="10" t="s">
        <v>233</v>
      </c>
      <c r="F1628" s="10"/>
      <c r="G1628" s="10" t="s">
        <v>15</v>
      </c>
      <c r="H1628" s="10" t="s">
        <v>2406</v>
      </c>
      <c r="I1628" s="10" t="s">
        <v>66</v>
      </c>
      <c r="J1628" s="10" t="s">
        <v>143</v>
      </c>
      <c r="K1628" s="10" t="s">
        <v>2895</v>
      </c>
      <c r="L1628" s="10" t="s">
        <v>2292</v>
      </c>
      <c r="M1628" s="12"/>
      <c r="N1628" s="10" t="s">
        <v>20</v>
      </c>
      <c r="O1628" s="10" t="s">
        <v>2054</v>
      </c>
      <c r="P1628" s="25" t="str">
        <f>IFERROR(
IF(OR(O1628="anulado",O1628="stand by"),CONCATENATE(O1628,": ",H1628),
IF(OR(YEAR(M1628)=2022,YEAR(M1628)=2023),CONCATENATE("Se activó en ",YEAR(M1628)),
IF(AND(OR(O1628="En proceso",O1628="facturando"),AND(J1628="-",M1628="")),"Por revisar",
IF(M1628="",IF(J1628="NUEVAS",CONCATENATE("Estado: ",O1628,", ",J1628),
IF(L1628=Meses!$A$3,"Por revisar",
IF(H1628="","Sin registro","En programación Frcst."))),"En programación")))),
"Error")</f>
        <v>En programación Frcst.</v>
      </c>
      <c r="Q1628" s="9" t="str">
        <f t="shared" si="75"/>
        <v/>
      </c>
      <c r="R1628" s="25">
        <f>IF(P1628="En programación Frcst.",VLOOKUP(L1628,Meses!$A$1:$H$14,3+HLOOKUP(Cronograma!J1628,Meses!$D$1:$G$2,2,FALSE),FALSE),
IF(P1628="En programación",M1628,""))</f>
        <v>45393</v>
      </c>
      <c r="S1628" s="25" t="str">
        <f t="shared" si="77"/>
        <v>2024/4</v>
      </c>
      <c r="T1628" s="21">
        <f>IFERROR(
(VLOOKUP(MONTH(R1628),Meses!$B$3:$C$14,2,FALSE)-DAY(R1628))/VLOOKUP(MONTH(R1628),Meses!$B$3:$C$14,2,FALSE)*U1628,
"")</f>
        <v>0</v>
      </c>
      <c r="U1628" s="22">
        <f t="shared" si="76"/>
        <v>0</v>
      </c>
    </row>
    <row r="1629" spans="1:21" ht="31.8" hidden="1" thickBot="1" x14ac:dyDescent="0.6">
      <c r="A1629" s="10" t="s">
        <v>2066</v>
      </c>
      <c r="B1629" s="10" t="s">
        <v>2067</v>
      </c>
      <c r="C1629" s="12">
        <v>45029</v>
      </c>
      <c r="D1629" s="10" t="s">
        <v>323</v>
      </c>
      <c r="E1629" s="10" t="s">
        <v>289</v>
      </c>
      <c r="F1629" s="10"/>
      <c r="G1629" s="10" t="s">
        <v>15</v>
      </c>
      <c r="H1629" s="10" t="s">
        <v>2406</v>
      </c>
      <c r="I1629" s="10" t="s">
        <v>66</v>
      </c>
      <c r="J1629" s="10" t="s">
        <v>143</v>
      </c>
      <c r="K1629" s="10" t="s">
        <v>2895</v>
      </c>
      <c r="L1629" s="10" t="s">
        <v>2292</v>
      </c>
      <c r="M1629" s="12"/>
      <c r="N1629" s="10" t="s">
        <v>20</v>
      </c>
      <c r="O1629" s="10" t="s">
        <v>2054</v>
      </c>
      <c r="P1629" s="25" t="str">
        <f>IFERROR(
IF(OR(O1629="anulado",O1629="stand by"),CONCATENATE(O1629,": ",H1629),
IF(OR(YEAR(M1629)=2022,YEAR(M1629)=2023),CONCATENATE("Se activó en ",YEAR(M1629)),
IF(AND(OR(O1629="En proceso",O1629="facturando"),AND(J1629="-",M1629="")),"Por revisar",
IF(M1629="",IF(J1629="NUEVAS",CONCATENATE("Estado: ",O1629,", ",J1629),
IF(L1629=Meses!$A$3,"Por revisar",
IF(H1629="","Sin registro","En programación Frcst."))),"En programación")))),
"Error")</f>
        <v>En programación Frcst.</v>
      </c>
      <c r="Q1629" s="9" t="str">
        <f t="shared" si="75"/>
        <v/>
      </c>
      <c r="R1629" s="25">
        <f>IF(P1629="En programación Frcst.",VLOOKUP(L1629,Meses!$A$1:$H$14,3+HLOOKUP(Cronograma!J1629,Meses!$D$1:$G$2,2,FALSE),FALSE),
IF(P1629="En programación",M1629,""))</f>
        <v>45393</v>
      </c>
      <c r="S1629" s="25" t="str">
        <f t="shared" si="77"/>
        <v>2024/4</v>
      </c>
      <c r="T1629" s="21">
        <f>IFERROR(
(VLOOKUP(MONTH(R1629),Meses!$B$3:$C$14,2,FALSE)-DAY(R1629))/VLOOKUP(MONTH(R1629),Meses!$B$3:$C$14,2,FALSE)*U1629,
"")</f>
        <v>0</v>
      </c>
      <c r="U1629" s="22">
        <f t="shared" si="76"/>
        <v>0</v>
      </c>
    </row>
    <row r="1630" spans="1:21" ht="31.8" hidden="1" thickBot="1" x14ac:dyDescent="0.6">
      <c r="A1630" s="10" t="s">
        <v>2066</v>
      </c>
      <c r="B1630" s="10" t="s">
        <v>2068</v>
      </c>
      <c r="C1630" s="12">
        <v>45029</v>
      </c>
      <c r="D1630" s="10" t="s">
        <v>323</v>
      </c>
      <c r="E1630" s="10" t="s">
        <v>289</v>
      </c>
      <c r="F1630" s="10"/>
      <c r="G1630" s="10" t="s">
        <v>15</v>
      </c>
      <c r="H1630" s="10" t="s">
        <v>2406</v>
      </c>
      <c r="I1630" s="10" t="s">
        <v>66</v>
      </c>
      <c r="J1630" s="10" t="s">
        <v>292</v>
      </c>
      <c r="K1630" s="10" t="s">
        <v>1697</v>
      </c>
      <c r="L1630" s="10" t="s">
        <v>1120</v>
      </c>
      <c r="M1630" s="12">
        <v>45379</v>
      </c>
      <c r="N1630" s="10" t="s">
        <v>20</v>
      </c>
      <c r="O1630" s="10" t="s">
        <v>2054</v>
      </c>
      <c r="P1630" s="25" t="str">
        <f>IFERROR(
IF(OR(O1630="anulado",O1630="stand by"),CONCATENATE(O1630,": ",H1630),
IF(OR(YEAR(M1630)=2022,YEAR(M1630)=2023),CONCATENATE("Se activó en ",YEAR(M1630)),
IF(AND(OR(O1630="En proceso",O1630="facturando"),AND(J1630="-",M1630="")),"Por revisar",
IF(M1630="",IF(J1630="NUEVAS",CONCATENATE("Estado: ",O1630,", ",J1630),
IF(L1630=Meses!$A$3,"Por revisar",
IF(H1630="","Sin registro","En programación Frcst."))),"En programación")))),
"Error")</f>
        <v>En programación</v>
      </c>
      <c r="Q1630" s="9" t="str">
        <f t="shared" si="75"/>
        <v/>
      </c>
      <c r="R1630" s="25">
        <f>IF(P1630="En programación Frcst.",VLOOKUP(L1630,Meses!$A$1:$H$14,3+HLOOKUP(Cronograma!J1630,Meses!$D$1:$G$2,2,FALSE),FALSE),
IF(P1630="En programación",M1630,""))</f>
        <v>45379</v>
      </c>
      <c r="S1630" s="25" t="str">
        <f t="shared" si="77"/>
        <v>2024/3</v>
      </c>
      <c r="T1630" s="21">
        <f>IFERROR(
(VLOOKUP(MONTH(R1630),Meses!$B$3:$C$14,2,FALSE)-DAY(R1630))/VLOOKUP(MONTH(R1630),Meses!$B$3:$C$14,2,FALSE)*U1630,
"")</f>
        <v>0</v>
      </c>
      <c r="U1630" s="22">
        <f t="shared" si="76"/>
        <v>0</v>
      </c>
    </row>
    <row r="1631" spans="1:21" ht="47.4" hidden="1" thickBot="1" x14ac:dyDescent="0.6">
      <c r="A1631" s="10" t="s">
        <v>888</v>
      </c>
      <c r="B1631" s="10" t="s">
        <v>2069</v>
      </c>
      <c r="C1631" s="12">
        <v>45029</v>
      </c>
      <c r="D1631" s="10" t="s">
        <v>323</v>
      </c>
      <c r="E1631" s="10" t="s">
        <v>959</v>
      </c>
      <c r="F1631" s="10"/>
      <c r="G1631" s="10" t="s">
        <v>15</v>
      </c>
      <c r="H1631" s="10" t="s">
        <v>2406</v>
      </c>
      <c r="I1631" s="10" t="s">
        <v>66</v>
      </c>
      <c r="J1631" s="10" t="s">
        <v>143</v>
      </c>
      <c r="K1631" s="10" t="s">
        <v>2895</v>
      </c>
      <c r="L1631" s="10" t="s">
        <v>2292</v>
      </c>
      <c r="M1631" s="12"/>
      <c r="N1631" s="10" t="s">
        <v>20</v>
      </c>
      <c r="O1631" s="10" t="s">
        <v>2054</v>
      </c>
      <c r="P1631" s="25" t="str">
        <f>IFERROR(
IF(OR(O1631="anulado",O1631="stand by"),CONCATENATE(O1631,": ",H1631),
IF(OR(YEAR(M1631)=2022,YEAR(M1631)=2023),CONCATENATE("Se activó en ",YEAR(M1631)),
IF(AND(OR(O1631="En proceso",O1631="facturando"),AND(J1631="-",M1631="")),"Por revisar",
IF(M1631="",IF(J1631="NUEVAS",CONCATENATE("Estado: ",O1631,", ",J1631),
IF(L1631=Meses!$A$3,"Por revisar",
IF(H1631="","Sin registro","En programación Frcst."))),"En programación")))),
"Error")</f>
        <v>En programación Frcst.</v>
      </c>
      <c r="Q1631" s="9" t="str">
        <f t="shared" si="75"/>
        <v/>
      </c>
      <c r="R1631" s="25">
        <f>IF(P1631="En programación Frcst.",VLOOKUP(L1631,Meses!$A$1:$H$14,3+HLOOKUP(Cronograma!J1631,Meses!$D$1:$G$2,2,FALSE),FALSE),
IF(P1631="En programación",M1631,""))</f>
        <v>45393</v>
      </c>
      <c r="S1631" s="25" t="str">
        <f t="shared" si="77"/>
        <v>2024/4</v>
      </c>
      <c r="T1631" s="21">
        <f>IFERROR(
(VLOOKUP(MONTH(R1631),Meses!$B$3:$C$14,2,FALSE)-DAY(R1631))/VLOOKUP(MONTH(R1631),Meses!$B$3:$C$14,2,FALSE)*U1631,
"")</f>
        <v>0</v>
      </c>
      <c r="U1631" s="22">
        <f t="shared" si="76"/>
        <v>0</v>
      </c>
    </row>
    <row r="1632" spans="1:21" ht="47.4" hidden="1" thickBot="1" x14ac:dyDescent="0.6">
      <c r="A1632" s="10" t="s">
        <v>2070</v>
      </c>
      <c r="B1632" s="10" t="s">
        <v>2071</v>
      </c>
      <c r="C1632" s="12">
        <v>45029</v>
      </c>
      <c r="D1632" s="10" t="s">
        <v>323</v>
      </c>
      <c r="E1632" s="10" t="s">
        <v>298</v>
      </c>
      <c r="F1632" s="10"/>
      <c r="G1632" s="10" t="s">
        <v>15</v>
      </c>
      <c r="H1632" s="10" t="s">
        <v>2406</v>
      </c>
      <c r="I1632" s="10" t="s">
        <v>66</v>
      </c>
      <c r="J1632" s="10" t="s">
        <v>19</v>
      </c>
      <c r="K1632" s="10" t="s">
        <v>19</v>
      </c>
      <c r="L1632" s="10" t="s">
        <v>19</v>
      </c>
      <c r="M1632" s="12"/>
      <c r="N1632" s="10" t="s">
        <v>20</v>
      </c>
      <c r="O1632" s="10" t="s">
        <v>2054</v>
      </c>
      <c r="P1632" s="25" t="str">
        <f>IFERROR(
IF(OR(O1632="anulado",O1632="stand by"),CONCATENATE(O1632,": ",H1632),
IF(OR(YEAR(M1632)=2022,YEAR(M1632)=2023),CONCATENATE("Se activó en ",YEAR(M1632)),
IF(AND(OR(O1632="En proceso",O1632="facturando"),AND(J1632="-",M1632="")),"Por revisar",
IF(M1632="",IF(J1632="NUEVAS",CONCATENATE("Estado: ",O1632,", ",J1632),
IF(L1632=Meses!$A$3,"Por revisar",
IF(H1632="","Sin registro","En programación Frcst."))),"En programación")))),
"Error")</f>
        <v>Por revisar</v>
      </c>
      <c r="Q1632" s="9" t="str">
        <f t="shared" si="75"/>
        <v>programación de act. NO, estado: Facturando, Comercializador: DICEL, Etapa:  Activo Pendiente Instalación</v>
      </c>
      <c r="R1632" s="25" t="str">
        <f>IF(P1632="En programación Frcst.",VLOOKUP(L1632,Meses!$A$1:$H$14,3+HLOOKUP(Cronograma!J1632,Meses!$D$1:$G$2,2,FALSE),FALSE),
IF(P1632="En programación",M1632,""))</f>
        <v/>
      </c>
      <c r="S1632" s="25" t="str">
        <f t="shared" si="77"/>
        <v/>
      </c>
      <c r="T1632" s="21" t="str">
        <f>IFERROR(
(VLOOKUP(MONTH(R1632),Meses!$B$3:$C$14,2,FALSE)-DAY(R1632))/VLOOKUP(MONTH(R1632),Meses!$B$3:$C$14,2,FALSE)*U1632,
"")</f>
        <v/>
      </c>
      <c r="U1632" s="22">
        <f t="shared" si="76"/>
        <v>0</v>
      </c>
    </row>
    <row r="1633" spans="1:21" ht="47.4" hidden="1" thickBot="1" x14ac:dyDescent="0.6">
      <c r="A1633" s="10" t="s">
        <v>2072</v>
      </c>
      <c r="B1633" s="10" t="s">
        <v>2073</v>
      </c>
      <c r="C1633" s="12">
        <v>45029</v>
      </c>
      <c r="D1633" s="10" t="s">
        <v>323</v>
      </c>
      <c r="E1633" s="10" t="s">
        <v>14</v>
      </c>
      <c r="F1633" s="10">
        <v>8033</v>
      </c>
      <c r="G1633" s="10" t="s">
        <v>15</v>
      </c>
      <c r="H1633" s="10" t="s">
        <v>17</v>
      </c>
      <c r="I1633" s="10" t="s">
        <v>66</v>
      </c>
      <c r="J1633" s="10" t="s">
        <v>19</v>
      </c>
      <c r="K1633" s="10" t="s">
        <v>19</v>
      </c>
      <c r="L1633" s="10" t="s">
        <v>19</v>
      </c>
      <c r="M1633" s="12"/>
      <c r="N1633" s="10" t="s">
        <v>20</v>
      </c>
      <c r="O1633" s="10" t="s">
        <v>2054</v>
      </c>
      <c r="P1633" s="25" t="str">
        <f>IFERROR(
IF(OR(O1633="anulado",O1633="stand by"),CONCATENATE(O1633,": ",H1633),
IF(OR(YEAR(M1633)=2022,YEAR(M1633)=2023),CONCATENATE("Se activó en ",YEAR(M1633)),
IF(AND(OR(O1633="En proceso",O1633="facturando"),AND(J1633="-",M1633="")),"Por revisar",
IF(M1633="",IF(J1633="NUEVAS",CONCATENATE("Estado: ",O1633,", ",J1633),
IF(L1633=Meses!$A$3,"Por revisar",
IF(H1633="","Sin registro","En programación Frcst."))),"En programación")))),
"Error")</f>
        <v>Por revisar</v>
      </c>
      <c r="Q1633" s="9" t="str">
        <f t="shared" si="75"/>
        <v>programación de act. NO, estado: Facturando, Comercializador: DICEL, Etapa: Instalado y Activado</v>
      </c>
      <c r="R1633" s="25" t="str">
        <f>IF(P1633="En programación Frcst.",VLOOKUP(L1633,Meses!$A$1:$H$14,3+HLOOKUP(Cronograma!J1633,Meses!$D$1:$G$2,2,FALSE),FALSE),
IF(P1633="En programación",M1633,""))</f>
        <v/>
      </c>
      <c r="S1633" s="25" t="str">
        <f t="shared" si="77"/>
        <v/>
      </c>
      <c r="T1633" s="21" t="str">
        <f>IFERROR(
(VLOOKUP(MONTH(R1633),Meses!$B$3:$C$14,2,FALSE)-DAY(R1633))/VLOOKUP(MONTH(R1633),Meses!$B$3:$C$14,2,FALSE)*U1633,
"")</f>
        <v/>
      </c>
      <c r="U1633" s="22">
        <f t="shared" si="76"/>
        <v>8033</v>
      </c>
    </row>
    <row r="1634" spans="1:21" ht="63" hidden="1" thickBot="1" x14ac:dyDescent="0.6">
      <c r="A1634" s="10" t="s">
        <v>2075</v>
      </c>
      <c r="B1634" s="10" t="s">
        <v>2076</v>
      </c>
      <c r="C1634" s="12">
        <v>45029</v>
      </c>
      <c r="D1634" s="10" t="s">
        <v>323</v>
      </c>
      <c r="E1634" s="10" t="s">
        <v>23</v>
      </c>
      <c r="F1634" s="10">
        <v>4344</v>
      </c>
      <c r="G1634" s="10" t="s">
        <v>15</v>
      </c>
      <c r="H1634" s="10" t="s">
        <v>17</v>
      </c>
      <c r="I1634" s="10" t="s">
        <v>66</v>
      </c>
      <c r="J1634" s="10" t="s">
        <v>19</v>
      </c>
      <c r="K1634" s="10" t="s">
        <v>19</v>
      </c>
      <c r="L1634" s="10" t="s">
        <v>19</v>
      </c>
      <c r="M1634" s="12"/>
      <c r="N1634" s="10" t="s">
        <v>20</v>
      </c>
      <c r="O1634" s="10" t="s">
        <v>2054</v>
      </c>
      <c r="P1634" s="25" t="str">
        <f>IFERROR(
IF(OR(O1634="anulado",O1634="stand by"),CONCATENATE(O1634,": ",H1634),
IF(OR(YEAR(M1634)=2022,YEAR(M1634)=2023),CONCATENATE("Se activó en ",YEAR(M1634)),
IF(AND(OR(O1634="En proceso",O1634="facturando"),AND(J1634="-",M1634="")),"Por revisar",
IF(M1634="",IF(J1634="NUEVAS",CONCATENATE("Estado: ",O1634,", ",J1634),
IF(L1634=Meses!$A$3,"Por revisar",
IF(H1634="","Sin registro","En programación Frcst."))),"En programación")))),
"Error")</f>
        <v>Por revisar</v>
      </c>
      <c r="Q1634" s="9" t="str">
        <f t="shared" si="75"/>
        <v>programación de act. NO, estado: Facturando, Comercializador: DICEL, Etapa: Instalado y Activado</v>
      </c>
      <c r="R1634" s="25" t="str">
        <f>IF(P1634="En programación Frcst.",VLOOKUP(L1634,Meses!$A$1:$H$14,3+HLOOKUP(Cronograma!J1634,Meses!$D$1:$G$2,2,FALSE),FALSE),
IF(P1634="En programación",M1634,""))</f>
        <v/>
      </c>
      <c r="S1634" s="25" t="str">
        <f t="shared" si="77"/>
        <v/>
      </c>
      <c r="T1634" s="21" t="str">
        <f>IFERROR(
(VLOOKUP(MONTH(R1634),Meses!$B$3:$C$14,2,FALSE)-DAY(R1634))/VLOOKUP(MONTH(R1634),Meses!$B$3:$C$14,2,FALSE)*U1634,
"")</f>
        <v/>
      </c>
      <c r="U1634" s="22">
        <f t="shared" si="76"/>
        <v>4344</v>
      </c>
    </row>
    <row r="1635" spans="1:21" ht="32.4" hidden="1" thickBot="1" x14ac:dyDescent="0.6">
      <c r="A1635" s="10" t="s">
        <v>2077</v>
      </c>
      <c r="B1635" s="10" t="s">
        <v>2078</v>
      </c>
      <c r="C1635" s="12">
        <v>45029</v>
      </c>
      <c r="D1635" s="10" t="s">
        <v>323</v>
      </c>
      <c r="E1635" s="10" t="s">
        <v>14</v>
      </c>
      <c r="F1635" s="10">
        <v>19561</v>
      </c>
      <c r="G1635" s="10" t="s">
        <v>15</v>
      </c>
      <c r="H1635" s="10" t="s">
        <v>17</v>
      </c>
      <c r="I1635" s="10" t="s">
        <v>66</v>
      </c>
      <c r="J1635" s="10" t="s">
        <v>19</v>
      </c>
      <c r="K1635" s="10" t="s">
        <v>19</v>
      </c>
      <c r="L1635" s="10" t="s">
        <v>19</v>
      </c>
      <c r="M1635" s="12"/>
      <c r="N1635" s="10" t="s">
        <v>20</v>
      </c>
      <c r="O1635" s="10" t="s">
        <v>2054</v>
      </c>
      <c r="P1635" s="25" t="str">
        <f>IFERROR(
IF(OR(O1635="anulado",O1635="stand by"),CONCATENATE(O1635,": ",H1635),
IF(OR(YEAR(M1635)=2022,YEAR(M1635)=2023),CONCATENATE("Se activó en ",YEAR(M1635)),
IF(AND(OR(O1635="En proceso",O1635="facturando"),AND(J1635="-",M1635="")),"Por revisar",
IF(M1635="",IF(J1635="NUEVAS",CONCATENATE("Estado: ",O1635,", ",J1635),
IF(L1635=Meses!$A$3,"Por revisar",
IF(H1635="","Sin registro","En programación Frcst."))),"En programación")))),
"Error")</f>
        <v>Por revisar</v>
      </c>
      <c r="Q1635" s="9" t="str">
        <f t="shared" si="75"/>
        <v>programación de act. NO, estado: Facturando, Comercializador: DICEL, Etapa: Instalado y Activado</v>
      </c>
      <c r="R1635" s="25" t="str">
        <f>IF(P1635="En programación Frcst.",VLOOKUP(L1635,Meses!$A$1:$H$14,3+HLOOKUP(Cronograma!J1635,Meses!$D$1:$G$2,2,FALSE),FALSE),
IF(P1635="En programación",M1635,""))</f>
        <v/>
      </c>
      <c r="S1635" s="25" t="str">
        <f t="shared" si="77"/>
        <v/>
      </c>
      <c r="T1635" s="21" t="str">
        <f>IFERROR(
(VLOOKUP(MONTH(R1635),Meses!$B$3:$C$14,2,FALSE)-DAY(R1635))/VLOOKUP(MONTH(R1635),Meses!$B$3:$C$14,2,FALSE)*U1635,
"")</f>
        <v/>
      </c>
      <c r="U1635" s="22">
        <f t="shared" si="76"/>
        <v>19561</v>
      </c>
    </row>
    <row r="1636" spans="1:21" ht="47.4" hidden="1" thickBot="1" x14ac:dyDescent="0.6">
      <c r="A1636" s="10" t="s">
        <v>2079</v>
      </c>
      <c r="B1636" s="10" t="s">
        <v>2080</v>
      </c>
      <c r="C1636" s="12">
        <v>45029</v>
      </c>
      <c r="D1636" s="10" t="s">
        <v>323</v>
      </c>
      <c r="E1636" s="10" t="s">
        <v>289</v>
      </c>
      <c r="F1636" s="10">
        <v>5319</v>
      </c>
      <c r="G1636" s="10" t="s">
        <v>15</v>
      </c>
      <c r="H1636" s="10" t="s">
        <v>17</v>
      </c>
      <c r="I1636" s="10" t="s">
        <v>66</v>
      </c>
      <c r="J1636" s="10" t="s">
        <v>143</v>
      </c>
      <c r="K1636" s="10" t="s">
        <v>2895</v>
      </c>
      <c r="L1636" s="10" t="s">
        <v>2292</v>
      </c>
      <c r="M1636" s="12"/>
      <c r="N1636" s="10" t="s">
        <v>20</v>
      </c>
      <c r="O1636" s="10" t="s">
        <v>2054</v>
      </c>
      <c r="P1636" s="25" t="str">
        <f>IFERROR(
IF(OR(O1636="anulado",O1636="stand by"),CONCATENATE(O1636,": ",H1636),
IF(OR(YEAR(M1636)=2022,YEAR(M1636)=2023),CONCATENATE("Se activó en ",YEAR(M1636)),
IF(AND(OR(O1636="En proceso",O1636="facturando"),AND(J1636="-",M1636="")),"Por revisar",
IF(M1636="",IF(J1636="NUEVAS",CONCATENATE("Estado: ",O1636,", ",J1636),
IF(L1636=Meses!$A$3,"Por revisar",
IF(H1636="","Sin registro","En programación Frcst."))),"En programación")))),
"Error")</f>
        <v>En programación Frcst.</v>
      </c>
      <c r="Q1636" s="9" t="str">
        <f t="shared" si="75"/>
        <v/>
      </c>
      <c r="R1636" s="25">
        <f>IF(P1636="En programación Frcst.",VLOOKUP(L1636,Meses!$A$1:$H$14,3+HLOOKUP(Cronograma!J1636,Meses!$D$1:$G$2,2,FALSE),FALSE),
IF(P1636="En programación",M1636,""))</f>
        <v>45393</v>
      </c>
      <c r="S1636" s="25" t="str">
        <f t="shared" si="77"/>
        <v>2024/4</v>
      </c>
      <c r="T1636" s="21">
        <f>IFERROR(
(VLOOKUP(MONTH(R1636),Meses!$B$3:$C$14,2,FALSE)-DAY(R1636))/VLOOKUP(MONTH(R1636),Meses!$B$3:$C$14,2,FALSE)*U1636,
"")</f>
        <v>3368.7</v>
      </c>
      <c r="U1636" s="22">
        <f t="shared" si="76"/>
        <v>5319</v>
      </c>
    </row>
    <row r="1637" spans="1:21" ht="47.4" hidden="1" thickBot="1" x14ac:dyDescent="0.6">
      <c r="A1637" s="10" t="s">
        <v>2081</v>
      </c>
      <c r="B1637" s="10" t="s">
        <v>2082</v>
      </c>
      <c r="C1637" s="12">
        <v>45029</v>
      </c>
      <c r="D1637" s="10" t="s">
        <v>323</v>
      </c>
      <c r="E1637" s="10" t="s">
        <v>289</v>
      </c>
      <c r="F1637" s="10">
        <v>58814</v>
      </c>
      <c r="G1637" s="10" t="s">
        <v>15</v>
      </c>
      <c r="H1637" s="10" t="s">
        <v>17</v>
      </c>
      <c r="I1637" s="10" t="s">
        <v>66</v>
      </c>
      <c r="J1637" s="10" t="s">
        <v>19</v>
      </c>
      <c r="K1637" s="10" t="s">
        <v>19</v>
      </c>
      <c r="L1637" s="10" t="s">
        <v>19</v>
      </c>
      <c r="M1637" s="12"/>
      <c r="N1637" s="10" t="s">
        <v>20</v>
      </c>
      <c r="O1637" s="10" t="s">
        <v>2054</v>
      </c>
      <c r="P1637" s="25" t="str">
        <f>IFERROR(
IF(OR(O1637="anulado",O1637="stand by"),CONCATENATE(O1637,": ",H1637),
IF(OR(YEAR(M1637)=2022,YEAR(M1637)=2023),CONCATENATE("Se activó en ",YEAR(M1637)),
IF(AND(OR(O1637="En proceso",O1637="facturando"),AND(J1637="-",M1637="")),"Por revisar",
IF(M1637="",IF(J1637="NUEVAS",CONCATENATE("Estado: ",O1637,", ",J1637),
IF(L1637=Meses!$A$3,"Por revisar",
IF(H1637="","Sin registro","En programación Frcst."))),"En programación")))),
"Error")</f>
        <v>Por revisar</v>
      </c>
      <c r="Q1637" s="9" t="str">
        <f t="shared" si="75"/>
        <v>programación de act. NO, estado: Facturando, Comercializador: DICEL, Etapa: Instalado y Activado</v>
      </c>
      <c r="R1637" s="25" t="str">
        <f>IF(P1637="En programación Frcst.",VLOOKUP(L1637,Meses!$A$1:$H$14,3+HLOOKUP(Cronograma!J1637,Meses!$D$1:$G$2,2,FALSE),FALSE),
IF(P1637="En programación",M1637,""))</f>
        <v/>
      </c>
      <c r="S1637" s="25" t="str">
        <f t="shared" si="77"/>
        <v/>
      </c>
      <c r="T1637" s="21" t="str">
        <f>IFERROR(
(VLOOKUP(MONTH(R1637),Meses!$B$3:$C$14,2,FALSE)-DAY(R1637))/VLOOKUP(MONTH(R1637),Meses!$B$3:$C$14,2,FALSE)*U1637,
"")</f>
        <v/>
      </c>
      <c r="U1637" s="22">
        <f t="shared" si="76"/>
        <v>58814</v>
      </c>
    </row>
    <row r="1638" spans="1:21" ht="31.8" hidden="1" thickBot="1" x14ac:dyDescent="0.6">
      <c r="A1638" s="10" t="s">
        <v>2083</v>
      </c>
      <c r="B1638" s="10" t="s">
        <v>2084</v>
      </c>
      <c r="C1638" s="12">
        <v>45029</v>
      </c>
      <c r="D1638" s="10" t="s">
        <v>323</v>
      </c>
      <c r="E1638" s="10" t="s">
        <v>289</v>
      </c>
      <c r="F1638" s="10">
        <v>6498</v>
      </c>
      <c r="G1638" s="10" t="s">
        <v>15</v>
      </c>
      <c r="H1638" s="10" t="s">
        <v>2406</v>
      </c>
      <c r="I1638" s="10" t="s">
        <v>66</v>
      </c>
      <c r="J1638" s="10" t="s">
        <v>143</v>
      </c>
      <c r="K1638" s="10" t="s">
        <v>2895</v>
      </c>
      <c r="L1638" s="10" t="s">
        <v>2292</v>
      </c>
      <c r="M1638" s="12"/>
      <c r="N1638" s="10" t="s">
        <v>20</v>
      </c>
      <c r="O1638" s="10" t="s">
        <v>2054</v>
      </c>
      <c r="P1638" s="25" t="str">
        <f>IFERROR(
IF(OR(O1638="anulado",O1638="stand by"),CONCATENATE(O1638,": ",H1638),
IF(OR(YEAR(M1638)=2022,YEAR(M1638)=2023),CONCATENATE("Se activó en ",YEAR(M1638)),
IF(AND(OR(O1638="En proceso",O1638="facturando"),AND(J1638="-",M1638="")),"Por revisar",
IF(M1638="",IF(J1638="NUEVAS",CONCATENATE("Estado: ",O1638,", ",J1638),
IF(L1638=Meses!$A$3,"Por revisar",
IF(H1638="","Sin registro","En programación Frcst."))),"En programación")))),
"Error")</f>
        <v>En programación Frcst.</v>
      </c>
      <c r="Q1638" s="9" t="str">
        <f t="shared" si="75"/>
        <v/>
      </c>
      <c r="R1638" s="25">
        <f>IF(P1638="En programación Frcst.",VLOOKUP(L1638,Meses!$A$1:$H$14,3+HLOOKUP(Cronograma!J1638,Meses!$D$1:$G$2,2,FALSE),FALSE),
IF(P1638="En programación",M1638,""))</f>
        <v>45393</v>
      </c>
      <c r="S1638" s="25" t="str">
        <f t="shared" si="77"/>
        <v>2024/4</v>
      </c>
      <c r="T1638" s="21">
        <f>IFERROR(
(VLOOKUP(MONTH(R1638),Meses!$B$3:$C$14,2,FALSE)-DAY(R1638))/VLOOKUP(MONTH(R1638),Meses!$B$3:$C$14,2,FALSE)*U1638,
"")</f>
        <v>4115.3999999999996</v>
      </c>
      <c r="U1638" s="22">
        <f t="shared" si="76"/>
        <v>6498</v>
      </c>
    </row>
    <row r="1639" spans="1:21" ht="31.8" hidden="1" thickBot="1" x14ac:dyDescent="0.6">
      <c r="A1639" s="10" t="s">
        <v>2085</v>
      </c>
      <c r="B1639" s="10" t="s">
        <v>2086</v>
      </c>
      <c r="C1639" s="12">
        <v>45029</v>
      </c>
      <c r="D1639" s="10" t="s">
        <v>323</v>
      </c>
      <c r="E1639" s="10" t="s">
        <v>14</v>
      </c>
      <c r="F1639" s="10">
        <v>7884</v>
      </c>
      <c r="G1639" s="10" t="s">
        <v>15</v>
      </c>
      <c r="H1639" s="10" t="s">
        <v>2406</v>
      </c>
      <c r="I1639" s="10" t="s">
        <v>66</v>
      </c>
      <c r="J1639" s="10" t="s">
        <v>143</v>
      </c>
      <c r="K1639" s="10" t="s">
        <v>2895</v>
      </c>
      <c r="L1639" s="10" t="s">
        <v>2292</v>
      </c>
      <c r="M1639" s="12"/>
      <c r="N1639" s="10" t="s">
        <v>20</v>
      </c>
      <c r="O1639" s="10" t="s">
        <v>2054</v>
      </c>
      <c r="P1639" s="25" t="str">
        <f>IFERROR(
IF(OR(O1639="anulado",O1639="stand by"),CONCATENATE(O1639,": ",H1639),
IF(OR(YEAR(M1639)=2022,YEAR(M1639)=2023),CONCATENATE("Se activó en ",YEAR(M1639)),
IF(AND(OR(O1639="En proceso",O1639="facturando"),AND(J1639="-",M1639="")),"Por revisar",
IF(M1639="",IF(J1639="NUEVAS",CONCATENATE("Estado: ",O1639,", ",J1639),
IF(L1639=Meses!$A$3,"Por revisar",
IF(H1639="","Sin registro","En programación Frcst."))),"En programación")))),
"Error")</f>
        <v>En programación Frcst.</v>
      </c>
      <c r="Q1639" s="9" t="str">
        <f t="shared" si="75"/>
        <v/>
      </c>
      <c r="R1639" s="25">
        <f>IF(P1639="En programación Frcst.",VLOOKUP(L1639,Meses!$A$1:$H$14,3+HLOOKUP(Cronograma!J1639,Meses!$D$1:$G$2,2,FALSE),FALSE),
IF(P1639="En programación",M1639,""))</f>
        <v>45393</v>
      </c>
      <c r="S1639" s="25" t="str">
        <f t="shared" si="77"/>
        <v>2024/4</v>
      </c>
      <c r="T1639" s="21">
        <f>IFERROR(
(VLOOKUP(MONTH(R1639),Meses!$B$3:$C$14,2,FALSE)-DAY(R1639))/VLOOKUP(MONTH(R1639),Meses!$B$3:$C$14,2,FALSE)*U1639,
"")</f>
        <v>4993.2</v>
      </c>
      <c r="U1639" s="22">
        <f t="shared" si="76"/>
        <v>7884</v>
      </c>
    </row>
    <row r="1640" spans="1:21" ht="32.4" hidden="1" thickBot="1" x14ac:dyDescent="0.6">
      <c r="A1640" s="10" t="s">
        <v>2087</v>
      </c>
      <c r="B1640" s="10" t="s">
        <v>2088</v>
      </c>
      <c r="C1640" s="12">
        <v>45029</v>
      </c>
      <c r="D1640" s="10" t="s">
        <v>323</v>
      </c>
      <c r="E1640" s="10" t="s">
        <v>14</v>
      </c>
      <c r="F1640" s="10">
        <v>13058</v>
      </c>
      <c r="G1640" s="10" t="s">
        <v>15</v>
      </c>
      <c r="H1640" s="10" t="s">
        <v>17</v>
      </c>
      <c r="I1640" s="10" t="s">
        <v>66</v>
      </c>
      <c r="J1640" s="10" t="s">
        <v>19</v>
      </c>
      <c r="K1640" s="10" t="s">
        <v>19</v>
      </c>
      <c r="L1640" s="10" t="s">
        <v>19</v>
      </c>
      <c r="M1640" s="12"/>
      <c r="N1640" s="10" t="s">
        <v>20</v>
      </c>
      <c r="O1640" s="10" t="s">
        <v>2054</v>
      </c>
      <c r="P1640" s="25" t="str">
        <f>IFERROR(
IF(OR(O1640="anulado",O1640="stand by"),CONCATENATE(O1640,": ",H1640),
IF(OR(YEAR(M1640)=2022,YEAR(M1640)=2023),CONCATENATE("Se activó en ",YEAR(M1640)),
IF(AND(OR(O1640="En proceso",O1640="facturando"),AND(J1640="-",M1640="")),"Por revisar",
IF(M1640="",IF(J1640="NUEVAS",CONCATENATE("Estado: ",O1640,", ",J1640),
IF(L1640=Meses!$A$3,"Por revisar",
IF(H1640="","Sin registro","En programación Frcst."))),"En programación")))),
"Error")</f>
        <v>Por revisar</v>
      </c>
      <c r="Q1640" s="9" t="str">
        <f t="shared" si="75"/>
        <v>programación de act. NO, estado: Facturando, Comercializador: DICEL, Etapa: Instalado y Activado</v>
      </c>
      <c r="R1640" s="25" t="str">
        <f>IF(P1640="En programación Frcst.",VLOOKUP(L1640,Meses!$A$1:$H$14,3+HLOOKUP(Cronograma!J1640,Meses!$D$1:$G$2,2,FALSE),FALSE),
IF(P1640="En programación",M1640,""))</f>
        <v/>
      </c>
      <c r="S1640" s="25" t="str">
        <f t="shared" si="77"/>
        <v/>
      </c>
      <c r="T1640" s="21" t="str">
        <f>IFERROR(
(VLOOKUP(MONTH(R1640),Meses!$B$3:$C$14,2,FALSE)-DAY(R1640))/VLOOKUP(MONTH(R1640),Meses!$B$3:$C$14,2,FALSE)*U1640,
"")</f>
        <v/>
      </c>
      <c r="U1640" s="22">
        <f t="shared" si="76"/>
        <v>13058</v>
      </c>
    </row>
    <row r="1641" spans="1:21" ht="32.4" hidden="1" thickBot="1" x14ac:dyDescent="0.6">
      <c r="A1641" s="10" t="s">
        <v>2087</v>
      </c>
      <c r="B1641" s="10" t="s">
        <v>2089</v>
      </c>
      <c r="C1641" s="12">
        <v>45029</v>
      </c>
      <c r="D1641" s="10" t="s">
        <v>323</v>
      </c>
      <c r="E1641" s="10" t="s">
        <v>14</v>
      </c>
      <c r="F1641" s="10">
        <v>13583</v>
      </c>
      <c r="G1641" s="10" t="s">
        <v>15</v>
      </c>
      <c r="H1641" s="10" t="s">
        <v>17</v>
      </c>
      <c r="I1641" s="10" t="s">
        <v>66</v>
      </c>
      <c r="J1641" s="10" t="s">
        <v>19</v>
      </c>
      <c r="K1641" s="10" t="s">
        <v>19</v>
      </c>
      <c r="L1641" s="10" t="s">
        <v>19</v>
      </c>
      <c r="M1641" s="12"/>
      <c r="N1641" s="10" t="s">
        <v>20</v>
      </c>
      <c r="O1641" s="10" t="s">
        <v>2054</v>
      </c>
      <c r="P1641" s="25" t="str">
        <f>IFERROR(
IF(OR(O1641="anulado",O1641="stand by"),CONCATENATE(O1641,": ",H1641),
IF(OR(YEAR(M1641)=2022,YEAR(M1641)=2023),CONCATENATE("Se activó en ",YEAR(M1641)),
IF(AND(OR(O1641="En proceso",O1641="facturando"),AND(J1641="-",M1641="")),"Por revisar",
IF(M1641="",IF(J1641="NUEVAS",CONCATENATE("Estado: ",O1641,", ",J1641),
IF(L1641=Meses!$A$3,"Por revisar",
IF(H1641="","Sin registro","En programación Frcst."))),"En programación")))),
"Error")</f>
        <v>Por revisar</v>
      </c>
      <c r="Q1641" s="9" t="str">
        <f t="shared" si="75"/>
        <v>programación de act. NO, estado: Facturando, Comercializador: DICEL, Etapa: Instalado y Activado</v>
      </c>
      <c r="R1641" s="25" t="str">
        <f>IF(P1641="En programación Frcst.",VLOOKUP(L1641,Meses!$A$1:$H$14,3+HLOOKUP(Cronograma!J1641,Meses!$D$1:$G$2,2,FALSE),FALSE),
IF(P1641="En programación",M1641,""))</f>
        <v/>
      </c>
      <c r="S1641" s="25" t="str">
        <f t="shared" si="77"/>
        <v/>
      </c>
      <c r="T1641" s="21" t="str">
        <f>IFERROR(
(VLOOKUP(MONTH(R1641),Meses!$B$3:$C$14,2,FALSE)-DAY(R1641))/VLOOKUP(MONTH(R1641),Meses!$B$3:$C$14,2,FALSE)*U1641,
"")</f>
        <v/>
      </c>
      <c r="U1641" s="22">
        <f t="shared" si="76"/>
        <v>13583</v>
      </c>
    </row>
    <row r="1642" spans="1:21" ht="31.8" hidden="1" thickBot="1" x14ac:dyDescent="0.6">
      <c r="A1642" s="10" t="s">
        <v>2090</v>
      </c>
      <c r="B1642" s="10" t="s">
        <v>2091</v>
      </c>
      <c r="C1642" s="12">
        <v>45029</v>
      </c>
      <c r="D1642" s="10" t="s">
        <v>323</v>
      </c>
      <c r="E1642" s="10" t="s">
        <v>291</v>
      </c>
      <c r="F1642" s="10"/>
      <c r="G1642" s="10" t="s">
        <v>15</v>
      </c>
      <c r="H1642" s="10" t="s">
        <v>2406</v>
      </c>
      <c r="I1642" s="10" t="s">
        <v>66</v>
      </c>
      <c r="J1642" s="10" t="s">
        <v>143</v>
      </c>
      <c r="K1642" s="10" t="s">
        <v>2895</v>
      </c>
      <c r="L1642" s="10" t="s">
        <v>2292</v>
      </c>
      <c r="M1642" s="12"/>
      <c r="N1642" s="10" t="s">
        <v>20</v>
      </c>
      <c r="O1642" s="10" t="s">
        <v>2054</v>
      </c>
      <c r="P1642" s="25" t="str">
        <f>IFERROR(
IF(OR(O1642="anulado",O1642="stand by"),CONCATENATE(O1642,": ",H1642),
IF(OR(YEAR(M1642)=2022,YEAR(M1642)=2023),CONCATENATE("Se activó en ",YEAR(M1642)),
IF(AND(OR(O1642="En proceso",O1642="facturando"),AND(J1642="-",M1642="")),"Por revisar",
IF(M1642="",IF(J1642="NUEVAS",CONCATENATE("Estado: ",O1642,", ",J1642),
IF(L1642=Meses!$A$3,"Por revisar",
IF(H1642="","Sin registro","En programación Frcst."))),"En programación")))),
"Error")</f>
        <v>En programación Frcst.</v>
      </c>
      <c r="Q1642" s="9" t="str">
        <f t="shared" si="75"/>
        <v/>
      </c>
      <c r="R1642" s="25">
        <f>IF(P1642="En programación Frcst.",VLOOKUP(L1642,Meses!$A$1:$H$14,3+HLOOKUP(Cronograma!J1642,Meses!$D$1:$G$2,2,FALSE),FALSE),
IF(P1642="En programación",M1642,""))</f>
        <v>45393</v>
      </c>
      <c r="S1642" s="25" t="str">
        <f t="shared" si="77"/>
        <v>2024/4</v>
      </c>
      <c r="T1642" s="21">
        <f>IFERROR(
(VLOOKUP(MONTH(R1642),Meses!$B$3:$C$14,2,FALSE)-DAY(R1642))/VLOOKUP(MONTH(R1642),Meses!$B$3:$C$14,2,FALSE)*U1642,
"")</f>
        <v>0</v>
      </c>
      <c r="U1642" s="22">
        <f t="shared" si="76"/>
        <v>0</v>
      </c>
    </row>
    <row r="1643" spans="1:21" ht="32.4" hidden="1" thickBot="1" x14ac:dyDescent="0.6">
      <c r="A1643" s="10" t="s">
        <v>2092</v>
      </c>
      <c r="B1643" s="10" t="s">
        <v>2093</v>
      </c>
      <c r="C1643" s="12">
        <v>45029</v>
      </c>
      <c r="D1643" s="10" t="s">
        <v>323</v>
      </c>
      <c r="E1643" s="10" t="s">
        <v>289</v>
      </c>
      <c r="F1643" s="10">
        <v>6909</v>
      </c>
      <c r="G1643" s="10" t="s">
        <v>15</v>
      </c>
      <c r="H1643" s="10" t="s">
        <v>17</v>
      </c>
      <c r="I1643" s="10" t="s">
        <v>66</v>
      </c>
      <c r="J1643" s="10" t="s">
        <v>19</v>
      </c>
      <c r="K1643" s="10" t="s">
        <v>19</v>
      </c>
      <c r="L1643" s="10" t="s">
        <v>19</v>
      </c>
      <c r="M1643" s="12"/>
      <c r="N1643" s="10" t="s">
        <v>20</v>
      </c>
      <c r="O1643" s="10" t="s">
        <v>2054</v>
      </c>
      <c r="P1643" s="25" t="str">
        <f>IFERROR(
IF(OR(O1643="anulado",O1643="stand by"),CONCATENATE(O1643,": ",H1643),
IF(OR(YEAR(M1643)=2022,YEAR(M1643)=2023),CONCATENATE("Se activó en ",YEAR(M1643)),
IF(AND(OR(O1643="En proceso",O1643="facturando"),AND(J1643="-",M1643="")),"Por revisar",
IF(M1643="",IF(J1643="NUEVAS",CONCATENATE("Estado: ",O1643,", ",J1643),
IF(L1643=Meses!$A$3,"Por revisar",
IF(H1643="","Sin registro","En programación Frcst."))),"En programación")))),
"Error")</f>
        <v>Por revisar</v>
      </c>
      <c r="Q1643" s="9" t="str">
        <f t="shared" si="75"/>
        <v>programación de act. NO, estado: Facturando, Comercializador: DICEL, Etapa: Instalado y Activado</v>
      </c>
      <c r="R1643" s="25" t="str">
        <f>IF(P1643="En programación Frcst.",VLOOKUP(L1643,Meses!$A$1:$H$14,3+HLOOKUP(Cronograma!J1643,Meses!$D$1:$G$2,2,FALSE),FALSE),
IF(P1643="En programación",M1643,""))</f>
        <v/>
      </c>
      <c r="S1643" s="25" t="str">
        <f t="shared" si="77"/>
        <v/>
      </c>
      <c r="T1643" s="21" t="str">
        <f>IFERROR(
(VLOOKUP(MONTH(R1643),Meses!$B$3:$C$14,2,FALSE)-DAY(R1643))/VLOOKUP(MONTH(R1643),Meses!$B$3:$C$14,2,FALSE)*U1643,
"")</f>
        <v/>
      </c>
      <c r="U1643" s="22">
        <f t="shared" si="76"/>
        <v>6909</v>
      </c>
    </row>
    <row r="1644" spans="1:21" ht="32.4" hidden="1" thickBot="1" x14ac:dyDescent="0.6">
      <c r="A1644" s="10" t="s">
        <v>2094</v>
      </c>
      <c r="B1644" s="10" t="s">
        <v>2095</v>
      </c>
      <c r="C1644" s="12">
        <v>45029</v>
      </c>
      <c r="D1644" s="10" t="s">
        <v>323</v>
      </c>
      <c r="E1644" s="10" t="s">
        <v>14</v>
      </c>
      <c r="F1644" s="10">
        <v>9587</v>
      </c>
      <c r="G1644" s="10" t="s">
        <v>15</v>
      </c>
      <c r="H1644" s="10" t="s">
        <v>17</v>
      </c>
      <c r="I1644" s="10" t="s">
        <v>66</v>
      </c>
      <c r="J1644" s="10" t="s">
        <v>19</v>
      </c>
      <c r="K1644" s="10" t="s">
        <v>19</v>
      </c>
      <c r="L1644" s="10" t="s">
        <v>19</v>
      </c>
      <c r="M1644" s="12"/>
      <c r="N1644" s="10" t="s">
        <v>20</v>
      </c>
      <c r="O1644" s="10" t="s">
        <v>2054</v>
      </c>
      <c r="P1644" s="25" t="str">
        <f>IFERROR(
IF(OR(O1644="anulado",O1644="stand by"),CONCATENATE(O1644,": ",H1644),
IF(OR(YEAR(M1644)=2022,YEAR(M1644)=2023),CONCATENATE("Se activó en ",YEAR(M1644)),
IF(AND(OR(O1644="En proceso",O1644="facturando"),AND(J1644="-",M1644="")),"Por revisar",
IF(M1644="",IF(J1644="NUEVAS",CONCATENATE("Estado: ",O1644,", ",J1644),
IF(L1644=Meses!$A$3,"Por revisar",
IF(H1644="","Sin registro","En programación Frcst."))),"En programación")))),
"Error")</f>
        <v>Por revisar</v>
      </c>
      <c r="Q1644" s="9" t="str">
        <f t="shared" si="75"/>
        <v>programación de act. NO, estado: Facturando, Comercializador: DICEL, Etapa: Instalado y Activado</v>
      </c>
      <c r="R1644" s="25" t="str">
        <f>IF(P1644="En programación Frcst.",VLOOKUP(L1644,Meses!$A$1:$H$14,3+HLOOKUP(Cronograma!J1644,Meses!$D$1:$G$2,2,FALSE),FALSE),
IF(P1644="En programación",M1644,""))</f>
        <v/>
      </c>
      <c r="S1644" s="25" t="str">
        <f t="shared" si="77"/>
        <v/>
      </c>
      <c r="T1644" s="21" t="str">
        <f>IFERROR(
(VLOOKUP(MONTH(R1644),Meses!$B$3:$C$14,2,FALSE)-DAY(R1644))/VLOOKUP(MONTH(R1644),Meses!$B$3:$C$14,2,FALSE)*U1644,
"")</f>
        <v/>
      </c>
      <c r="U1644" s="22">
        <f t="shared" si="76"/>
        <v>9587</v>
      </c>
    </row>
    <row r="1645" spans="1:21" ht="32.4" hidden="1" thickBot="1" x14ac:dyDescent="0.6">
      <c r="A1645" s="10" t="s">
        <v>2096</v>
      </c>
      <c r="B1645" s="10" t="s">
        <v>2097</v>
      </c>
      <c r="C1645" s="12">
        <v>45029</v>
      </c>
      <c r="D1645" s="10" t="s">
        <v>323</v>
      </c>
      <c r="E1645" s="10" t="s">
        <v>14</v>
      </c>
      <c r="F1645" s="10">
        <v>35</v>
      </c>
      <c r="G1645" s="10" t="s">
        <v>15</v>
      </c>
      <c r="H1645" s="10" t="s">
        <v>17</v>
      </c>
      <c r="I1645" s="10" t="s">
        <v>66</v>
      </c>
      <c r="J1645" s="10" t="s">
        <v>19</v>
      </c>
      <c r="K1645" s="10" t="s">
        <v>19</v>
      </c>
      <c r="L1645" s="10" t="s">
        <v>19</v>
      </c>
      <c r="M1645" s="12"/>
      <c r="N1645" s="10" t="s">
        <v>20</v>
      </c>
      <c r="O1645" s="10" t="s">
        <v>2054</v>
      </c>
      <c r="P1645" s="25" t="str">
        <f>IFERROR(
IF(OR(O1645="anulado",O1645="stand by"),CONCATENATE(O1645,": ",H1645),
IF(OR(YEAR(M1645)=2022,YEAR(M1645)=2023),CONCATENATE("Se activó en ",YEAR(M1645)),
IF(AND(OR(O1645="En proceso",O1645="facturando"),AND(J1645="-",M1645="")),"Por revisar",
IF(M1645="",IF(J1645="NUEVAS",CONCATENATE("Estado: ",O1645,", ",J1645),
IF(L1645=Meses!$A$3,"Por revisar",
IF(H1645="","Sin registro","En programación Frcst."))),"En programación")))),
"Error")</f>
        <v>Por revisar</v>
      </c>
      <c r="Q1645" s="9" t="str">
        <f t="shared" si="75"/>
        <v>programación de act. NO, estado: Facturando, Comercializador: DICEL, Etapa: Instalado y Activado</v>
      </c>
      <c r="R1645" s="25" t="str">
        <f>IF(P1645="En programación Frcst.",VLOOKUP(L1645,Meses!$A$1:$H$14,3+HLOOKUP(Cronograma!J1645,Meses!$D$1:$G$2,2,FALSE),FALSE),
IF(P1645="En programación",M1645,""))</f>
        <v/>
      </c>
      <c r="S1645" s="25" t="str">
        <f t="shared" si="77"/>
        <v/>
      </c>
      <c r="T1645" s="21" t="str">
        <f>IFERROR(
(VLOOKUP(MONTH(R1645),Meses!$B$3:$C$14,2,FALSE)-DAY(R1645))/VLOOKUP(MONTH(R1645),Meses!$B$3:$C$14,2,FALSE)*U1645,
"")</f>
        <v/>
      </c>
      <c r="U1645" s="22">
        <f t="shared" si="76"/>
        <v>35</v>
      </c>
    </row>
    <row r="1646" spans="1:21" ht="32.4" hidden="1" thickBot="1" x14ac:dyDescent="0.6">
      <c r="A1646" s="10" t="s">
        <v>2098</v>
      </c>
      <c r="B1646" s="10" t="s">
        <v>2099</v>
      </c>
      <c r="C1646" s="12">
        <v>45029</v>
      </c>
      <c r="D1646" s="10" t="s">
        <v>323</v>
      </c>
      <c r="E1646" s="10" t="s">
        <v>291</v>
      </c>
      <c r="F1646" s="10">
        <v>5259</v>
      </c>
      <c r="G1646" s="10" t="s">
        <v>15</v>
      </c>
      <c r="H1646" s="10" t="s">
        <v>17</v>
      </c>
      <c r="I1646" s="10" t="s">
        <v>66</v>
      </c>
      <c r="J1646" s="10" t="s">
        <v>19</v>
      </c>
      <c r="K1646" s="10" t="s">
        <v>19</v>
      </c>
      <c r="L1646" s="10" t="s">
        <v>19</v>
      </c>
      <c r="M1646" s="12"/>
      <c r="N1646" s="10" t="s">
        <v>20</v>
      </c>
      <c r="O1646" s="10" t="s">
        <v>2054</v>
      </c>
      <c r="P1646" s="25" t="str">
        <f>IFERROR(
IF(OR(O1646="anulado",O1646="stand by"),CONCATENATE(O1646,": ",H1646),
IF(OR(YEAR(M1646)=2022,YEAR(M1646)=2023),CONCATENATE("Se activó en ",YEAR(M1646)),
IF(AND(OR(O1646="En proceso",O1646="facturando"),AND(J1646="-",M1646="")),"Por revisar",
IF(M1646="",IF(J1646="NUEVAS",CONCATENATE("Estado: ",O1646,", ",J1646),
IF(L1646=Meses!$A$3,"Por revisar",
IF(H1646="","Sin registro","En programación Frcst."))),"En programación")))),
"Error")</f>
        <v>Por revisar</v>
      </c>
      <c r="Q1646" s="9" t="str">
        <f t="shared" si="75"/>
        <v>programación de act. NO, estado: Facturando, Comercializador: DICEL, Etapa: Instalado y Activado</v>
      </c>
      <c r="R1646" s="25" t="str">
        <f>IF(P1646="En programación Frcst.",VLOOKUP(L1646,Meses!$A$1:$H$14,3+HLOOKUP(Cronograma!J1646,Meses!$D$1:$G$2,2,FALSE),FALSE),
IF(P1646="En programación",M1646,""))</f>
        <v/>
      </c>
      <c r="S1646" s="25" t="str">
        <f t="shared" si="77"/>
        <v/>
      </c>
      <c r="T1646" s="21" t="str">
        <f>IFERROR(
(VLOOKUP(MONTH(R1646),Meses!$B$3:$C$14,2,FALSE)-DAY(R1646))/VLOOKUP(MONTH(R1646),Meses!$B$3:$C$14,2,FALSE)*U1646,
"")</f>
        <v/>
      </c>
      <c r="U1646" s="22">
        <f t="shared" si="76"/>
        <v>5259</v>
      </c>
    </row>
    <row r="1647" spans="1:21" ht="63" hidden="1" thickBot="1" x14ac:dyDescent="0.6">
      <c r="A1647" s="10" t="s">
        <v>1482</v>
      </c>
      <c r="B1647" s="10" t="s">
        <v>2100</v>
      </c>
      <c r="C1647" s="12">
        <v>45029</v>
      </c>
      <c r="D1647" s="10" t="s">
        <v>323</v>
      </c>
      <c r="E1647" s="10" t="s">
        <v>14</v>
      </c>
      <c r="F1647" s="10">
        <v>1481</v>
      </c>
      <c r="G1647" s="10" t="s">
        <v>15</v>
      </c>
      <c r="H1647" s="10" t="s">
        <v>17</v>
      </c>
      <c r="I1647" s="10" t="s">
        <v>66</v>
      </c>
      <c r="J1647" s="10" t="s">
        <v>19</v>
      </c>
      <c r="K1647" s="10" t="s">
        <v>19</v>
      </c>
      <c r="L1647" s="10" t="s">
        <v>19</v>
      </c>
      <c r="M1647" s="12"/>
      <c r="N1647" s="10" t="s">
        <v>20</v>
      </c>
      <c r="O1647" s="10" t="s">
        <v>2054</v>
      </c>
      <c r="P1647" s="25" t="str">
        <f>IFERROR(
IF(OR(O1647="anulado",O1647="stand by"),CONCATENATE(O1647,": ",H1647),
IF(OR(YEAR(M1647)=2022,YEAR(M1647)=2023),CONCATENATE("Se activó en ",YEAR(M1647)),
IF(AND(OR(O1647="En proceso",O1647="facturando"),AND(J1647="-",M1647="")),"Por revisar",
IF(M1647="",IF(J1647="NUEVAS",CONCATENATE("Estado: ",O1647,", ",J1647),
IF(L1647=Meses!$A$3,"Por revisar",
IF(H1647="","Sin registro","En programación Frcst."))),"En programación")))),
"Error")</f>
        <v>Por revisar</v>
      </c>
      <c r="Q1647" s="9" t="str">
        <f t="shared" si="75"/>
        <v>programación de act. NO, estado: Facturando, Comercializador: DICEL, Etapa: Instalado y Activado</v>
      </c>
      <c r="R1647" s="25" t="str">
        <f>IF(P1647="En programación Frcst.",VLOOKUP(L1647,Meses!$A$1:$H$14,3+HLOOKUP(Cronograma!J1647,Meses!$D$1:$G$2,2,FALSE),FALSE),
IF(P1647="En programación",M1647,""))</f>
        <v/>
      </c>
      <c r="S1647" s="25" t="str">
        <f t="shared" si="77"/>
        <v/>
      </c>
      <c r="T1647" s="21" t="str">
        <f>IFERROR(
(VLOOKUP(MONTH(R1647),Meses!$B$3:$C$14,2,FALSE)-DAY(R1647))/VLOOKUP(MONTH(R1647),Meses!$B$3:$C$14,2,FALSE)*U1647,
"")</f>
        <v/>
      </c>
      <c r="U1647" s="22">
        <f t="shared" si="76"/>
        <v>1481</v>
      </c>
    </row>
    <row r="1648" spans="1:21" ht="63" hidden="1" thickBot="1" x14ac:dyDescent="0.6">
      <c r="A1648" s="10" t="s">
        <v>1482</v>
      </c>
      <c r="B1648" s="10" t="s">
        <v>2101</v>
      </c>
      <c r="C1648" s="12">
        <v>45029</v>
      </c>
      <c r="D1648" s="10" t="s">
        <v>323</v>
      </c>
      <c r="E1648" s="10" t="s">
        <v>14</v>
      </c>
      <c r="F1648" s="10">
        <v>11578</v>
      </c>
      <c r="G1648" s="10" t="s">
        <v>15</v>
      </c>
      <c r="H1648" s="10" t="s">
        <v>17</v>
      </c>
      <c r="I1648" s="10" t="s">
        <v>66</v>
      </c>
      <c r="J1648" s="10" t="s">
        <v>19</v>
      </c>
      <c r="K1648" s="10" t="s">
        <v>19</v>
      </c>
      <c r="L1648" s="10" t="s">
        <v>19</v>
      </c>
      <c r="M1648" s="12"/>
      <c r="N1648" s="10" t="s">
        <v>20</v>
      </c>
      <c r="O1648" s="10" t="s">
        <v>2054</v>
      </c>
      <c r="P1648" s="25" t="str">
        <f>IFERROR(
IF(OR(O1648="anulado",O1648="stand by"),CONCATENATE(O1648,": ",H1648),
IF(OR(YEAR(M1648)=2022,YEAR(M1648)=2023),CONCATENATE("Se activó en ",YEAR(M1648)),
IF(AND(OR(O1648="En proceso",O1648="facturando"),AND(J1648="-",M1648="")),"Por revisar",
IF(M1648="",IF(J1648="NUEVAS",CONCATENATE("Estado: ",O1648,", ",J1648),
IF(L1648=Meses!$A$3,"Por revisar",
IF(H1648="","Sin registro","En programación Frcst."))),"En programación")))),
"Error")</f>
        <v>Por revisar</v>
      </c>
      <c r="Q1648" s="9" t="str">
        <f t="shared" si="75"/>
        <v>programación de act. NO, estado: Facturando, Comercializador: DICEL, Etapa: Instalado y Activado</v>
      </c>
      <c r="R1648" s="25" t="str">
        <f>IF(P1648="En programación Frcst.",VLOOKUP(L1648,Meses!$A$1:$H$14,3+HLOOKUP(Cronograma!J1648,Meses!$D$1:$G$2,2,FALSE),FALSE),
IF(P1648="En programación",M1648,""))</f>
        <v/>
      </c>
      <c r="S1648" s="25" t="str">
        <f t="shared" si="77"/>
        <v/>
      </c>
      <c r="T1648" s="21" t="str">
        <f>IFERROR(
(VLOOKUP(MONTH(R1648),Meses!$B$3:$C$14,2,FALSE)-DAY(R1648))/VLOOKUP(MONTH(R1648),Meses!$B$3:$C$14,2,FALSE)*U1648,
"")</f>
        <v/>
      </c>
      <c r="U1648" s="22">
        <f t="shared" si="76"/>
        <v>11578</v>
      </c>
    </row>
    <row r="1649" spans="1:21" ht="32.4" hidden="1" thickBot="1" x14ac:dyDescent="0.6">
      <c r="A1649" s="10" t="s">
        <v>2102</v>
      </c>
      <c r="B1649" s="10" t="s">
        <v>2103</v>
      </c>
      <c r="C1649" s="12">
        <v>45029</v>
      </c>
      <c r="D1649" s="10" t="s">
        <v>323</v>
      </c>
      <c r="E1649" s="10" t="s">
        <v>14</v>
      </c>
      <c r="F1649" s="10">
        <v>878</v>
      </c>
      <c r="G1649" s="10" t="s">
        <v>15</v>
      </c>
      <c r="H1649" s="10" t="s">
        <v>17</v>
      </c>
      <c r="I1649" s="10" t="s">
        <v>66</v>
      </c>
      <c r="J1649" s="10" t="s">
        <v>19</v>
      </c>
      <c r="K1649" s="10" t="s">
        <v>19</v>
      </c>
      <c r="L1649" s="10" t="s">
        <v>19</v>
      </c>
      <c r="M1649" s="12"/>
      <c r="N1649" s="10" t="s">
        <v>20</v>
      </c>
      <c r="O1649" s="10" t="s">
        <v>2054</v>
      </c>
      <c r="P1649" s="25" t="str">
        <f>IFERROR(
IF(OR(O1649="anulado",O1649="stand by"),CONCATENATE(O1649,": ",H1649),
IF(OR(YEAR(M1649)=2022,YEAR(M1649)=2023),CONCATENATE("Se activó en ",YEAR(M1649)),
IF(AND(OR(O1649="En proceso",O1649="facturando"),AND(J1649="-",M1649="")),"Por revisar",
IF(M1649="",IF(J1649="NUEVAS",CONCATENATE("Estado: ",O1649,", ",J1649),
IF(L1649=Meses!$A$3,"Por revisar",
IF(H1649="","Sin registro","En programación Frcst."))),"En programación")))),
"Error")</f>
        <v>Por revisar</v>
      </c>
      <c r="Q1649" s="9" t="str">
        <f t="shared" si="75"/>
        <v>programación de act. NO, estado: Facturando, Comercializador: DICEL, Etapa: Instalado y Activado</v>
      </c>
      <c r="R1649" s="25" t="str">
        <f>IF(P1649="En programación Frcst.",VLOOKUP(L1649,Meses!$A$1:$H$14,3+HLOOKUP(Cronograma!J1649,Meses!$D$1:$G$2,2,FALSE),FALSE),
IF(P1649="En programación",M1649,""))</f>
        <v/>
      </c>
      <c r="S1649" s="25" t="str">
        <f t="shared" si="77"/>
        <v/>
      </c>
      <c r="T1649" s="21" t="str">
        <f>IFERROR(
(VLOOKUP(MONTH(R1649),Meses!$B$3:$C$14,2,FALSE)-DAY(R1649))/VLOOKUP(MONTH(R1649),Meses!$B$3:$C$14,2,FALSE)*U1649,
"")</f>
        <v/>
      </c>
      <c r="U1649" s="22">
        <f t="shared" si="76"/>
        <v>878</v>
      </c>
    </row>
    <row r="1650" spans="1:21" ht="32.4" hidden="1" thickBot="1" x14ac:dyDescent="0.6">
      <c r="A1650" s="10" t="s">
        <v>2102</v>
      </c>
      <c r="B1650" s="10" t="s">
        <v>2104</v>
      </c>
      <c r="C1650" s="12">
        <v>45029</v>
      </c>
      <c r="D1650" s="10" t="s">
        <v>323</v>
      </c>
      <c r="E1650" s="10" t="s">
        <v>14</v>
      </c>
      <c r="F1650" s="10">
        <v>6235</v>
      </c>
      <c r="G1650" s="10" t="s">
        <v>15</v>
      </c>
      <c r="H1650" s="10" t="s">
        <v>17</v>
      </c>
      <c r="I1650" s="10" t="s">
        <v>66</v>
      </c>
      <c r="J1650" s="10" t="s">
        <v>19</v>
      </c>
      <c r="K1650" s="10" t="s">
        <v>19</v>
      </c>
      <c r="L1650" s="10" t="s">
        <v>19</v>
      </c>
      <c r="M1650" s="12"/>
      <c r="N1650" s="10" t="s">
        <v>20</v>
      </c>
      <c r="O1650" s="10" t="s">
        <v>2054</v>
      </c>
      <c r="P1650" s="25" t="str">
        <f>IFERROR(
IF(OR(O1650="anulado",O1650="stand by"),CONCATENATE(O1650,": ",H1650),
IF(OR(YEAR(M1650)=2022,YEAR(M1650)=2023),CONCATENATE("Se activó en ",YEAR(M1650)),
IF(AND(OR(O1650="En proceso",O1650="facturando"),AND(J1650="-",M1650="")),"Por revisar",
IF(M1650="",IF(J1650="NUEVAS",CONCATENATE("Estado: ",O1650,", ",J1650),
IF(L1650=Meses!$A$3,"Por revisar",
IF(H1650="","Sin registro","En programación Frcst."))),"En programación")))),
"Error")</f>
        <v>Por revisar</v>
      </c>
      <c r="Q1650" s="9" t="str">
        <f t="shared" si="75"/>
        <v>programación de act. NO, estado: Facturando, Comercializador: DICEL, Etapa: Instalado y Activado</v>
      </c>
      <c r="R1650" s="25" t="str">
        <f>IF(P1650="En programación Frcst.",VLOOKUP(L1650,Meses!$A$1:$H$14,3+HLOOKUP(Cronograma!J1650,Meses!$D$1:$G$2,2,FALSE),FALSE),
IF(P1650="En programación",M1650,""))</f>
        <v/>
      </c>
      <c r="S1650" s="25" t="str">
        <f t="shared" si="77"/>
        <v/>
      </c>
      <c r="T1650" s="21" t="str">
        <f>IFERROR(
(VLOOKUP(MONTH(R1650),Meses!$B$3:$C$14,2,FALSE)-DAY(R1650))/VLOOKUP(MONTH(R1650),Meses!$B$3:$C$14,2,FALSE)*U1650,
"")</f>
        <v/>
      </c>
      <c r="U1650" s="22">
        <f t="shared" si="76"/>
        <v>6235</v>
      </c>
    </row>
    <row r="1651" spans="1:21" ht="63" hidden="1" thickBot="1" x14ac:dyDescent="0.6">
      <c r="A1651" s="10" t="s">
        <v>1482</v>
      </c>
      <c r="B1651" s="10" t="s">
        <v>2105</v>
      </c>
      <c r="C1651" s="12">
        <v>45029</v>
      </c>
      <c r="D1651" s="10" t="s">
        <v>323</v>
      </c>
      <c r="E1651" s="10" t="s">
        <v>14</v>
      </c>
      <c r="F1651" s="10">
        <v>4281</v>
      </c>
      <c r="G1651" s="10" t="s">
        <v>15</v>
      </c>
      <c r="H1651" s="10" t="s">
        <v>2406</v>
      </c>
      <c r="I1651" s="10" t="s">
        <v>66</v>
      </c>
      <c r="J1651" s="10" t="s">
        <v>143</v>
      </c>
      <c r="K1651" s="10" t="s">
        <v>2895</v>
      </c>
      <c r="L1651" s="10" t="s">
        <v>2292</v>
      </c>
      <c r="M1651" s="12"/>
      <c r="N1651" s="10" t="s">
        <v>20</v>
      </c>
      <c r="O1651" s="10" t="s">
        <v>2054</v>
      </c>
      <c r="P1651" s="25" t="str">
        <f>IFERROR(
IF(OR(O1651="anulado",O1651="stand by"),CONCATENATE(O1651,": ",H1651),
IF(OR(YEAR(M1651)=2022,YEAR(M1651)=2023),CONCATENATE("Se activó en ",YEAR(M1651)),
IF(AND(OR(O1651="En proceso",O1651="facturando"),AND(J1651="-",M1651="")),"Por revisar",
IF(M1651="",IF(J1651="NUEVAS",CONCATENATE("Estado: ",O1651,", ",J1651),
IF(L1651=Meses!$A$3,"Por revisar",
IF(H1651="","Sin registro","En programación Frcst."))),"En programación")))),
"Error")</f>
        <v>En programación Frcst.</v>
      </c>
      <c r="Q1651" s="9" t="str">
        <f t="shared" si="75"/>
        <v/>
      </c>
      <c r="R1651" s="25">
        <f>IF(P1651="En programación Frcst.",VLOOKUP(L1651,Meses!$A$1:$H$14,3+HLOOKUP(Cronograma!J1651,Meses!$D$1:$G$2,2,FALSE),FALSE),
IF(P1651="En programación",M1651,""))</f>
        <v>45393</v>
      </c>
      <c r="S1651" s="25" t="str">
        <f t="shared" si="77"/>
        <v>2024/4</v>
      </c>
      <c r="T1651" s="21">
        <f>IFERROR(
(VLOOKUP(MONTH(R1651),Meses!$B$3:$C$14,2,FALSE)-DAY(R1651))/VLOOKUP(MONTH(R1651),Meses!$B$3:$C$14,2,FALSE)*U1651,
"")</f>
        <v>2711.2999999999997</v>
      </c>
      <c r="U1651" s="22">
        <f t="shared" si="76"/>
        <v>4281</v>
      </c>
    </row>
    <row r="1652" spans="1:21" ht="32.4" hidden="1" thickBot="1" x14ac:dyDescent="0.6">
      <c r="A1652" s="10" t="s">
        <v>2106</v>
      </c>
      <c r="B1652" s="10" t="s">
        <v>2107</v>
      </c>
      <c r="C1652" s="12">
        <v>45029</v>
      </c>
      <c r="D1652" s="10" t="s">
        <v>323</v>
      </c>
      <c r="E1652" s="10" t="s">
        <v>291</v>
      </c>
      <c r="F1652" s="10">
        <v>531</v>
      </c>
      <c r="G1652" s="10" t="s">
        <v>15</v>
      </c>
      <c r="H1652" s="10" t="s">
        <v>17</v>
      </c>
      <c r="I1652" s="10" t="s">
        <v>66</v>
      </c>
      <c r="J1652" s="10" t="s">
        <v>19</v>
      </c>
      <c r="K1652" s="10" t="s">
        <v>19</v>
      </c>
      <c r="L1652" s="10" t="s">
        <v>19</v>
      </c>
      <c r="M1652" s="12"/>
      <c r="N1652" s="10" t="s">
        <v>20</v>
      </c>
      <c r="O1652" s="10" t="s">
        <v>2054</v>
      </c>
      <c r="P1652" s="25" t="str">
        <f>IFERROR(
IF(OR(O1652="anulado",O1652="stand by"),CONCATENATE(O1652,": ",H1652),
IF(OR(YEAR(M1652)=2022,YEAR(M1652)=2023),CONCATENATE("Se activó en ",YEAR(M1652)),
IF(AND(OR(O1652="En proceso",O1652="facturando"),AND(J1652="-",M1652="")),"Por revisar",
IF(M1652="",IF(J1652="NUEVAS",CONCATENATE("Estado: ",O1652,", ",J1652),
IF(L1652=Meses!$A$3,"Por revisar",
IF(H1652="","Sin registro","En programación Frcst."))),"En programación")))),
"Error")</f>
        <v>Por revisar</v>
      </c>
      <c r="Q1652" s="9" t="str">
        <f t="shared" si="75"/>
        <v>programación de act. NO, estado: Facturando, Comercializador: DICEL, Etapa: Instalado y Activado</v>
      </c>
      <c r="R1652" s="25" t="str">
        <f>IF(P1652="En programación Frcst.",VLOOKUP(L1652,Meses!$A$1:$H$14,3+HLOOKUP(Cronograma!J1652,Meses!$D$1:$G$2,2,FALSE),FALSE),
IF(P1652="En programación",M1652,""))</f>
        <v/>
      </c>
      <c r="S1652" s="25" t="str">
        <f t="shared" si="77"/>
        <v/>
      </c>
      <c r="T1652" s="21" t="str">
        <f>IFERROR(
(VLOOKUP(MONTH(R1652),Meses!$B$3:$C$14,2,FALSE)-DAY(R1652))/VLOOKUP(MONTH(R1652),Meses!$B$3:$C$14,2,FALSE)*U1652,
"")</f>
        <v/>
      </c>
      <c r="U1652" s="22">
        <f t="shared" si="76"/>
        <v>531</v>
      </c>
    </row>
    <row r="1653" spans="1:21" ht="63" hidden="1" thickBot="1" x14ac:dyDescent="0.6">
      <c r="A1653" s="10" t="s">
        <v>1482</v>
      </c>
      <c r="B1653" s="10" t="s">
        <v>2108</v>
      </c>
      <c r="C1653" s="12">
        <v>45029</v>
      </c>
      <c r="D1653" s="10" t="s">
        <v>323</v>
      </c>
      <c r="E1653" s="10" t="s">
        <v>289</v>
      </c>
      <c r="F1653" s="10">
        <v>13168</v>
      </c>
      <c r="G1653" s="10" t="s">
        <v>15</v>
      </c>
      <c r="H1653" s="10" t="s">
        <v>17</v>
      </c>
      <c r="I1653" s="10" t="s">
        <v>66</v>
      </c>
      <c r="J1653" s="10" t="s">
        <v>19</v>
      </c>
      <c r="K1653" s="10" t="s">
        <v>19</v>
      </c>
      <c r="L1653" s="10" t="s">
        <v>19</v>
      </c>
      <c r="M1653" s="12"/>
      <c r="N1653" s="10" t="s">
        <v>20</v>
      </c>
      <c r="O1653" s="10" t="s">
        <v>2054</v>
      </c>
      <c r="P1653" s="25" t="str">
        <f>IFERROR(
IF(OR(O1653="anulado",O1653="stand by"),CONCATENATE(O1653,": ",H1653),
IF(OR(YEAR(M1653)=2022,YEAR(M1653)=2023),CONCATENATE("Se activó en ",YEAR(M1653)),
IF(AND(OR(O1653="En proceso",O1653="facturando"),AND(J1653="-",M1653="")),"Por revisar",
IF(M1653="",IF(J1653="NUEVAS",CONCATENATE("Estado: ",O1653,", ",J1653),
IF(L1653=Meses!$A$3,"Por revisar",
IF(H1653="","Sin registro","En programación Frcst."))),"En programación")))),
"Error")</f>
        <v>Por revisar</v>
      </c>
      <c r="Q1653" s="9" t="str">
        <f t="shared" si="75"/>
        <v>programación de act. NO, estado: Facturando, Comercializador: DICEL, Etapa: Instalado y Activado</v>
      </c>
      <c r="R1653" s="25" t="str">
        <f>IF(P1653="En programación Frcst.",VLOOKUP(L1653,Meses!$A$1:$H$14,3+HLOOKUP(Cronograma!J1653,Meses!$D$1:$G$2,2,FALSE),FALSE),
IF(P1653="En programación",M1653,""))</f>
        <v/>
      </c>
      <c r="S1653" s="25" t="str">
        <f t="shared" si="77"/>
        <v/>
      </c>
      <c r="T1653" s="21" t="str">
        <f>IFERROR(
(VLOOKUP(MONTH(R1653),Meses!$B$3:$C$14,2,FALSE)-DAY(R1653))/VLOOKUP(MONTH(R1653),Meses!$B$3:$C$14,2,FALSE)*U1653,
"")</f>
        <v/>
      </c>
      <c r="U1653" s="22">
        <f t="shared" si="76"/>
        <v>13168</v>
      </c>
    </row>
    <row r="1654" spans="1:21" ht="47.4" hidden="1" thickBot="1" x14ac:dyDescent="0.6">
      <c r="A1654" s="10" t="s">
        <v>2439</v>
      </c>
      <c r="B1654" s="10" t="s">
        <v>2827</v>
      </c>
      <c r="C1654" s="12">
        <v>45029</v>
      </c>
      <c r="D1654" s="10" t="s">
        <v>323</v>
      </c>
      <c r="E1654" s="10" t="s">
        <v>289</v>
      </c>
      <c r="F1654" s="10">
        <v>3253</v>
      </c>
      <c r="G1654" s="10" t="s">
        <v>15</v>
      </c>
      <c r="H1654" s="10" t="s">
        <v>2406</v>
      </c>
      <c r="I1654" s="10" t="s">
        <v>66</v>
      </c>
      <c r="J1654" s="10" t="s">
        <v>277</v>
      </c>
      <c r="K1654" s="10" t="s">
        <v>1697</v>
      </c>
      <c r="L1654" s="10" t="s">
        <v>1120</v>
      </c>
      <c r="M1654" s="12"/>
      <c r="N1654" s="10" t="s">
        <v>20</v>
      </c>
      <c r="O1654" s="10" t="s">
        <v>2054</v>
      </c>
      <c r="P1654" s="25" t="str">
        <f>IFERROR(
IF(OR(O1654="anulado",O1654="stand by"),CONCATENATE(O1654,": ",H1654),
IF(OR(YEAR(M1654)=2022,YEAR(M1654)=2023),CONCATENATE("Se activó en ",YEAR(M1654)),
IF(AND(OR(O1654="En proceso",O1654="facturando"),AND(J1654="-",M1654="")),"Por revisar",
IF(M1654="",IF(J1654="NUEVAS",CONCATENATE("Estado: ",O1654,", ",J1654),
IF(L1654=Meses!$A$3,"Por revisar",
IF(H1654="","Sin registro","En programación Frcst."))),"En programación")))),
"Error")</f>
        <v>En programación Frcst.</v>
      </c>
      <c r="Q1654" s="9" t="str">
        <f t="shared" si="75"/>
        <v/>
      </c>
      <c r="R1654" s="25">
        <f>IF(P1654="En programación Frcst.",VLOOKUP(L1654,Meses!$A$1:$H$14,3+HLOOKUP(Cronograma!J1654,Meses!$D$1:$G$2,2,FALSE),FALSE),
IF(P1654="En programación",M1654,""))</f>
        <v>45372</v>
      </c>
      <c r="S1654" s="25" t="str">
        <f t="shared" si="77"/>
        <v>2024/3</v>
      </c>
      <c r="T1654" s="21">
        <f>IFERROR(
(VLOOKUP(MONTH(R1654),Meses!$B$3:$C$14,2,FALSE)-DAY(R1654))/VLOOKUP(MONTH(R1654),Meses!$B$3:$C$14,2,FALSE)*U1654,
"")</f>
        <v>1049.3548387096773</v>
      </c>
      <c r="U1654" s="22">
        <f t="shared" si="76"/>
        <v>3253</v>
      </c>
    </row>
    <row r="1655" spans="1:21" ht="47.4" hidden="1" thickBot="1" x14ac:dyDescent="0.6">
      <c r="A1655" s="10" t="s">
        <v>1083</v>
      </c>
      <c r="B1655" s="10" t="s">
        <v>2109</v>
      </c>
      <c r="C1655" s="12">
        <v>45029</v>
      </c>
      <c r="D1655" s="10" t="s">
        <v>323</v>
      </c>
      <c r="E1655" s="10" t="s">
        <v>677</v>
      </c>
      <c r="F1655" s="10">
        <v>553</v>
      </c>
      <c r="G1655" s="10" t="s">
        <v>15</v>
      </c>
      <c r="H1655" s="10" t="s">
        <v>2406</v>
      </c>
      <c r="I1655" s="10" t="s">
        <v>66</v>
      </c>
      <c r="J1655" s="10" t="s">
        <v>143</v>
      </c>
      <c r="K1655" s="10" t="s">
        <v>2895</v>
      </c>
      <c r="L1655" s="10" t="s">
        <v>2292</v>
      </c>
      <c r="M1655" s="12"/>
      <c r="N1655" s="10" t="s">
        <v>20</v>
      </c>
      <c r="O1655" s="10" t="s">
        <v>2054</v>
      </c>
      <c r="P1655" s="25" t="str">
        <f>IFERROR(
IF(OR(O1655="anulado",O1655="stand by"),CONCATENATE(O1655,": ",H1655),
IF(OR(YEAR(M1655)=2022,YEAR(M1655)=2023),CONCATENATE("Se activó en ",YEAR(M1655)),
IF(AND(OR(O1655="En proceso",O1655="facturando"),AND(J1655="-",M1655="")),"Por revisar",
IF(M1655="",IF(J1655="NUEVAS",CONCATENATE("Estado: ",O1655,", ",J1655),
IF(L1655=Meses!$A$3,"Por revisar",
IF(H1655="","Sin registro","En programación Frcst."))),"En programación")))),
"Error")</f>
        <v>En programación Frcst.</v>
      </c>
      <c r="Q1655" s="9" t="str">
        <f t="shared" si="75"/>
        <v/>
      </c>
      <c r="R1655" s="25">
        <f>IF(P1655="En programación Frcst.",VLOOKUP(L1655,Meses!$A$1:$H$14,3+HLOOKUP(Cronograma!J1655,Meses!$D$1:$G$2,2,FALSE),FALSE),
IF(P1655="En programación",M1655,""))</f>
        <v>45393</v>
      </c>
      <c r="S1655" s="25" t="str">
        <f t="shared" si="77"/>
        <v>2024/4</v>
      </c>
      <c r="T1655" s="21">
        <f>IFERROR(
(VLOOKUP(MONTH(R1655),Meses!$B$3:$C$14,2,FALSE)-DAY(R1655))/VLOOKUP(MONTH(R1655),Meses!$B$3:$C$14,2,FALSE)*U1655,
"")</f>
        <v>350.23333333333329</v>
      </c>
      <c r="U1655" s="22">
        <f t="shared" si="76"/>
        <v>553</v>
      </c>
    </row>
    <row r="1656" spans="1:21" ht="47.4" hidden="1" thickBot="1" x14ac:dyDescent="0.6">
      <c r="A1656" s="10" t="s">
        <v>1083</v>
      </c>
      <c r="B1656" s="10" t="s">
        <v>2110</v>
      </c>
      <c r="C1656" s="12">
        <v>45029</v>
      </c>
      <c r="D1656" s="10" t="s">
        <v>323</v>
      </c>
      <c r="E1656" s="10" t="s">
        <v>291</v>
      </c>
      <c r="F1656" s="10">
        <v>4463</v>
      </c>
      <c r="G1656" s="10" t="s">
        <v>15</v>
      </c>
      <c r="H1656" s="10" t="s">
        <v>2406</v>
      </c>
      <c r="I1656" s="10" t="s">
        <v>66</v>
      </c>
      <c r="J1656" s="10" t="s">
        <v>143</v>
      </c>
      <c r="K1656" s="10" t="s">
        <v>2895</v>
      </c>
      <c r="L1656" s="10" t="s">
        <v>2292</v>
      </c>
      <c r="M1656" s="12"/>
      <c r="N1656" s="10" t="s">
        <v>20</v>
      </c>
      <c r="O1656" s="10" t="s">
        <v>2054</v>
      </c>
      <c r="P1656" s="25" t="str">
        <f>IFERROR(
IF(OR(O1656="anulado",O1656="stand by"),CONCATENATE(O1656,": ",H1656),
IF(OR(YEAR(M1656)=2022,YEAR(M1656)=2023),CONCATENATE("Se activó en ",YEAR(M1656)),
IF(AND(OR(O1656="En proceso",O1656="facturando"),AND(J1656="-",M1656="")),"Por revisar",
IF(M1656="",IF(J1656="NUEVAS",CONCATENATE("Estado: ",O1656,", ",J1656),
IF(L1656=Meses!$A$3,"Por revisar",
IF(H1656="","Sin registro","En programación Frcst."))),"En programación")))),
"Error")</f>
        <v>En programación Frcst.</v>
      </c>
      <c r="Q1656" s="9" t="str">
        <f t="shared" si="75"/>
        <v/>
      </c>
      <c r="R1656" s="25">
        <f>IF(P1656="En programación Frcst.",VLOOKUP(L1656,Meses!$A$1:$H$14,3+HLOOKUP(Cronograma!J1656,Meses!$D$1:$G$2,2,FALSE),FALSE),
IF(P1656="En programación",M1656,""))</f>
        <v>45393</v>
      </c>
      <c r="S1656" s="25" t="str">
        <f t="shared" si="77"/>
        <v>2024/4</v>
      </c>
      <c r="T1656" s="21">
        <f>IFERROR(
(VLOOKUP(MONTH(R1656),Meses!$B$3:$C$14,2,FALSE)-DAY(R1656))/VLOOKUP(MONTH(R1656),Meses!$B$3:$C$14,2,FALSE)*U1656,
"")</f>
        <v>2826.5666666666666</v>
      </c>
      <c r="U1656" s="22">
        <f t="shared" si="76"/>
        <v>4463</v>
      </c>
    </row>
    <row r="1657" spans="1:21" ht="47.4" hidden="1" thickBot="1" x14ac:dyDescent="0.6">
      <c r="A1657" s="10" t="s">
        <v>1083</v>
      </c>
      <c r="B1657" s="10" t="s">
        <v>2111</v>
      </c>
      <c r="C1657" s="12">
        <v>45029</v>
      </c>
      <c r="D1657" s="10" t="s">
        <v>323</v>
      </c>
      <c r="E1657" s="10" t="s">
        <v>291</v>
      </c>
      <c r="F1657" s="10">
        <v>6965</v>
      </c>
      <c r="G1657" s="10" t="s">
        <v>15</v>
      </c>
      <c r="H1657" s="10" t="s">
        <v>2406</v>
      </c>
      <c r="I1657" s="10" t="s">
        <v>66</v>
      </c>
      <c r="J1657" s="10" t="s">
        <v>143</v>
      </c>
      <c r="K1657" s="10" t="s">
        <v>2895</v>
      </c>
      <c r="L1657" s="10" t="s">
        <v>2292</v>
      </c>
      <c r="M1657" s="12"/>
      <c r="N1657" s="10" t="s">
        <v>20</v>
      </c>
      <c r="O1657" s="10" t="s">
        <v>2054</v>
      </c>
      <c r="P1657" s="25" t="str">
        <f>IFERROR(
IF(OR(O1657="anulado",O1657="stand by"),CONCATENATE(O1657,": ",H1657),
IF(OR(YEAR(M1657)=2022,YEAR(M1657)=2023),CONCATENATE("Se activó en ",YEAR(M1657)),
IF(AND(OR(O1657="En proceso",O1657="facturando"),AND(J1657="-",M1657="")),"Por revisar",
IF(M1657="",IF(J1657="NUEVAS",CONCATENATE("Estado: ",O1657,", ",J1657),
IF(L1657=Meses!$A$3,"Por revisar",
IF(H1657="","Sin registro","En programación Frcst."))),"En programación")))),
"Error")</f>
        <v>En programación Frcst.</v>
      </c>
      <c r="Q1657" s="9" t="str">
        <f t="shared" si="75"/>
        <v/>
      </c>
      <c r="R1657" s="25">
        <f>IF(P1657="En programación Frcst.",VLOOKUP(L1657,Meses!$A$1:$H$14,3+HLOOKUP(Cronograma!J1657,Meses!$D$1:$G$2,2,FALSE),FALSE),
IF(P1657="En programación",M1657,""))</f>
        <v>45393</v>
      </c>
      <c r="S1657" s="25" t="str">
        <f t="shared" si="77"/>
        <v>2024/4</v>
      </c>
      <c r="T1657" s="21">
        <f>IFERROR(
(VLOOKUP(MONTH(R1657),Meses!$B$3:$C$14,2,FALSE)-DAY(R1657))/VLOOKUP(MONTH(R1657),Meses!$B$3:$C$14,2,FALSE)*U1657,
"")</f>
        <v>4411.1666666666661</v>
      </c>
      <c r="U1657" s="22">
        <f t="shared" si="76"/>
        <v>6965</v>
      </c>
    </row>
    <row r="1658" spans="1:21" ht="47.4" hidden="1" thickBot="1" x14ac:dyDescent="0.6">
      <c r="A1658" s="10" t="s">
        <v>1083</v>
      </c>
      <c r="B1658" s="10" t="s">
        <v>2112</v>
      </c>
      <c r="C1658" s="12">
        <v>45029</v>
      </c>
      <c r="D1658" s="10" t="s">
        <v>323</v>
      </c>
      <c r="E1658" s="10" t="s">
        <v>291</v>
      </c>
      <c r="F1658" s="10">
        <v>327</v>
      </c>
      <c r="G1658" s="10" t="s">
        <v>15</v>
      </c>
      <c r="H1658" s="10" t="s">
        <v>2406</v>
      </c>
      <c r="I1658" s="10" t="s">
        <v>66</v>
      </c>
      <c r="J1658" s="10" t="s">
        <v>143</v>
      </c>
      <c r="K1658" s="10" t="s">
        <v>2895</v>
      </c>
      <c r="L1658" s="10" t="s">
        <v>2292</v>
      </c>
      <c r="M1658" s="12"/>
      <c r="N1658" s="10" t="s">
        <v>20</v>
      </c>
      <c r="O1658" s="10" t="s">
        <v>2054</v>
      </c>
      <c r="P1658" s="25" t="str">
        <f>IFERROR(
IF(OR(O1658="anulado",O1658="stand by"),CONCATENATE(O1658,": ",H1658),
IF(OR(YEAR(M1658)=2022,YEAR(M1658)=2023),CONCATENATE("Se activó en ",YEAR(M1658)),
IF(AND(OR(O1658="En proceso",O1658="facturando"),AND(J1658="-",M1658="")),"Por revisar",
IF(M1658="",IF(J1658="NUEVAS",CONCATENATE("Estado: ",O1658,", ",J1658),
IF(L1658=Meses!$A$3,"Por revisar",
IF(H1658="","Sin registro","En programación Frcst."))),"En programación")))),
"Error")</f>
        <v>En programación Frcst.</v>
      </c>
      <c r="Q1658" s="9" t="str">
        <f t="shared" si="75"/>
        <v/>
      </c>
      <c r="R1658" s="25">
        <f>IF(P1658="En programación Frcst.",VLOOKUP(L1658,Meses!$A$1:$H$14,3+HLOOKUP(Cronograma!J1658,Meses!$D$1:$G$2,2,FALSE),FALSE),
IF(P1658="En programación",M1658,""))</f>
        <v>45393</v>
      </c>
      <c r="S1658" s="25" t="str">
        <f t="shared" si="77"/>
        <v>2024/4</v>
      </c>
      <c r="T1658" s="21">
        <f>IFERROR(
(VLOOKUP(MONTH(R1658),Meses!$B$3:$C$14,2,FALSE)-DAY(R1658))/VLOOKUP(MONTH(R1658),Meses!$B$3:$C$14,2,FALSE)*U1658,
"")</f>
        <v>207.1</v>
      </c>
      <c r="U1658" s="22">
        <f t="shared" si="76"/>
        <v>327</v>
      </c>
    </row>
    <row r="1659" spans="1:21" ht="47.4" hidden="1" thickBot="1" x14ac:dyDescent="0.6">
      <c r="A1659" s="10" t="s">
        <v>1083</v>
      </c>
      <c r="B1659" s="10" t="s">
        <v>2113</v>
      </c>
      <c r="C1659" s="12">
        <v>45029</v>
      </c>
      <c r="D1659" s="10" t="s">
        <v>323</v>
      </c>
      <c r="E1659" s="10" t="s">
        <v>289</v>
      </c>
      <c r="F1659" s="10">
        <v>9642</v>
      </c>
      <c r="G1659" s="10" t="s">
        <v>15</v>
      </c>
      <c r="H1659" s="10" t="s">
        <v>2406</v>
      </c>
      <c r="I1659" s="10" t="s">
        <v>66</v>
      </c>
      <c r="J1659" s="10" t="s">
        <v>292</v>
      </c>
      <c r="K1659" s="10" t="s">
        <v>1697</v>
      </c>
      <c r="L1659" s="10" t="s">
        <v>1120</v>
      </c>
      <c r="M1659" s="12">
        <v>45379</v>
      </c>
      <c r="N1659" s="10" t="s">
        <v>20</v>
      </c>
      <c r="O1659" s="10" t="s">
        <v>2054</v>
      </c>
      <c r="P1659" s="25" t="str">
        <f>IFERROR(
IF(OR(O1659="anulado",O1659="stand by"),CONCATENATE(O1659,": ",H1659),
IF(OR(YEAR(M1659)=2022,YEAR(M1659)=2023),CONCATENATE("Se activó en ",YEAR(M1659)),
IF(AND(OR(O1659="En proceso",O1659="facturando"),AND(J1659="-",M1659="")),"Por revisar",
IF(M1659="",IF(J1659="NUEVAS",CONCATENATE("Estado: ",O1659,", ",J1659),
IF(L1659=Meses!$A$3,"Por revisar",
IF(H1659="","Sin registro","En programación Frcst."))),"En programación")))),
"Error")</f>
        <v>En programación</v>
      </c>
      <c r="Q1659" s="9" t="str">
        <f t="shared" si="75"/>
        <v/>
      </c>
      <c r="R1659" s="25">
        <f>IF(P1659="En programación Frcst.",VLOOKUP(L1659,Meses!$A$1:$H$14,3+HLOOKUP(Cronograma!J1659,Meses!$D$1:$G$2,2,FALSE),FALSE),
IF(P1659="En programación",M1659,""))</f>
        <v>45379</v>
      </c>
      <c r="S1659" s="25" t="str">
        <f t="shared" si="77"/>
        <v>2024/3</v>
      </c>
      <c r="T1659" s="21">
        <f>IFERROR(
(VLOOKUP(MONTH(R1659),Meses!$B$3:$C$14,2,FALSE)-DAY(R1659))/VLOOKUP(MONTH(R1659),Meses!$B$3:$C$14,2,FALSE)*U1659,
"")</f>
        <v>933.09677419354841</v>
      </c>
      <c r="U1659" s="22">
        <f t="shared" si="76"/>
        <v>9642</v>
      </c>
    </row>
    <row r="1660" spans="1:21" ht="47.4" hidden="1" thickBot="1" x14ac:dyDescent="0.6">
      <c r="A1660" s="10" t="s">
        <v>1083</v>
      </c>
      <c r="B1660" s="10" t="s">
        <v>2114</v>
      </c>
      <c r="C1660" s="12">
        <v>45029</v>
      </c>
      <c r="D1660" s="10" t="s">
        <v>323</v>
      </c>
      <c r="E1660" s="10" t="s">
        <v>289</v>
      </c>
      <c r="F1660" s="10">
        <v>4151</v>
      </c>
      <c r="G1660" s="10" t="s">
        <v>15</v>
      </c>
      <c r="H1660" s="10" t="s">
        <v>2406</v>
      </c>
      <c r="I1660" s="10" t="s">
        <v>66</v>
      </c>
      <c r="J1660" s="10" t="s">
        <v>292</v>
      </c>
      <c r="K1660" s="10" t="s">
        <v>1697</v>
      </c>
      <c r="L1660" s="10" t="s">
        <v>1120</v>
      </c>
      <c r="M1660" s="12">
        <v>45379</v>
      </c>
      <c r="N1660" s="10" t="s">
        <v>20</v>
      </c>
      <c r="O1660" s="10" t="s">
        <v>2054</v>
      </c>
      <c r="P1660" s="25" t="str">
        <f>IFERROR(
IF(OR(O1660="anulado",O1660="stand by"),CONCATENATE(O1660,": ",H1660),
IF(OR(YEAR(M1660)=2022,YEAR(M1660)=2023),CONCATENATE("Se activó en ",YEAR(M1660)),
IF(AND(OR(O1660="En proceso",O1660="facturando"),AND(J1660="-",M1660="")),"Por revisar",
IF(M1660="",IF(J1660="NUEVAS",CONCATENATE("Estado: ",O1660,", ",J1660),
IF(L1660=Meses!$A$3,"Por revisar",
IF(H1660="","Sin registro","En programación Frcst."))),"En programación")))),
"Error")</f>
        <v>En programación</v>
      </c>
      <c r="Q1660" s="9" t="str">
        <f t="shared" si="75"/>
        <v/>
      </c>
      <c r="R1660" s="25">
        <f>IF(P1660="En programación Frcst.",VLOOKUP(L1660,Meses!$A$1:$H$14,3+HLOOKUP(Cronograma!J1660,Meses!$D$1:$G$2,2,FALSE),FALSE),
IF(P1660="En programación",M1660,""))</f>
        <v>45379</v>
      </c>
      <c r="S1660" s="25" t="str">
        <f t="shared" si="77"/>
        <v>2024/3</v>
      </c>
      <c r="T1660" s="21">
        <f>IFERROR(
(VLOOKUP(MONTH(R1660),Meses!$B$3:$C$14,2,FALSE)-DAY(R1660))/VLOOKUP(MONTH(R1660),Meses!$B$3:$C$14,2,FALSE)*U1660,
"")</f>
        <v>401.70967741935482</v>
      </c>
      <c r="U1660" s="22">
        <f t="shared" si="76"/>
        <v>4151</v>
      </c>
    </row>
    <row r="1661" spans="1:21" ht="47.4" hidden="1" thickBot="1" x14ac:dyDescent="0.6">
      <c r="A1661" s="10" t="s">
        <v>1083</v>
      </c>
      <c r="B1661" s="10" t="s">
        <v>2115</v>
      </c>
      <c r="C1661" s="12">
        <v>45029</v>
      </c>
      <c r="D1661" s="10" t="s">
        <v>323</v>
      </c>
      <c r="E1661" s="10" t="s">
        <v>289</v>
      </c>
      <c r="F1661" s="10">
        <v>3625</v>
      </c>
      <c r="G1661" s="10" t="s">
        <v>15</v>
      </c>
      <c r="H1661" s="10" t="s">
        <v>2406</v>
      </c>
      <c r="I1661" s="10" t="s">
        <v>66</v>
      </c>
      <c r="J1661" s="10" t="s">
        <v>143</v>
      </c>
      <c r="K1661" s="10" t="s">
        <v>2895</v>
      </c>
      <c r="L1661" s="10" t="s">
        <v>2292</v>
      </c>
      <c r="M1661" s="12"/>
      <c r="N1661" s="10" t="s">
        <v>20</v>
      </c>
      <c r="O1661" s="10" t="s">
        <v>2054</v>
      </c>
      <c r="P1661" s="25" t="str">
        <f>IFERROR(
IF(OR(O1661="anulado",O1661="stand by"),CONCATENATE(O1661,": ",H1661),
IF(OR(YEAR(M1661)=2022,YEAR(M1661)=2023),CONCATENATE("Se activó en ",YEAR(M1661)),
IF(AND(OR(O1661="En proceso",O1661="facturando"),AND(J1661="-",M1661="")),"Por revisar",
IF(M1661="",IF(J1661="NUEVAS",CONCATENATE("Estado: ",O1661,", ",J1661),
IF(L1661=Meses!$A$3,"Por revisar",
IF(H1661="","Sin registro","En programación Frcst."))),"En programación")))),
"Error")</f>
        <v>En programación Frcst.</v>
      </c>
      <c r="Q1661" s="9" t="str">
        <f t="shared" si="75"/>
        <v/>
      </c>
      <c r="R1661" s="25">
        <f>IF(P1661="En programación Frcst.",VLOOKUP(L1661,Meses!$A$1:$H$14,3+HLOOKUP(Cronograma!J1661,Meses!$D$1:$G$2,2,FALSE),FALSE),
IF(P1661="En programación",M1661,""))</f>
        <v>45393</v>
      </c>
      <c r="S1661" s="25" t="str">
        <f t="shared" si="77"/>
        <v>2024/4</v>
      </c>
      <c r="T1661" s="21">
        <f>IFERROR(
(VLOOKUP(MONTH(R1661),Meses!$B$3:$C$14,2,FALSE)-DAY(R1661))/VLOOKUP(MONTH(R1661),Meses!$B$3:$C$14,2,FALSE)*U1661,
"")</f>
        <v>2295.833333333333</v>
      </c>
      <c r="U1661" s="22">
        <f t="shared" si="76"/>
        <v>3625</v>
      </c>
    </row>
    <row r="1662" spans="1:21" ht="47.4" hidden="1" thickBot="1" x14ac:dyDescent="0.6">
      <c r="A1662" s="10" t="s">
        <v>1083</v>
      </c>
      <c r="B1662" s="10" t="s">
        <v>2116</v>
      </c>
      <c r="C1662" s="12">
        <v>45029</v>
      </c>
      <c r="D1662" s="10" t="s">
        <v>323</v>
      </c>
      <c r="E1662" s="10" t="s">
        <v>291</v>
      </c>
      <c r="F1662" s="10">
        <v>3218</v>
      </c>
      <c r="G1662" s="10" t="s">
        <v>15</v>
      </c>
      <c r="H1662" s="10" t="s">
        <v>2406</v>
      </c>
      <c r="I1662" s="10" t="s">
        <v>66</v>
      </c>
      <c r="J1662" s="10" t="s">
        <v>143</v>
      </c>
      <c r="K1662" s="10" t="s">
        <v>2895</v>
      </c>
      <c r="L1662" s="10" t="s">
        <v>2292</v>
      </c>
      <c r="M1662" s="12"/>
      <c r="N1662" s="10" t="s">
        <v>20</v>
      </c>
      <c r="O1662" s="10" t="s">
        <v>2054</v>
      </c>
      <c r="P1662" s="25" t="str">
        <f>IFERROR(
IF(OR(O1662="anulado",O1662="stand by"),CONCATENATE(O1662,": ",H1662),
IF(OR(YEAR(M1662)=2022,YEAR(M1662)=2023),CONCATENATE("Se activó en ",YEAR(M1662)),
IF(AND(OR(O1662="En proceso",O1662="facturando"),AND(J1662="-",M1662="")),"Por revisar",
IF(M1662="",IF(J1662="NUEVAS",CONCATENATE("Estado: ",O1662,", ",J1662),
IF(L1662=Meses!$A$3,"Por revisar",
IF(H1662="","Sin registro","En programación Frcst."))),"En programación")))),
"Error")</f>
        <v>En programación Frcst.</v>
      </c>
      <c r="Q1662" s="9" t="str">
        <f t="shared" si="75"/>
        <v/>
      </c>
      <c r="R1662" s="25">
        <f>IF(P1662="En programación Frcst.",VLOOKUP(L1662,Meses!$A$1:$H$14,3+HLOOKUP(Cronograma!J1662,Meses!$D$1:$G$2,2,FALSE),FALSE),
IF(P1662="En programación",M1662,""))</f>
        <v>45393</v>
      </c>
      <c r="S1662" s="25" t="str">
        <f t="shared" si="77"/>
        <v>2024/4</v>
      </c>
      <c r="T1662" s="21">
        <f>IFERROR(
(VLOOKUP(MONTH(R1662),Meses!$B$3:$C$14,2,FALSE)-DAY(R1662))/VLOOKUP(MONTH(R1662),Meses!$B$3:$C$14,2,FALSE)*U1662,
"")</f>
        <v>2038.0666666666666</v>
      </c>
      <c r="U1662" s="22">
        <f t="shared" si="76"/>
        <v>3218</v>
      </c>
    </row>
    <row r="1663" spans="1:21" ht="47.4" hidden="1" thickBot="1" x14ac:dyDescent="0.6">
      <c r="A1663" s="10" t="s">
        <v>1083</v>
      </c>
      <c r="B1663" s="10" t="s">
        <v>2117</v>
      </c>
      <c r="C1663" s="12">
        <v>45029</v>
      </c>
      <c r="D1663" s="10" t="s">
        <v>323</v>
      </c>
      <c r="E1663" s="10" t="s">
        <v>291</v>
      </c>
      <c r="F1663" s="10">
        <v>3931</v>
      </c>
      <c r="G1663" s="10" t="s">
        <v>15</v>
      </c>
      <c r="H1663" s="10" t="s">
        <v>2406</v>
      </c>
      <c r="I1663" s="10" t="s">
        <v>66</v>
      </c>
      <c r="J1663" s="10" t="s">
        <v>143</v>
      </c>
      <c r="K1663" s="10" t="s">
        <v>2895</v>
      </c>
      <c r="L1663" s="10" t="s">
        <v>2292</v>
      </c>
      <c r="M1663" s="12"/>
      <c r="N1663" s="10" t="s">
        <v>20</v>
      </c>
      <c r="O1663" s="10" t="s">
        <v>2054</v>
      </c>
      <c r="P1663" s="25" t="str">
        <f>IFERROR(
IF(OR(O1663="anulado",O1663="stand by"),CONCATENATE(O1663,": ",H1663),
IF(OR(YEAR(M1663)=2022,YEAR(M1663)=2023),CONCATENATE("Se activó en ",YEAR(M1663)),
IF(AND(OR(O1663="En proceso",O1663="facturando"),AND(J1663="-",M1663="")),"Por revisar",
IF(M1663="",IF(J1663="NUEVAS",CONCATENATE("Estado: ",O1663,", ",J1663),
IF(L1663=Meses!$A$3,"Por revisar",
IF(H1663="","Sin registro","En programación Frcst."))),"En programación")))),
"Error")</f>
        <v>En programación Frcst.</v>
      </c>
      <c r="Q1663" s="9" t="str">
        <f t="shared" si="75"/>
        <v/>
      </c>
      <c r="R1663" s="25">
        <f>IF(P1663="En programación Frcst.",VLOOKUP(L1663,Meses!$A$1:$H$14,3+HLOOKUP(Cronograma!J1663,Meses!$D$1:$G$2,2,FALSE),FALSE),
IF(P1663="En programación",M1663,""))</f>
        <v>45393</v>
      </c>
      <c r="S1663" s="25" t="str">
        <f t="shared" si="77"/>
        <v>2024/4</v>
      </c>
      <c r="T1663" s="21">
        <f>IFERROR(
(VLOOKUP(MONTH(R1663),Meses!$B$3:$C$14,2,FALSE)-DAY(R1663))/VLOOKUP(MONTH(R1663),Meses!$B$3:$C$14,2,FALSE)*U1663,
"")</f>
        <v>2489.6333333333332</v>
      </c>
      <c r="U1663" s="22">
        <f t="shared" si="76"/>
        <v>3931</v>
      </c>
    </row>
    <row r="1664" spans="1:21" ht="47.4" hidden="1" thickBot="1" x14ac:dyDescent="0.6">
      <c r="A1664" s="10" t="s">
        <v>1083</v>
      </c>
      <c r="B1664" s="10" t="s">
        <v>2118</v>
      </c>
      <c r="C1664" s="12">
        <v>45029</v>
      </c>
      <c r="D1664" s="10" t="s">
        <v>323</v>
      </c>
      <c r="E1664" s="10" t="s">
        <v>291</v>
      </c>
      <c r="F1664" s="10">
        <v>3704</v>
      </c>
      <c r="G1664" s="10" t="s">
        <v>15</v>
      </c>
      <c r="H1664" s="10" t="s">
        <v>2406</v>
      </c>
      <c r="I1664" s="10" t="s">
        <v>66</v>
      </c>
      <c r="J1664" s="10" t="s">
        <v>143</v>
      </c>
      <c r="K1664" s="10" t="s">
        <v>2895</v>
      </c>
      <c r="L1664" s="10" t="s">
        <v>2292</v>
      </c>
      <c r="M1664" s="12"/>
      <c r="N1664" s="10" t="s">
        <v>20</v>
      </c>
      <c r="O1664" s="10" t="s">
        <v>2054</v>
      </c>
      <c r="P1664" s="25" t="str">
        <f>IFERROR(
IF(OR(O1664="anulado",O1664="stand by"),CONCATENATE(O1664,": ",H1664),
IF(OR(YEAR(M1664)=2022,YEAR(M1664)=2023),CONCATENATE("Se activó en ",YEAR(M1664)),
IF(AND(OR(O1664="En proceso",O1664="facturando"),AND(J1664="-",M1664="")),"Por revisar",
IF(M1664="",IF(J1664="NUEVAS",CONCATENATE("Estado: ",O1664,", ",J1664),
IF(L1664=Meses!$A$3,"Por revisar",
IF(H1664="","Sin registro","En programación Frcst."))),"En programación")))),
"Error")</f>
        <v>En programación Frcst.</v>
      </c>
      <c r="Q1664" s="9" t="str">
        <f t="shared" si="75"/>
        <v/>
      </c>
      <c r="R1664" s="25">
        <f>IF(P1664="En programación Frcst.",VLOOKUP(L1664,Meses!$A$1:$H$14,3+HLOOKUP(Cronograma!J1664,Meses!$D$1:$G$2,2,FALSE),FALSE),
IF(P1664="En programación",M1664,""))</f>
        <v>45393</v>
      </c>
      <c r="S1664" s="25" t="str">
        <f t="shared" si="77"/>
        <v>2024/4</v>
      </c>
      <c r="T1664" s="21">
        <f>IFERROR(
(VLOOKUP(MONTH(R1664),Meses!$B$3:$C$14,2,FALSE)-DAY(R1664))/VLOOKUP(MONTH(R1664),Meses!$B$3:$C$14,2,FALSE)*U1664,
"")</f>
        <v>2345.8666666666663</v>
      </c>
      <c r="U1664" s="22">
        <f t="shared" si="76"/>
        <v>3704</v>
      </c>
    </row>
    <row r="1665" spans="1:21" ht="32.4" hidden="1" thickBot="1" x14ac:dyDescent="0.6">
      <c r="A1665" s="10" t="s">
        <v>2119</v>
      </c>
      <c r="B1665" s="10" t="s">
        <v>2120</v>
      </c>
      <c r="C1665" s="12">
        <v>45036</v>
      </c>
      <c r="D1665" s="10" t="s">
        <v>323</v>
      </c>
      <c r="E1665" s="10" t="s">
        <v>14</v>
      </c>
      <c r="F1665" s="10">
        <v>3828</v>
      </c>
      <c r="G1665" s="10" t="s">
        <v>15</v>
      </c>
      <c r="H1665" s="10" t="s">
        <v>17</v>
      </c>
      <c r="I1665" s="10" t="s">
        <v>66</v>
      </c>
      <c r="J1665" s="10" t="s">
        <v>19</v>
      </c>
      <c r="K1665" s="10" t="s">
        <v>19</v>
      </c>
      <c r="L1665" s="10" t="s">
        <v>19</v>
      </c>
      <c r="M1665" s="12"/>
      <c r="N1665" s="10" t="s">
        <v>20</v>
      </c>
      <c r="O1665" s="10" t="s">
        <v>2054</v>
      </c>
      <c r="P1665" s="25" t="str">
        <f>IFERROR(
IF(OR(O1665="anulado",O1665="stand by"),CONCATENATE(O1665,": ",H1665),
IF(OR(YEAR(M1665)=2022,YEAR(M1665)=2023),CONCATENATE("Se activó en ",YEAR(M1665)),
IF(AND(OR(O1665="En proceso",O1665="facturando"),AND(J1665="-",M1665="")),"Por revisar",
IF(M1665="",IF(J1665="NUEVAS",CONCATENATE("Estado: ",O1665,", ",J1665),
IF(L1665=Meses!$A$3,"Por revisar",
IF(H1665="","Sin registro","En programación Frcst."))),"En programación")))),
"Error")</f>
        <v>Por revisar</v>
      </c>
      <c r="Q1665" s="9" t="str">
        <f t="shared" si="75"/>
        <v>programación de act. NO, estado: Facturando, Comercializador: DICEL, Etapa: Instalado y Activado</v>
      </c>
      <c r="R1665" s="25" t="str">
        <f>IF(P1665="En programación Frcst.",VLOOKUP(L1665,Meses!$A$1:$H$14,3+HLOOKUP(Cronograma!J1665,Meses!$D$1:$G$2,2,FALSE),FALSE),
IF(P1665="En programación",M1665,""))</f>
        <v/>
      </c>
      <c r="S1665" s="25" t="str">
        <f t="shared" si="77"/>
        <v/>
      </c>
      <c r="T1665" s="21" t="str">
        <f>IFERROR(
(VLOOKUP(MONTH(R1665),Meses!$B$3:$C$14,2,FALSE)-DAY(R1665))/VLOOKUP(MONTH(R1665),Meses!$B$3:$C$14,2,FALSE)*U1665,
"")</f>
        <v/>
      </c>
      <c r="U1665" s="22">
        <f t="shared" si="76"/>
        <v>3828</v>
      </c>
    </row>
    <row r="1666" spans="1:21" ht="63" hidden="1" thickBot="1" x14ac:dyDescent="0.6">
      <c r="A1666" s="10" t="s">
        <v>2121</v>
      </c>
      <c r="B1666" s="10" t="s">
        <v>2122</v>
      </c>
      <c r="C1666" s="12">
        <v>45036</v>
      </c>
      <c r="D1666" s="10" t="s">
        <v>323</v>
      </c>
      <c r="E1666" s="10" t="s">
        <v>14</v>
      </c>
      <c r="F1666" s="10">
        <v>18697</v>
      </c>
      <c r="G1666" s="10" t="s">
        <v>15</v>
      </c>
      <c r="H1666" s="10" t="s">
        <v>17</v>
      </c>
      <c r="I1666" s="10" t="s">
        <v>66</v>
      </c>
      <c r="J1666" s="10" t="s">
        <v>19</v>
      </c>
      <c r="K1666" s="10" t="s">
        <v>19</v>
      </c>
      <c r="L1666" s="10" t="s">
        <v>19</v>
      </c>
      <c r="M1666" s="12"/>
      <c r="N1666" s="10" t="s">
        <v>20</v>
      </c>
      <c r="O1666" s="10" t="s">
        <v>2054</v>
      </c>
      <c r="P1666" s="25" t="str">
        <f>IFERROR(
IF(OR(O1666="anulado",O1666="stand by"),CONCATENATE(O1666,": ",H1666),
IF(OR(YEAR(M1666)=2022,YEAR(M1666)=2023),CONCATENATE("Se activó en ",YEAR(M1666)),
IF(AND(OR(O1666="En proceso",O1666="facturando"),AND(J1666="-",M1666="")),"Por revisar",
IF(M1666="",IF(J1666="NUEVAS",CONCATENATE("Estado: ",O1666,", ",J1666),
IF(L1666=Meses!$A$3,"Por revisar",
IF(H1666="","Sin registro","En programación Frcst."))),"En programación")))),
"Error")</f>
        <v>Por revisar</v>
      </c>
      <c r="Q1666" s="9" t="str">
        <f t="shared" ref="Q1666:Q1729" si="78">IF(P1666="Por revisar",CONCATENATE("programación de act. ",N1666,", estado: ",O1666,", Comercializador: ",D1666,", Etapa: ",H1666),"")</f>
        <v>programación de act. NO, estado: Facturando, Comercializador: DICEL, Etapa: Instalado y Activado</v>
      </c>
      <c r="R1666" s="25" t="str">
        <f>IF(P1666="En programación Frcst.",VLOOKUP(L1666,Meses!$A$1:$H$14,3+HLOOKUP(Cronograma!J1666,Meses!$D$1:$G$2,2,FALSE),FALSE),
IF(P1666="En programación",M1666,""))</f>
        <v/>
      </c>
      <c r="S1666" s="25" t="str">
        <f t="shared" si="77"/>
        <v/>
      </c>
      <c r="T1666" s="21" t="str">
        <f>IFERROR(
(VLOOKUP(MONTH(R1666),Meses!$B$3:$C$14,2,FALSE)-DAY(R1666))/VLOOKUP(MONTH(R1666),Meses!$B$3:$C$14,2,FALSE)*U1666,
"")</f>
        <v/>
      </c>
      <c r="U1666" s="22">
        <f t="shared" ref="U1666:U1729" si="79">F1666</f>
        <v>18697</v>
      </c>
    </row>
    <row r="1667" spans="1:21" ht="32.4" hidden="1" thickBot="1" x14ac:dyDescent="0.6">
      <c r="A1667" s="10" t="s">
        <v>2123</v>
      </c>
      <c r="B1667" s="10" t="s">
        <v>2124</v>
      </c>
      <c r="C1667" s="12">
        <v>45036</v>
      </c>
      <c r="D1667" s="10" t="s">
        <v>323</v>
      </c>
      <c r="E1667" s="10" t="s">
        <v>14</v>
      </c>
      <c r="F1667" s="10">
        <v>19141</v>
      </c>
      <c r="G1667" s="10" t="s">
        <v>15</v>
      </c>
      <c r="H1667" s="10" t="s">
        <v>17</v>
      </c>
      <c r="I1667" s="10" t="s">
        <v>66</v>
      </c>
      <c r="J1667" s="10" t="s">
        <v>19</v>
      </c>
      <c r="K1667" s="10" t="s">
        <v>19</v>
      </c>
      <c r="L1667" s="10" t="s">
        <v>19</v>
      </c>
      <c r="M1667" s="12"/>
      <c r="N1667" s="10" t="s">
        <v>20</v>
      </c>
      <c r="O1667" s="10" t="s">
        <v>2054</v>
      </c>
      <c r="P1667" s="25" t="str">
        <f>IFERROR(
IF(OR(O1667="anulado",O1667="stand by"),CONCATENATE(O1667,": ",H1667),
IF(OR(YEAR(M1667)=2022,YEAR(M1667)=2023),CONCATENATE("Se activó en ",YEAR(M1667)),
IF(AND(OR(O1667="En proceso",O1667="facturando"),AND(J1667="-",M1667="")),"Por revisar",
IF(M1667="",IF(J1667="NUEVAS",CONCATENATE("Estado: ",O1667,", ",J1667),
IF(L1667=Meses!$A$3,"Por revisar",
IF(H1667="","Sin registro","En programación Frcst."))),"En programación")))),
"Error")</f>
        <v>Por revisar</v>
      </c>
      <c r="Q1667" s="9" t="str">
        <f t="shared" si="78"/>
        <v>programación de act. NO, estado: Facturando, Comercializador: DICEL, Etapa: Instalado y Activado</v>
      </c>
      <c r="R1667" s="25" t="str">
        <f>IF(P1667="En programación Frcst.",VLOOKUP(L1667,Meses!$A$1:$H$14,3+HLOOKUP(Cronograma!J1667,Meses!$D$1:$G$2,2,FALSE),FALSE),
IF(P1667="En programación",M1667,""))</f>
        <v/>
      </c>
      <c r="S1667" s="25" t="str">
        <f t="shared" ref="S1667:S1730" si="80">IFERROR(CONCATENATE(YEAR(R1667),"/",MONTH(R1667)),"")</f>
        <v/>
      </c>
      <c r="T1667" s="21" t="str">
        <f>IFERROR(
(VLOOKUP(MONTH(R1667),Meses!$B$3:$C$14,2,FALSE)-DAY(R1667))/VLOOKUP(MONTH(R1667),Meses!$B$3:$C$14,2,FALSE)*U1667,
"")</f>
        <v/>
      </c>
      <c r="U1667" s="22">
        <f t="shared" si="79"/>
        <v>19141</v>
      </c>
    </row>
    <row r="1668" spans="1:21" ht="47.4" hidden="1" thickBot="1" x14ac:dyDescent="0.6">
      <c r="A1668" s="10" t="s">
        <v>1083</v>
      </c>
      <c r="B1668" s="10" t="s">
        <v>2125</v>
      </c>
      <c r="C1668" s="12"/>
      <c r="D1668" s="10" t="s">
        <v>323</v>
      </c>
      <c r="E1668" s="10" t="s">
        <v>289</v>
      </c>
      <c r="F1668" s="10">
        <v>24969</v>
      </c>
      <c r="G1668" s="10" t="s">
        <v>15</v>
      </c>
      <c r="H1668" s="10" t="s">
        <v>2406</v>
      </c>
      <c r="I1668" s="10" t="s">
        <v>66</v>
      </c>
      <c r="J1668" s="10" t="s">
        <v>292</v>
      </c>
      <c r="K1668" s="10" t="s">
        <v>1697</v>
      </c>
      <c r="L1668" s="10" t="s">
        <v>1120</v>
      </c>
      <c r="M1668" s="12">
        <v>45379</v>
      </c>
      <c r="N1668" s="10" t="s">
        <v>20</v>
      </c>
      <c r="O1668" s="10" t="s">
        <v>2054</v>
      </c>
      <c r="P1668" s="25" t="str">
        <f>IFERROR(
IF(OR(O1668="anulado",O1668="stand by"),CONCATENATE(O1668,": ",H1668),
IF(OR(YEAR(M1668)=2022,YEAR(M1668)=2023),CONCATENATE("Se activó en ",YEAR(M1668)),
IF(AND(OR(O1668="En proceso",O1668="facturando"),AND(J1668="-",M1668="")),"Por revisar",
IF(M1668="",IF(J1668="NUEVAS",CONCATENATE("Estado: ",O1668,", ",J1668),
IF(L1668=Meses!$A$3,"Por revisar",
IF(H1668="","Sin registro","En programación Frcst."))),"En programación")))),
"Error")</f>
        <v>En programación</v>
      </c>
      <c r="Q1668" s="9" t="str">
        <f t="shared" si="78"/>
        <v/>
      </c>
      <c r="R1668" s="25">
        <f>IF(P1668="En programación Frcst.",VLOOKUP(L1668,Meses!$A$1:$H$14,3+HLOOKUP(Cronograma!J1668,Meses!$D$1:$G$2,2,FALSE),FALSE),
IF(P1668="En programación",M1668,""))</f>
        <v>45379</v>
      </c>
      <c r="S1668" s="25" t="str">
        <f t="shared" si="80"/>
        <v>2024/3</v>
      </c>
      <c r="T1668" s="21">
        <f>IFERROR(
(VLOOKUP(MONTH(R1668),Meses!$B$3:$C$14,2,FALSE)-DAY(R1668))/VLOOKUP(MONTH(R1668),Meses!$B$3:$C$14,2,FALSE)*U1668,
"")</f>
        <v>2416.3548387096776</v>
      </c>
      <c r="U1668" s="22">
        <f t="shared" si="79"/>
        <v>24969</v>
      </c>
    </row>
    <row r="1669" spans="1:21" ht="47.4" hidden="1" thickBot="1" x14ac:dyDescent="0.6">
      <c r="A1669" s="10" t="s">
        <v>1083</v>
      </c>
      <c r="B1669" s="10" t="s">
        <v>2126</v>
      </c>
      <c r="C1669" s="12"/>
      <c r="D1669" s="10" t="s">
        <v>323</v>
      </c>
      <c r="E1669" s="10" t="s">
        <v>287</v>
      </c>
      <c r="F1669" s="10">
        <v>6427</v>
      </c>
      <c r="G1669" s="10" t="s">
        <v>15</v>
      </c>
      <c r="H1669" s="10" t="s">
        <v>2406</v>
      </c>
      <c r="I1669" s="10" t="s">
        <v>66</v>
      </c>
      <c r="J1669" s="10" t="s">
        <v>292</v>
      </c>
      <c r="K1669" s="10" t="s">
        <v>1697</v>
      </c>
      <c r="L1669" s="10" t="s">
        <v>1120</v>
      </c>
      <c r="M1669" s="12">
        <v>45379</v>
      </c>
      <c r="N1669" s="10" t="s">
        <v>20</v>
      </c>
      <c r="O1669" s="10" t="s">
        <v>2054</v>
      </c>
      <c r="P1669" s="25" t="str">
        <f>IFERROR(
IF(OR(O1669="anulado",O1669="stand by"),CONCATENATE(O1669,": ",H1669),
IF(OR(YEAR(M1669)=2022,YEAR(M1669)=2023),CONCATENATE("Se activó en ",YEAR(M1669)),
IF(AND(OR(O1669="En proceso",O1669="facturando"),AND(J1669="-",M1669="")),"Por revisar",
IF(M1669="",IF(J1669="NUEVAS",CONCATENATE("Estado: ",O1669,", ",J1669),
IF(L1669=Meses!$A$3,"Por revisar",
IF(H1669="","Sin registro","En programación Frcst."))),"En programación")))),
"Error")</f>
        <v>En programación</v>
      </c>
      <c r="Q1669" s="9" t="str">
        <f t="shared" si="78"/>
        <v/>
      </c>
      <c r="R1669" s="25">
        <f>IF(P1669="En programación Frcst.",VLOOKUP(L1669,Meses!$A$1:$H$14,3+HLOOKUP(Cronograma!J1669,Meses!$D$1:$G$2,2,FALSE),FALSE),
IF(P1669="En programación",M1669,""))</f>
        <v>45379</v>
      </c>
      <c r="S1669" s="25" t="str">
        <f t="shared" si="80"/>
        <v>2024/3</v>
      </c>
      <c r="T1669" s="21">
        <f>IFERROR(
(VLOOKUP(MONTH(R1669),Meses!$B$3:$C$14,2,FALSE)-DAY(R1669))/VLOOKUP(MONTH(R1669),Meses!$B$3:$C$14,2,FALSE)*U1669,
"")</f>
        <v>621.9677419354839</v>
      </c>
      <c r="U1669" s="22">
        <f t="shared" si="79"/>
        <v>6427</v>
      </c>
    </row>
    <row r="1670" spans="1:21" ht="47.4" hidden="1" thickBot="1" x14ac:dyDescent="0.6">
      <c r="A1670" s="10" t="s">
        <v>1083</v>
      </c>
      <c r="B1670" s="10" t="s">
        <v>2127</v>
      </c>
      <c r="C1670" s="12"/>
      <c r="D1670" s="10" t="s">
        <v>323</v>
      </c>
      <c r="E1670" s="10" t="s">
        <v>287</v>
      </c>
      <c r="F1670" s="10">
        <v>5253</v>
      </c>
      <c r="G1670" s="10" t="s">
        <v>15</v>
      </c>
      <c r="H1670" s="10" t="s">
        <v>2406</v>
      </c>
      <c r="I1670" s="10" t="s">
        <v>66</v>
      </c>
      <c r="J1670" s="10" t="s">
        <v>292</v>
      </c>
      <c r="K1670" s="10" t="s">
        <v>1697</v>
      </c>
      <c r="L1670" s="10" t="s">
        <v>1120</v>
      </c>
      <c r="M1670" s="12">
        <v>45379</v>
      </c>
      <c r="N1670" s="10" t="s">
        <v>20</v>
      </c>
      <c r="O1670" s="10" t="s">
        <v>2054</v>
      </c>
      <c r="P1670" s="25" t="str">
        <f>IFERROR(
IF(OR(O1670="anulado",O1670="stand by"),CONCATENATE(O1670,": ",H1670),
IF(OR(YEAR(M1670)=2022,YEAR(M1670)=2023),CONCATENATE("Se activó en ",YEAR(M1670)),
IF(AND(OR(O1670="En proceso",O1670="facturando"),AND(J1670="-",M1670="")),"Por revisar",
IF(M1670="",IF(J1670="NUEVAS",CONCATENATE("Estado: ",O1670,", ",J1670),
IF(L1670=Meses!$A$3,"Por revisar",
IF(H1670="","Sin registro","En programación Frcst."))),"En programación")))),
"Error")</f>
        <v>En programación</v>
      </c>
      <c r="Q1670" s="9" t="str">
        <f t="shared" si="78"/>
        <v/>
      </c>
      <c r="R1670" s="25">
        <f>IF(P1670="En programación Frcst.",VLOOKUP(L1670,Meses!$A$1:$H$14,3+HLOOKUP(Cronograma!J1670,Meses!$D$1:$G$2,2,FALSE),FALSE),
IF(P1670="En programación",M1670,""))</f>
        <v>45379</v>
      </c>
      <c r="S1670" s="25" t="str">
        <f t="shared" si="80"/>
        <v>2024/3</v>
      </c>
      <c r="T1670" s="21">
        <f>IFERROR(
(VLOOKUP(MONTH(R1670),Meses!$B$3:$C$14,2,FALSE)-DAY(R1670))/VLOOKUP(MONTH(R1670),Meses!$B$3:$C$14,2,FALSE)*U1670,
"")</f>
        <v>508.35483870967738</v>
      </c>
      <c r="U1670" s="22">
        <f t="shared" si="79"/>
        <v>5253</v>
      </c>
    </row>
    <row r="1671" spans="1:21" ht="47.4" hidden="1" thickBot="1" x14ac:dyDescent="0.6">
      <c r="A1671" s="10" t="s">
        <v>1083</v>
      </c>
      <c r="B1671" s="10" t="s">
        <v>2128</v>
      </c>
      <c r="C1671" s="12"/>
      <c r="D1671" s="10" t="s">
        <v>323</v>
      </c>
      <c r="E1671" s="10" t="s">
        <v>287</v>
      </c>
      <c r="F1671" s="10">
        <v>405</v>
      </c>
      <c r="G1671" s="10" t="s">
        <v>15</v>
      </c>
      <c r="H1671" s="10" t="s">
        <v>2406</v>
      </c>
      <c r="I1671" s="10" t="s">
        <v>66</v>
      </c>
      <c r="J1671" s="10" t="s">
        <v>292</v>
      </c>
      <c r="K1671" s="10" t="s">
        <v>1697</v>
      </c>
      <c r="L1671" s="10" t="s">
        <v>1120</v>
      </c>
      <c r="M1671" s="12">
        <v>45379</v>
      </c>
      <c r="N1671" s="10" t="s">
        <v>20</v>
      </c>
      <c r="O1671" s="10" t="s">
        <v>2054</v>
      </c>
      <c r="P1671" s="25" t="str">
        <f>IFERROR(
IF(OR(O1671="anulado",O1671="stand by"),CONCATENATE(O1671,": ",H1671),
IF(OR(YEAR(M1671)=2022,YEAR(M1671)=2023),CONCATENATE("Se activó en ",YEAR(M1671)),
IF(AND(OR(O1671="En proceso",O1671="facturando"),AND(J1671="-",M1671="")),"Por revisar",
IF(M1671="",IF(J1671="NUEVAS",CONCATENATE("Estado: ",O1671,", ",J1671),
IF(L1671=Meses!$A$3,"Por revisar",
IF(H1671="","Sin registro","En programación Frcst."))),"En programación")))),
"Error")</f>
        <v>En programación</v>
      </c>
      <c r="Q1671" s="9" t="str">
        <f t="shared" si="78"/>
        <v/>
      </c>
      <c r="R1671" s="25">
        <f>IF(P1671="En programación Frcst.",VLOOKUP(L1671,Meses!$A$1:$H$14,3+HLOOKUP(Cronograma!J1671,Meses!$D$1:$G$2,2,FALSE),FALSE),
IF(P1671="En programación",M1671,""))</f>
        <v>45379</v>
      </c>
      <c r="S1671" s="25" t="str">
        <f t="shared" si="80"/>
        <v>2024/3</v>
      </c>
      <c r="T1671" s="21">
        <f>IFERROR(
(VLOOKUP(MONTH(R1671),Meses!$B$3:$C$14,2,FALSE)-DAY(R1671))/VLOOKUP(MONTH(R1671),Meses!$B$3:$C$14,2,FALSE)*U1671,
"")</f>
        <v>39.193548387096776</v>
      </c>
      <c r="U1671" s="22">
        <f t="shared" si="79"/>
        <v>405</v>
      </c>
    </row>
    <row r="1672" spans="1:21" ht="47.4" hidden="1" thickBot="1" x14ac:dyDescent="0.6">
      <c r="A1672" s="10" t="s">
        <v>1083</v>
      </c>
      <c r="B1672" s="10" t="s">
        <v>2129</v>
      </c>
      <c r="C1672" s="12"/>
      <c r="D1672" s="10" t="s">
        <v>323</v>
      </c>
      <c r="E1672" s="10" t="s">
        <v>287</v>
      </c>
      <c r="F1672" s="10">
        <v>4074</v>
      </c>
      <c r="G1672" s="10" t="s">
        <v>15</v>
      </c>
      <c r="H1672" s="10" t="s">
        <v>2406</v>
      </c>
      <c r="I1672" s="10" t="s">
        <v>66</v>
      </c>
      <c r="J1672" s="10" t="s">
        <v>292</v>
      </c>
      <c r="K1672" s="10" t="s">
        <v>1697</v>
      </c>
      <c r="L1672" s="10" t="s">
        <v>1120</v>
      </c>
      <c r="M1672" s="12">
        <v>45379</v>
      </c>
      <c r="N1672" s="10" t="s">
        <v>20</v>
      </c>
      <c r="O1672" s="10" t="s">
        <v>2054</v>
      </c>
      <c r="P1672" s="25" t="str">
        <f>IFERROR(
IF(OR(O1672="anulado",O1672="stand by"),CONCATENATE(O1672,": ",H1672),
IF(OR(YEAR(M1672)=2022,YEAR(M1672)=2023),CONCATENATE("Se activó en ",YEAR(M1672)),
IF(AND(OR(O1672="En proceso",O1672="facturando"),AND(J1672="-",M1672="")),"Por revisar",
IF(M1672="",IF(J1672="NUEVAS",CONCATENATE("Estado: ",O1672,", ",J1672),
IF(L1672=Meses!$A$3,"Por revisar",
IF(H1672="","Sin registro","En programación Frcst."))),"En programación")))),
"Error")</f>
        <v>En programación</v>
      </c>
      <c r="Q1672" s="9" t="str">
        <f t="shared" si="78"/>
        <v/>
      </c>
      <c r="R1672" s="25">
        <f>IF(P1672="En programación Frcst.",VLOOKUP(L1672,Meses!$A$1:$H$14,3+HLOOKUP(Cronograma!J1672,Meses!$D$1:$G$2,2,FALSE),FALSE),
IF(P1672="En programación",M1672,""))</f>
        <v>45379</v>
      </c>
      <c r="S1672" s="25" t="str">
        <f t="shared" si="80"/>
        <v>2024/3</v>
      </c>
      <c r="T1672" s="21">
        <f>IFERROR(
(VLOOKUP(MONTH(R1672),Meses!$B$3:$C$14,2,FALSE)-DAY(R1672))/VLOOKUP(MONTH(R1672),Meses!$B$3:$C$14,2,FALSE)*U1672,
"")</f>
        <v>394.25806451612902</v>
      </c>
      <c r="U1672" s="22">
        <f t="shared" si="79"/>
        <v>4074</v>
      </c>
    </row>
    <row r="1673" spans="1:21" ht="47.4" hidden="1" thickBot="1" x14ac:dyDescent="0.6">
      <c r="A1673" s="10" t="s">
        <v>1083</v>
      </c>
      <c r="B1673" s="10" t="s">
        <v>2830</v>
      </c>
      <c r="C1673" s="12">
        <v>45029</v>
      </c>
      <c r="D1673" s="10" t="s">
        <v>323</v>
      </c>
      <c r="E1673" s="10" t="s">
        <v>287</v>
      </c>
      <c r="F1673" s="10">
        <v>7134</v>
      </c>
      <c r="G1673" s="10" t="s">
        <v>15</v>
      </c>
      <c r="H1673" s="10" t="s">
        <v>2406</v>
      </c>
      <c r="I1673" s="10" t="s">
        <v>66</v>
      </c>
      <c r="J1673" s="10" t="s">
        <v>277</v>
      </c>
      <c r="K1673" s="10" t="s">
        <v>1697</v>
      </c>
      <c r="L1673" s="10" t="s">
        <v>1120</v>
      </c>
      <c r="M1673" s="12"/>
      <c r="N1673" s="10" t="s">
        <v>20</v>
      </c>
      <c r="O1673" s="10" t="s">
        <v>2054</v>
      </c>
      <c r="P1673" s="25" t="str">
        <f>IFERROR(
IF(OR(O1673="anulado",O1673="stand by"),CONCATENATE(O1673,": ",H1673),
IF(OR(YEAR(M1673)=2022,YEAR(M1673)=2023),CONCATENATE("Se activó en ",YEAR(M1673)),
IF(AND(OR(O1673="En proceso",O1673="facturando"),AND(J1673="-",M1673="")),"Por revisar",
IF(M1673="",IF(J1673="NUEVAS",CONCATENATE("Estado: ",O1673,", ",J1673),
IF(L1673=Meses!$A$3,"Por revisar",
IF(H1673="","Sin registro","En programación Frcst."))),"En programación")))),
"Error")</f>
        <v>En programación Frcst.</v>
      </c>
      <c r="Q1673" s="9" t="str">
        <f t="shared" si="78"/>
        <v/>
      </c>
      <c r="R1673" s="25">
        <f>IF(P1673="En programación Frcst.",VLOOKUP(L1673,Meses!$A$1:$H$14,3+HLOOKUP(Cronograma!J1673,Meses!$D$1:$G$2,2,FALSE),FALSE),
IF(P1673="En programación",M1673,""))</f>
        <v>45372</v>
      </c>
      <c r="S1673" s="25" t="str">
        <f t="shared" si="80"/>
        <v>2024/3</v>
      </c>
      <c r="T1673" s="21">
        <f>IFERROR(
(VLOOKUP(MONTH(R1673),Meses!$B$3:$C$14,2,FALSE)-DAY(R1673))/VLOOKUP(MONTH(R1673),Meses!$B$3:$C$14,2,FALSE)*U1673,
"")</f>
        <v>2301.2903225806449</v>
      </c>
      <c r="U1673" s="22">
        <f t="shared" si="79"/>
        <v>7134</v>
      </c>
    </row>
    <row r="1674" spans="1:21" ht="47.4" hidden="1" thickBot="1" x14ac:dyDescent="0.6">
      <c r="A1674" s="10" t="s">
        <v>1083</v>
      </c>
      <c r="B1674" s="10" t="s">
        <v>2130</v>
      </c>
      <c r="C1674" s="12"/>
      <c r="D1674" s="10" t="s">
        <v>323</v>
      </c>
      <c r="E1674" s="10" t="s">
        <v>287</v>
      </c>
      <c r="F1674" s="10">
        <v>4305</v>
      </c>
      <c r="G1674" s="10" t="s">
        <v>15</v>
      </c>
      <c r="H1674" s="10" t="s">
        <v>2916</v>
      </c>
      <c r="I1674" s="10" t="s">
        <v>66</v>
      </c>
      <c r="J1674" s="10" t="s">
        <v>292</v>
      </c>
      <c r="K1674" s="10" t="s">
        <v>1697</v>
      </c>
      <c r="L1674" s="10" t="s">
        <v>1120</v>
      </c>
      <c r="M1674" s="12">
        <v>45379</v>
      </c>
      <c r="N1674" s="10" t="s">
        <v>20</v>
      </c>
      <c r="O1674" s="10" t="s">
        <v>2057</v>
      </c>
      <c r="P1674" s="25" t="str">
        <f>IFERROR(
IF(OR(O1674="anulado",O1674="stand by"),CONCATENATE(O1674,": ",H1674),
IF(OR(YEAR(M1674)=2022,YEAR(M1674)=2023),CONCATENATE("Se activó en ",YEAR(M1674)),
IF(AND(OR(O1674="En proceso",O1674="facturando"),AND(J1674="-",M1674="")),"Por revisar",
IF(M1674="",IF(J1674="NUEVAS",CONCATENATE("Estado: ",O1674,", ",J1674),
IF(L1674=Meses!$A$3,"Por revisar",
IF(H1674="","Sin registro","En programación Frcst."))),"En programación")))),
"Error")</f>
        <v>En programación</v>
      </c>
      <c r="Q1674" s="9" t="str">
        <f t="shared" si="78"/>
        <v/>
      </c>
      <c r="R1674" s="25">
        <f>IF(P1674="En programación Frcst.",VLOOKUP(L1674,Meses!$A$1:$H$14,3+HLOOKUP(Cronograma!J1674,Meses!$D$1:$G$2,2,FALSE),FALSE),
IF(P1674="En programación",M1674,""))</f>
        <v>45379</v>
      </c>
      <c r="S1674" s="25" t="str">
        <f t="shared" si="80"/>
        <v>2024/3</v>
      </c>
      <c r="T1674" s="21">
        <f>IFERROR(
(VLOOKUP(MONTH(R1674),Meses!$B$3:$C$14,2,FALSE)-DAY(R1674))/VLOOKUP(MONTH(R1674),Meses!$B$3:$C$14,2,FALSE)*U1674,
"")</f>
        <v>416.61290322580646</v>
      </c>
      <c r="U1674" s="22">
        <f t="shared" si="79"/>
        <v>4305</v>
      </c>
    </row>
    <row r="1675" spans="1:21" ht="47.4" hidden="1" thickBot="1" x14ac:dyDescent="0.6">
      <c r="A1675" s="10" t="s">
        <v>1083</v>
      </c>
      <c r="B1675" s="10" t="s">
        <v>2831</v>
      </c>
      <c r="C1675" s="12">
        <v>45029</v>
      </c>
      <c r="D1675" s="10" t="s">
        <v>323</v>
      </c>
      <c r="E1675" s="10" t="s">
        <v>287</v>
      </c>
      <c r="F1675" s="10">
        <v>4699</v>
      </c>
      <c r="G1675" s="10" t="s">
        <v>15</v>
      </c>
      <c r="H1675" s="10" t="s">
        <v>2916</v>
      </c>
      <c r="I1675" s="10" t="s">
        <v>66</v>
      </c>
      <c r="J1675" s="10" t="s">
        <v>292</v>
      </c>
      <c r="K1675" s="10" t="s">
        <v>1697</v>
      </c>
      <c r="L1675" s="10" t="s">
        <v>1120</v>
      </c>
      <c r="M1675" s="12">
        <v>45379</v>
      </c>
      <c r="N1675" s="10" t="s">
        <v>20</v>
      </c>
      <c r="O1675" s="10" t="s">
        <v>2057</v>
      </c>
      <c r="P1675" s="25" t="str">
        <f>IFERROR(
IF(OR(O1675="anulado",O1675="stand by"),CONCATENATE(O1675,": ",H1675),
IF(OR(YEAR(M1675)=2022,YEAR(M1675)=2023),CONCATENATE("Se activó en ",YEAR(M1675)),
IF(AND(OR(O1675="En proceso",O1675="facturando"),AND(J1675="-",M1675="")),"Por revisar",
IF(M1675="",IF(J1675="NUEVAS",CONCATENATE("Estado: ",O1675,", ",J1675),
IF(L1675=Meses!$A$3,"Por revisar",
IF(H1675="","Sin registro","En programación Frcst."))),"En programación")))),
"Error")</f>
        <v>En programación</v>
      </c>
      <c r="Q1675" s="9" t="str">
        <f t="shared" si="78"/>
        <v/>
      </c>
      <c r="R1675" s="25">
        <f>IF(P1675="En programación Frcst.",VLOOKUP(L1675,Meses!$A$1:$H$14,3+HLOOKUP(Cronograma!J1675,Meses!$D$1:$G$2,2,FALSE),FALSE),
IF(P1675="En programación",M1675,""))</f>
        <v>45379</v>
      </c>
      <c r="S1675" s="25" t="str">
        <f t="shared" si="80"/>
        <v>2024/3</v>
      </c>
      <c r="T1675" s="21">
        <f>IFERROR(
(VLOOKUP(MONTH(R1675),Meses!$B$3:$C$14,2,FALSE)-DAY(R1675))/VLOOKUP(MONTH(R1675),Meses!$B$3:$C$14,2,FALSE)*U1675,
"")</f>
        <v>454.74193548387098</v>
      </c>
      <c r="U1675" s="22">
        <f t="shared" si="79"/>
        <v>4699</v>
      </c>
    </row>
    <row r="1676" spans="1:21" ht="47.4" hidden="1" thickBot="1" x14ac:dyDescent="0.6">
      <c r="A1676" s="10" t="s">
        <v>1083</v>
      </c>
      <c r="B1676" s="10" t="s">
        <v>2131</v>
      </c>
      <c r="C1676" s="12"/>
      <c r="D1676" s="10" t="s">
        <v>323</v>
      </c>
      <c r="E1676" s="10" t="s">
        <v>287</v>
      </c>
      <c r="F1676" s="10">
        <v>4415</v>
      </c>
      <c r="G1676" s="10" t="s">
        <v>15</v>
      </c>
      <c r="H1676" s="10" t="s">
        <v>2406</v>
      </c>
      <c r="I1676" s="10" t="s">
        <v>66</v>
      </c>
      <c r="J1676" s="10" t="s">
        <v>292</v>
      </c>
      <c r="K1676" s="10" t="s">
        <v>1697</v>
      </c>
      <c r="L1676" s="10" t="s">
        <v>1120</v>
      </c>
      <c r="M1676" s="12">
        <v>45379</v>
      </c>
      <c r="N1676" s="10" t="s">
        <v>20</v>
      </c>
      <c r="O1676" s="10" t="s">
        <v>2054</v>
      </c>
      <c r="P1676" s="25" t="str">
        <f>IFERROR(
IF(OR(O1676="anulado",O1676="stand by"),CONCATENATE(O1676,": ",H1676),
IF(OR(YEAR(M1676)=2022,YEAR(M1676)=2023),CONCATENATE("Se activó en ",YEAR(M1676)),
IF(AND(OR(O1676="En proceso",O1676="facturando"),AND(J1676="-",M1676="")),"Por revisar",
IF(M1676="",IF(J1676="NUEVAS",CONCATENATE("Estado: ",O1676,", ",J1676),
IF(L1676=Meses!$A$3,"Por revisar",
IF(H1676="","Sin registro","En programación Frcst."))),"En programación")))),
"Error")</f>
        <v>En programación</v>
      </c>
      <c r="Q1676" s="9" t="str">
        <f t="shared" si="78"/>
        <v/>
      </c>
      <c r="R1676" s="25">
        <f>IF(P1676="En programación Frcst.",VLOOKUP(L1676,Meses!$A$1:$H$14,3+HLOOKUP(Cronograma!J1676,Meses!$D$1:$G$2,2,FALSE),FALSE),
IF(P1676="En programación",M1676,""))</f>
        <v>45379</v>
      </c>
      <c r="S1676" s="25" t="str">
        <f t="shared" si="80"/>
        <v>2024/3</v>
      </c>
      <c r="T1676" s="21">
        <f>IFERROR(
(VLOOKUP(MONTH(R1676),Meses!$B$3:$C$14,2,FALSE)-DAY(R1676))/VLOOKUP(MONTH(R1676),Meses!$B$3:$C$14,2,FALSE)*U1676,
"")</f>
        <v>427.25806451612902</v>
      </c>
      <c r="U1676" s="22">
        <f t="shared" si="79"/>
        <v>4415</v>
      </c>
    </row>
    <row r="1677" spans="1:21" ht="78.599999999999994" hidden="1" thickBot="1" x14ac:dyDescent="0.6">
      <c r="A1677" s="10" t="s">
        <v>2132</v>
      </c>
      <c r="B1677" s="10" t="s">
        <v>2133</v>
      </c>
      <c r="C1677" s="12">
        <v>45029</v>
      </c>
      <c r="D1677" s="10" t="s">
        <v>323</v>
      </c>
      <c r="E1677" s="10" t="s">
        <v>291</v>
      </c>
      <c r="F1677" s="10">
        <v>6262</v>
      </c>
      <c r="G1677" s="10" t="s">
        <v>15</v>
      </c>
      <c r="H1677" s="10" t="s">
        <v>17</v>
      </c>
      <c r="I1677" s="10" t="s">
        <v>66</v>
      </c>
      <c r="J1677" s="10" t="s">
        <v>19</v>
      </c>
      <c r="K1677" s="10" t="s">
        <v>19</v>
      </c>
      <c r="L1677" s="10" t="s">
        <v>19</v>
      </c>
      <c r="M1677" s="12"/>
      <c r="N1677" s="10" t="s">
        <v>20</v>
      </c>
      <c r="O1677" s="10" t="s">
        <v>2054</v>
      </c>
      <c r="P1677" s="25" t="str">
        <f>IFERROR(
IF(OR(O1677="anulado",O1677="stand by"),CONCATENATE(O1677,": ",H1677),
IF(OR(YEAR(M1677)=2022,YEAR(M1677)=2023),CONCATENATE("Se activó en ",YEAR(M1677)),
IF(AND(OR(O1677="En proceso",O1677="facturando"),AND(J1677="-",M1677="")),"Por revisar",
IF(M1677="",IF(J1677="NUEVAS",CONCATENATE("Estado: ",O1677,", ",J1677),
IF(L1677=Meses!$A$3,"Por revisar",
IF(H1677="","Sin registro","En programación Frcst."))),"En programación")))),
"Error")</f>
        <v>Por revisar</v>
      </c>
      <c r="Q1677" s="9" t="str">
        <f t="shared" si="78"/>
        <v>programación de act. NO, estado: Facturando, Comercializador: DICEL, Etapa: Instalado y Activado</v>
      </c>
      <c r="R1677" s="25" t="str">
        <f>IF(P1677="En programación Frcst.",VLOOKUP(L1677,Meses!$A$1:$H$14,3+HLOOKUP(Cronograma!J1677,Meses!$D$1:$G$2,2,FALSE),FALSE),
IF(P1677="En programación",M1677,""))</f>
        <v/>
      </c>
      <c r="S1677" s="25" t="str">
        <f t="shared" si="80"/>
        <v/>
      </c>
      <c r="T1677" s="21" t="str">
        <f>IFERROR(
(VLOOKUP(MONTH(R1677),Meses!$B$3:$C$14,2,FALSE)-DAY(R1677))/VLOOKUP(MONTH(R1677),Meses!$B$3:$C$14,2,FALSE)*U1677,
"")</f>
        <v/>
      </c>
      <c r="U1677" s="22">
        <f t="shared" si="79"/>
        <v>6262</v>
      </c>
    </row>
    <row r="1678" spans="1:21" ht="78.599999999999994" hidden="1" thickBot="1" x14ac:dyDescent="0.6">
      <c r="A1678" s="10" t="s">
        <v>2132</v>
      </c>
      <c r="B1678" s="10" t="s">
        <v>2134</v>
      </c>
      <c r="C1678" s="12">
        <v>45029</v>
      </c>
      <c r="D1678" s="10" t="s">
        <v>323</v>
      </c>
      <c r="E1678" s="10" t="s">
        <v>291</v>
      </c>
      <c r="F1678" s="10">
        <v>6877</v>
      </c>
      <c r="G1678" s="10" t="s">
        <v>15</v>
      </c>
      <c r="H1678" s="10" t="s">
        <v>17</v>
      </c>
      <c r="I1678" s="10" t="s">
        <v>66</v>
      </c>
      <c r="J1678" s="10" t="s">
        <v>19</v>
      </c>
      <c r="K1678" s="10" t="s">
        <v>19</v>
      </c>
      <c r="L1678" s="10" t="s">
        <v>19</v>
      </c>
      <c r="M1678" s="12"/>
      <c r="N1678" s="10" t="s">
        <v>20</v>
      </c>
      <c r="O1678" s="10" t="s">
        <v>2054</v>
      </c>
      <c r="P1678" s="25" t="str">
        <f>IFERROR(
IF(OR(O1678="anulado",O1678="stand by"),CONCATENATE(O1678,": ",H1678),
IF(OR(YEAR(M1678)=2022,YEAR(M1678)=2023),CONCATENATE("Se activó en ",YEAR(M1678)),
IF(AND(OR(O1678="En proceso",O1678="facturando"),AND(J1678="-",M1678="")),"Por revisar",
IF(M1678="",IF(J1678="NUEVAS",CONCATENATE("Estado: ",O1678,", ",J1678),
IF(L1678=Meses!$A$3,"Por revisar",
IF(H1678="","Sin registro","En programación Frcst."))),"En programación")))),
"Error")</f>
        <v>Por revisar</v>
      </c>
      <c r="Q1678" s="9" t="str">
        <f t="shared" si="78"/>
        <v>programación de act. NO, estado: Facturando, Comercializador: DICEL, Etapa: Instalado y Activado</v>
      </c>
      <c r="R1678" s="25" t="str">
        <f>IF(P1678="En programación Frcst.",VLOOKUP(L1678,Meses!$A$1:$H$14,3+HLOOKUP(Cronograma!J1678,Meses!$D$1:$G$2,2,FALSE),FALSE),
IF(P1678="En programación",M1678,""))</f>
        <v/>
      </c>
      <c r="S1678" s="25" t="str">
        <f t="shared" si="80"/>
        <v/>
      </c>
      <c r="T1678" s="21" t="str">
        <f>IFERROR(
(VLOOKUP(MONTH(R1678),Meses!$B$3:$C$14,2,FALSE)-DAY(R1678))/VLOOKUP(MONTH(R1678),Meses!$B$3:$C$14,2,FALSE)*U1678,
"")</f>
        <v/>
      </c>
      <c r="U1678" s="22">
        <f t="shared" si="79"/>
        <v>6877</v>
      </c>
    </row>
    <row r="1679" spans="1:21" ht="31.8" hidden="1" thickBot="1" x14ac:dyDescent="0.6">
      <c r="A1679" s="10" t="s">
        <v>2135</v>
      </c>
      <c r="B1679" s="10" t="s">
        <v>2136</v>
      </c>
      <c r="C1679" s="12">
        <v>45029</v>
      </c>
      <c r="D1679" s="10" t="s">
        <v>323</v>
      </c>
      <c r="E1679" s="10" t="s">
        <v>291</v>
      </c>
      <c r="F1679" s="10"/>
      <c r="G1679" s="10" t="s">
        <v>15</v>
      </c>
      <c r="H1679" s="10" t="s">
        <v>2406</v>
      </c>
      <c r="I1679" s="10" t="s">
        <v>66</v>
      </c>
      <c r="J1679" s="10" t="s">
        <v>143</v>
      </c>
      <c r="K1679" s="10" t="s">
        <v>2895</v>
      </c>
      <c r="L1679" s="10" t="s">
        <v>2292</v>
      </c>
      <c r="M1679" s="12"/>
      <c r="N1679" s="10" t="s">
        <v>20</v>
      </c>
      <c r="O1679" s="10" t="s">
        <v>2054</v>
      </c>
      <c r="P1679" s="25" t="str">
        <f>IFERROR(
IF(OR(O1679="anulado",O1679="stand by"),CONCATENATE(O1679,": ",H1679),
IF(OR(YEAR(M1679)=2022,YEAR(M1679)=2023),CONCATENATE("Se activó en ",YEAR(M1679)),
IF(AND(OR(O1679="En proceso",O1679="facturando"),AND(J1679="-",M1679="")),"Por revisar",
IF(M1679="",IF(J1679="NUEVAS",CONCATENATE("Estado: ",O1679,", ",J1679),
IF(L1679=Meses!$A$3,"Por revisar",
IF(H1679="","Sin registro","En programación Frcst."))),"En programación")))),
"Error")</f>
        <v>En programación Frcst.</v>
      </c>
      <c r="Q1679" s="9" t="str">
        <f t="shared" si="78"/>
        <v/>
      </c>
      <c r="R1679" s="25">
        <f>IF(P1679="En programación Frcst.",VLOOKUP(L1679,Meses!$A$1:$H$14,3+HLOOKUP(Cronograma!J1679,Meses!$D$1:$G$2,2,FALSE),FALSE),
IF(P1679="En programación",M1679,""))</f>
        <v>45393</v>
      </c>
      <c r="S1679" s="25" t="str">
        <f t="shared" si="80"/>
        <v>2024/4</v>
      </c>
      <c r="T1679" s="21">
        <f>IFERROR(
(VLOOKUP(MONTH(R1679),Meses!$B$3:$C$14,2,FALSE)-DAY(R1679))/VLOOKUP(MONTH(R1679),Meses!$B$3:$C$14,2,FALSE)*U1679,
"")</f>
        <v>0</v>
      </c>
      <c r="U1679" s="22">
        <f t="shared" si="79"/>
        <v>0</v>
      </c>
    </row>
    <row r="1680" spans="1:21" ht="63" hidden="1" thickBot="1" x14ac:dyDescent="0.6">
      <c r="A1680" s="10" t="s">
        <v>2137</v>
      </c>
      <c r="B1680" s="10" t="s">
        <v>2138</v>
      </c>
      <c r="C1680" s="12">
        <v>45029</v>
      </c>
      <c r="D1680" s="10" t="s">
        <v>323</v>
      </c>
      <c r="E1680" s="10" t="s">
        <v>959</v>
      </c>
      <c r="F1680" s="10"/>
      <c r="G1680" s="10" t="s">
        <v>15</v>
      </c>
      <c r="H1680" s="10" t="s">
        <v>17</v>
      </c>
      <c r="I1680" s="10" t="s">
        <v>66</v>
      </c>
      <c r="J1680" s="10" t="s">
        <v>19</v>
      </c>
      <c r="K1680" s="10" t="s">
        <v>19</v>
      </c>
      <c r="L1680" s="10" t="s">
        <v>19</v>
      </c>
      <c r="M1680" s="12"/>
      <c r="N1680" s="10" t="s">
        <v>20</v>
      </c>
      <c r="O1680" s="10" t="s">
        <v>2054</v>
      </c>
      <c r="P1680" s="25" t="str">
        <f>IFERROR(
IF(OR(O1680="anulado",O1680="stand by"),CONCATENATE(O1680,": ",H1680),
IF(OR(YEAR(M1680)=2022,YEAR(M1680)=2023),CONCATENATE("Se activó en ",YEAR(M1680)),
IF(AND(OR(O1680="En proceso",O1680="facturando"),AND(J1680="-",M1680="")),"Por revisar",
IF(M1680="",IF(J1680="NUEVAS",CONCATENATE("Estado: ",O1680,", ",J1680),
IF(L1680=Meses!$A$3,"Por revisar",
IF(H1680="","Sin registro","En programación Frcst."))),"En programación")))),
"Error")</f>
        <v>Por revisar</v>
      </c>
      <c r="Q1680" s="9" t="str">
        <f t="shared" si="78"/>
        <v>programación de act. NO, estado: Facturando, Comercializador: DICEL, Etapa: Instalado y Activado</v>
      </c>
      <c r="R1680" s="25" t="str">
        <f>IF(P1680="En programación Frcst.",VLOOKUP(L1680,Meses!$A$1:$H$14,3+HLOOKUP(Cronograma!J1680,Meses!$D$1:$G$2,2,FALSE),FALSE),
IF(P1680="En programación",M1680,""))</f>
        <v/>
      </c>
      <c r="S1680" s="25" t="str">
        <f t="shared" si="80"/>
        <v/>
      </c>
      <c r="T1680" s="21" t="str">
        <f>IFERROR(
(VLOOKUP(MONTH(R1680),Meses!$B$3:$C$14,2,FALSE)-DAY(R1680))/VLOOKUP(MONTH(R1680),Meses!$B$3:$C$14,2,FALSE)*U1680,
"")</f>
        <v/>
      </c>
      <c r="U1680" s="22">
        <f t="shared" si="79"/>
        <v>0</v>
      </c>
    </row>
    <row r="1681" spans="1:21" ht="63" hidden="1" thickBot="1" x14ac:dyDescent="0.6">
      <c r="A1681" s="10" t="s">
        <v>2139</v>
      </c>
      <c r="B1681" s="10" t="s">
        <v>2140</v>
      </c>
      <c r="C1681" s="12">
        <v>45029</v>
      </c>
      <c r="D1681" s="10" t="s">
        <v>323</v>
      </c>
      <c r="E1681" s="10" t="s">
        <v>23</v>
      </c>
      <c r="F1681" s="10"/>
      <c r="G1681" s="10" t="s">
        <v>15</v>
      </c>
      <c r="H1681" s="10" t="s">
        <v>2406</v>
      </c>
      <c r="I1681" s="10" t="s">
        <v>66</v>
      </c>
      <c r="J1681" s="10" t="s">
        <v>143</v>
      </c>
      <c r="K1681" s="10" t="s">
        <v>2895</v>
      </c>
      <c r="L1681" s="10" t="s">
        <v>2292</v>
      </c>
      <c r="M1681" s="12"/>
      <c r="N1681" s="10" t="s">
        <v>20</v>
      </c>
      <c r="O1681" s="10" t="s">
        <v>2054</v>
      </c>
      <c r="P1681" s="25" t="str">
        <f>IFERROR(
IF(OR(O1681="anulado",O1681="stand by"),CONCATENATE(O1681,": ",H1681),
IF(OR(YEAR(M1681)=2022,YEAR(M1681)=2023),CONCATENATE("Se activó en ",YEAR(M1681)),
IF(AND(OR(O1681="En proceso",O1681="facturando"),AND(J1681="-",M1681="")),"Por revisar",
IF(M1681="",IF(J1681="NUEVAS",CONCATENATE("Estado: ",O1681,", ",J1681),
IF(L1681=Meses!$A$3,"Por revisar",
IF(H1681="","Sin registro","En programación Frcst."))),"En programación")))),
"Error")</f>
        <v>En programación Frcst.</v>
      </c>
      <c r="Q1681" s="9" t="str">
        <f t="shared" si="78"/>
        <v/>
      </c>
      <c r="R1681" s="25">
        <f>IF(P1681="En programación Frcst.",VLOOKUP(L1681,Meses!$A$1:$H$14,3+HLOOKUP(Cronograma!J1681,Meses!$D$1:$G$2,2,FALSE),FALSE),
IF(P1681="En programación",M1681,""))</f>
        <v>45393</v>
      </c>
      <c r="S1681" s="25" t="str">
        <f t="shared" si="80"/>
        <v>2024/4</v>
      </c>
      <c r="T1681" s="21">
        <f>IFERROR(
(VLOOKUP(MONTH(R1681),Meses!$B$3:$C$14,2,FALSE)-DAY(R1681))/VLOOKUP(MONTH(R1681),Meses!$B$3:$C$14,2,FALSE)*U1681,
"")</f>
        <v>0</v>
      </c>
      <c r="U1681" s="22">
        <f t="shared" si="79"/>
        <v>0</v>
      </c>
    </row>
    <row r="1682" spans="1:21" ht="47.4" hidden="1" thickBot="1" x14ac:dyDescent="0.6">
      <c r="A1682" s="10" t="s">
        <v>2141</v>
      </c>
      <c r="B1682" s="10" t="s">
        <v>2142</v>
      </c>
      <c r="C1682" s="12">
        <v>45029</v>
      </c>
      <c r="D1682" s="10" t="s">
        <v>323</v>
      </c>
      <c r="E1682" s="10" t="s">
        <v>14</v>
      </c>
      <c r="F1682" s="10"/>
      <c r="G1682" s="10" t="s">
        <v>15</v>
      </c>
      <c r="H1682" s="10" t="s">
        <v>17</v>
      </c>
      <c r="I1682" s="10" t="s">
        <v>66</v>
      </c>
      <c r="J1682" s="10" t="s">
        <v>19</v>
      </c>
      <c r="K1682" s="10" t="s">
        <v>19</v>
      </c>
      <c r="L1682" s="10" t="s">
        <v>19</v>
      </c>
      <c r="M1682" s="12"/>
      <c r="N1682" s="10" t="s">
        <v>20</v>
      </c>
      <c r="O1682" s="10" t="s">
        <v>2054</v>
      </c>
      <c r="P1682" s="25" t="str">
        <f>IFERROR(
IF(OR(O1682="anulado",O1682="stand by"),CONCATENATE(O1682,": ",H1682),
IF(OR(YEAR(M1682)=2022,YEAR(M1682)=2023),CONCATENATE("Se activó en ",YEAR(M1682)),
IF(AND(OR(O1682="En proceso",O1682="facturando"),AND(J1682="-",M1682="")),"Por revisar",
IF(M1682="",IF(J1682="NUEVAS",CONCATENATE("Estado: ",O1682,", ",J1682),
IF(L1682=Meses!$A$3,"Por revisar",
IF(H1682="","Sin registro","En programación Frcst."))),"En programación")))),
"Error")</f>
        <v>Por revisar</v>
      </c>
      <c r="Q1682" s="9" t="str">
        <f t="shared" si="78"/>
        <v>programación de act. NO, estado: Facturando, Comercializador: DICEL, Etapa: Instalado y Activado</v>
      </c>
      <c r="R1682" s="25" t="str">
        <f>IF(P1682="En programación Frcst.",VLOOKUP(L1682,Meses!$A$1:$H$14,3+HLOOKUP(Cronograma!J1682,Meses!$D$1:$G$2,2,FALSE),FALSE),
IF(P1682="En programación",M1682,""))</f>
        <v/>
      </c>
      <c r="S1682" s="25" t="str">
        <f t="shared" si="80"/>
        <v/>
      </c>
      <c r="T1682" s="21" t="str">
        <f>IFERROR(
(VLOOKUP(MONTH(R1682),Meses!$B$3:$C$14,2,FALSE)-DAY(R1682))/VLOOKUP(MONTH(R1682),Meses!$B$3:$C$14,2,FALSE)*U1682,
"")</f>
        <v/>
      </c>
      <c r="U1682" s="22">
        <f t="shared" si="79"/>
        <v>0</v>
      </c>
    </row>
    <row r="1683" spans="1:21" ht="94.2" hidden="1" thickBot="1" x14ac:dyDescent="0.6">
      <c r="A1683" s="10" t="s">
        <v>2143</v>
      </c>
      <c r="B1683" s="10" t="s">
        <v>2144</v>
      </c>
      <c r="C1683" s="12"/>
      <c r="D1683" s="10" t="s">
        <v>323</v>
      </c>
      <c r="E1683" s="10" t="s">
        <v>289</v>
      </c>
      <c r="F1683" s="10"/>
      <c r="G1683" s="10" t="s">
        <v>15</v>
      </c>
      <c r="H1683" s="10" t="s">
        <v>2406</v>
      </c>
      <c r="I1683" s="10" t="s">
        <v>66</v>
      </c>
      <c r="J1683" s="10" t="s">
        <v>292</v>
      </c>
      <c r="K1683" s="10" t="s">
        <v>1697</v>
      </c>
      <c r="L1683" s="10" t="s">
        <v>1120</v>
      </c>
      <c r="M1683" s="12">
        <v>45379</v>
      </c>
      <c r="N1683" s="10" t="s">
        <v>20</v>
      </c>
      <c r="O1683" s="10" t="s">
        <v>2054</v>
      </c>
      <c r="P1683" s="25" t="str">
        <f>IFERROR(
IF(OR(O1683="anulado",O1683="stand by"),CONCATENATE(O1683,": ",H1683),
IF(OR(YEAR(M1683)=2022,YEAR(M1683)=2023),CONCATENATE("Se activó en ",YEAR(M1683)),
IF(AND(OR(O1683="En proceso",O1683="facturando"),AND(J1683="-",M1683="")),"Por revisar",
IF(M1683="",IF(J1683="NUEVAS",CONCATENATE("Estado: ",O1683,", ",J1683),
IF(L1683=Meses!$A$3,"Por revisar",
IF(H1683="","Sin registro","En programación Frcst."))),"En programación")))),
"Error")</f>
        <v>En programación</v>
      </c>
      <c r="Q1683" s="9" t="str">
        <f t="shared" si="78"/>
        <v/>
      </c>
      <c r="R1683" s="25">
        <f>IF(P1683="En programación Frcst.",VLOOKUP(L1683,Meses!$A$1:$H$14,3+HLOOKUP(Cronograma!J1683,Meses!$D$1:$G$2,2,FALSE),FALSE),
IF(P1683="En programación",M1683,""))</f>
        <v>45379</v>
      </c>
      <c r="S1683" s="25" t="str">
        <f t="shared" si="80"/>
        <v>2024/3</v>
      </c>
      <c r="T1683" s="21">
        <f>IFERROR(
(VLOOKUP(MONTH(R1683),Meses!$B$3:$C$14,2,FALSE)-DAY(R1683))/VLOOKUP(MONTH(R1683),Meses!$B$3:$C$14,2,FALSE)*U1683,
"")</f>
        <v>0</v>
      </c>
      <c r="U1683" s="22">
        <f t="shared" si="79"/>
        <v>0</v>
      </c>
    </row>
    <row r="1684" spans="1:21" ht="63" hidden="1" thickBot="1" x14ac:dyDescent="0.6">
      <c r="A1684" s="10" t="s">
        <v>2145</v>
      </c>
      <c r="B1684" s="10" t="s">
        <v>2146</v>
      </c>
      <c r="C1684" s="12">
        <v>45029</v>
      </c>
      <c r="D1684" s="10" t="s">
        <v>323</v>
      </c>
      <c r="E1684" s="10" t="s">
        <v>289</v>
      </c>
      <c r="F1684" s="10"/>
      <c r="G1684" s="10" t="s">
        <v>15</v>
      </c>
      <c r="H1684" s="10" t="s">
        <v>3311</v>
      </c>
      <c r="I1684" s="10" t="s">
        <v>66</v>
      </c>
      <c r="J1684" s="10" t="s">
        <v>143</v>
      </c>
      <c r="K1684" s="10" t="s">
        <v>2895</v>
      </c>
      <c r="L1684" s="10" t="s">
        <v>2292</v>
      </c>
      <c r="M1684" s="12"/>
      <c r="N1684" s="10" t="s">
        <v>20</v>
      </c>
      <c r="O1684" s="10" t="s">
        <v>3311</v>
      </c>
      <c r="P1684" s="25" t="str">
        <f>IFERROR(
IF(OR(O1684="anulado",O1684="stand by"),CONCATENATE(O1684,": ",H1684),
IF(OR(YEAR(M1684)=2022,YEAR(M1684)=2023),CONCATENATE("Se activó en ",YEAR(M1684)),
IF(AND(OR(O1684="En proceso",O1684="facturando"),AND(J1684="-",M1684="")),"Por revisar",
IF(M1684="",IF(J1684="NUEVAS",CONCATENATE("Estado: ",O1684,", ",J1684),
IF(L1684=Meses!$A$3,"Por revisar",
IF(H1684="","Sin registro","En programación Frcst."))),"En programación")))),
"Error")</f>
        <v>En programación Frcst.</v>
      </c>
      <c r="Q1684" s="9" t="str">
        <f t="shared" si="78"/>
        <v/>
      </c>
      <c r="R1684" s="25">
        <f>IF(P1684="En programación Frcst.",VLOOKUP(L1684,Meses!$A$1:$H$14,3+HLOOKUP(Cronograma!J1684,Meses!$D$1:$G$2,2,FALSE),FALSE),
IF(P1684="En programación",M1684,""))</f>
        <v>45393</v>
      </c>
      <c r="S1684" s="25" t="str">
        <f t="shared" si="80"/>
        <v>2024/4</v>
      </c>
      <c r="T1684" s="21">
        <f>IFERROR(
(VLOOKUP(MONTH(R1684),Meses!$B$3:$C$14,2,FALSE)-DAY(R1684))/VLOOKUP(MONTH(R1684),Meses!$B$3:$C$14,2,FALSE)*U1684,
"")</f>
        <v>0</v>
      </c>
      <c r="U1684" s="22">
        <f t="shared" si="79"/>
        <v>0</v>
      </c>
    </row>
    <row r="1685" spans="1:21" ht="63" hidden="1" thickBot="1" x14ac:dyDescent="0.6">
      <c r="A1685" s="10" t="s">
        <v>2145</v>
      </c>
      <c r="B1685" s="10" t="s">
        <v>2147</v>
      </c>
      <c r="C1685" s="12">
        <v>45029</v>
      </c>
      <c r="D1685" s="10" t="s">
        <v>323</v>
      </c>
      <c r="E1685" s="10" t="s">
        <v>289</v>
      </c>
      <c r="F1685" s="10"/>
      <c r="G1685" s="10" t="s">
        <v>15</v>
      </c>
      <c r="H1685" s="10" t="s">
        <v>3311</v>
      </c>
      <c r="I1685" s="10" t="s">
        <v>66</v>
      </c>
      <c r="J1685" s="10" t="s">
        <v>143</v>
      </c>
      <c r="K1685" s="10" t="s">
        <v>2895</v>
      </c>
      <c r="L1685" s="10" t="s">
        <v>2292</v>
      </c>
      <c r="M1685" s="12"/>
      <c r="N1685" s="10" t="s">
        <v>20</v>
      </c>
      <c r="O1685" s="10" t="s">
        <v>3311</v>
      </c>
      <c r="P1685" s="25" t="str">
        <f>IFERROR(
IF(OR(O1685="anulado",O1685="stand by"),CONCATENATE(O1685,": ",H1685),
IF(OR(YEAR(M1685)=2022,YEAR(M1685)=2023),CONCATENATE("Se activó en ",YEAR(M1685)),
IF(AND(OR(O1685="En proceso",O1685="facturando"),AND(J1685="-",M1685="")),"Por revisar",
IF(M1685="",IF(J1685="NUEVAS",CONCATENATE("Estado: ",O1685,", ",J1685),
IF(L1685=Meses!$A$3,"Por revisar",
IF(H1685="","Sin registro","En programación Frcst."))),"En programación")))),
"Error")</f>
        <v>En programación Frcst.</v>
      </c>
      <c r="Q1685" s="9" t="str">
        <f t="shared" si="78"/>
        <v/>
      </c>
      <c r="R1685" s="25">
        <f>IF(P1685="En programación Frcst.",VLOOKUP(L1685,Meses!$A$1:$H$14,3+HLOOKUP(Cronograma!J1685,Meses!$D$1:$G$2,2,FALSE),FALSE),
IF(P1685="En programación",M1685,""))</f>
        <v>45393</v>
      </c>
      <c r="S1685" s="25" t="str">
        <f t="shared" si="80"/>
        <v>2024/4</v>
      </c>
      <c r="T1685" s="21">
        <f>IFERROR(
(VLOOKUP(MONTH(R1685),Meses!$B$3:$C$14,2,FALSE)-DAY(R1685))/VLOOKUP(MONTH(R1685),Meses!$B$3:$C$14,2,FALSE)*U1685,
"")</f>
        <v>0</v>
      </c>
      <c r="U1685" s="22">
        <f t="shared" si="79"/>
        <v>0</v>
      </c>
    </row>
    <row r="1686" spans="1:21" ht="32.4" hidden="1" thickBot="1" x14ac:dyDescent="0.6">
      <c r="A1686" s="10" t="s">
        <v>2148</v>
      </c>
      <c r="B1686" s="10" t="s">
        <v>2149</v>
      </c>
      <c r="C1686" s="12">
        <v>45029</v>
      </c>
      <c r="D1686" s="10" t="s">
        <v>323</v>
      </c>
      <c r="E1686" s="10" t="s">
        <v>23</v>
      </c>
      <c r="F1686" s="10"/>
      <c r="G1686" s="10" t="s">
        <v>15</v>
      </c>
      <c r="H1686" s="10" t="s">
        <v>17</v>
      </c>
      <c r="I1686" s="10" t="s">
        <v>66</v>
      </c>
      <c r="J1686" s="10" t="s">
        <v>19</v>
      </c>
      <c r="K1686" s="10" t="s">
        <v>19</v>
      </c>
      <c r="L1686" s="10" t="s">
        <v>19</v>
      </c>
      <c r="M1686" s="12"/>
      <c r="N1686" s="10" t="s">
        <v>20</v>
      </c>
      <c r="O1686" s="10" t="s">
        <v>2054</v>
      </c>
      <c r="P1686" s="25" t="str">
        <f>IFERROR(
IF(OR(O1686="anulado",O1686="stand by"),CONCATENATE(O1686,": ",H1686),
IF(OR(YEAR(M1686)=2022,YEAR(M1686)=2023),CONCATENATE("Se activó en ",YEAR(M1686)),
IF(AND(OR(O1686="En proceso",O1686="facturando"),AND(J1686="-",M1686="")),"Por revisar",
IF(M1686="",IF(J1686="NUEVAS",CONCATENATE("Estado: ",O1686,", ",J1686),
IF(L1686=Meses!$A$3,"Por revisar",
IF(H1686="","Sin registro","En programación Frcst."))),"En programación")))),
"Error")</f>
        <v>Por revisar</v>
      </c>
      <c r="Q1686" s="9" t="str">
        <f t="shared" si="78"/>
        <v>programación de act. NO, estado: Facturando, Comercializador: DICEL, Etapa: Instalado y Activado</v>
      </c>
      <c r="R1686" s="25" t="str">
        <f>IF(P1686="En programación Frcst.",VLOOKUP(L1686,Meses!$A$1:$H$14,3+HLOOKUP(Cronograma!J1686,Meses!$D$1:$G$2,2,FALSE),FALSE),
IF(P1686="En programación",M1686,""))</f>
        <v/>
      </c>
      <c r="S1686" s="25" t="str">
        <f t="shared" si="80"/>
        <v/>
      </c>
      <c r="T1686" s="21" t="str">
        <f>IFERROR(
(VLOOKUP(MONTH(R1686),Meses!$B$3:$C$14,2,FALSE)-DAY(R1686))/VLOOKUP(MONTH(R1686),Meses!$B$3:$C$14,2,FALSE)*U1686,
"")</f>
        <v/>
      </c>
      <c r="U1686" s="22">
        <f t="shared" si="79"/>
        <v>0</v>
      </c>
    </row>
    <row r="1687" spans="1:21" ht="78.599999999999994" hidden="1" thickBot="1" x14ac:dyDescent="0.6">
      <c r="A1687" s="10" t="s">
        <v>2150</v>
      </c>
      <c r="B1687" s="10" t="s">
        <v>2151</v>
      </c>
      <c r="C1687" s="12">
        <v>45029</v>
      </c>
      <c r="D1687" s="10" t="s">
        <v>323</v>
      </c>
      <c r="E1687" s="10" t="s">
        <v>959</v>
      </c>
      <c r="F1687" s="10"/>
      <c r="G1687" s="10" t="s">
        <v>15</v>
      </c>
      <c r="H1687" s="10" t="s">
        <v>17</v>
      </c>
      <c r="I1687" s="10" t="s">
        <v>66</v>
      </c>
      <c r="J1687" s="10" t="s">
        <v>19</v>
      </c>
      <c r="K1687" s="10" t="s">
        <v>19</v>
      </c>
      <c r="L1687" s="10" t="s">
        <v>19</v>
      </c>
      <c r="M1687" s="12"/>
      <c r="N1687" s="10" t="s">
        <v>20</v>
      </c>
      <c r="O1687" s="10" t="s">
        <v>2054</v>
      </c>
      <c r="P1687" s="25" t="str">
        <f>IFERROR(
IF(OR(O1687="anulado",O1687="stand by"),CONCATENATE(O1687,": ",H1687),
IF(OR(YEAR(M1687)=2022,YEAR(M1687)=2023),CONCATENATE("Se activó en ",YEAR(M1687)),
IF(AND(OR(O1687="En proceso",O1687="facturando"),AND(J1687="-",M1687="")),"Por revisar",
IF(M1687="",IF(J1687="NUEVAS",CONCATENATE("Estado: ",O1687,", ",J1687),
IF(L1687=Meses!$A$3,"Por revisar",
IF(H1687="","Sin registro","En programación Frcst."))),"En programación")))),
"Error")</f>
        <v>Por revisar</v>
      </c>
      <c r="Q1687" s="9" t="str">
        <f t="shared" si="78"/>
        <v>programación de act. NO, estado: Facturando, Comercializador: DICEL, Etapa: Instalado y Activado</v>
      </c>
      <c r="R1687" s="25" t="str">
        <f>IF(P1687="En programación Frcst.",VLOOKUP(L1687,Meses!$A$1:$H$14,3+HLOOKUP(Cronograma!J1687,Meses!$D$1:$G$2,2,FALSE),FALSE),
IF(P1687="En programación",M1687,""))</f>
        <v/>
      </c>
      <c r="S1687" s="25" t="str">
        <f t="shared" si="80"/>
        <v/>
      </c>
      <c r="T1687" s="21" t="str">
        <f>IFERROR(
(VLOOKUP(MONTH(R1687),Meses!$B$3:$C$14,2,FALSE)-DAY(R1687))/VLOOKUP(MONTH(R1687),Meses!$B$3:$C$14,2,FALSE)*U1687,
"")</f>
        <v/>
      </c>
      <c r="U1687" s="22">
        <f t="shared" si="79"/>
        <v>0</v>
      </c>
    </row>
    <row r="1688" spans="1:21" ht="47.4" hidden="1" thickBot="1" x14ac:dyDescent="0.6">
      <c r="A1688" s="10" t="s">
        <v>2152</v>
      </c>
      <c r="B1688" s="10" t="s">
        <v>2153</v>
      </c>
      <c r="C1688" s="12">
        <v>45029</v>
      </c>
      <c r="D1688" s="10" t="s">
        <v>323</v>
      </c>
      <c r="E1688" s="10" t="s">
        <v>959</v>
      </c>
      <c r="F1688" s="10"/>
      <c r="G1688" s="10" t="s">
        <v>15</v>
      </c>
      <c r="H1688" s="10" t="s">
        <v>2406</v>
      </c>
      <c r="I1688" s="10" t="s">
        <v>66</v>
      </c>
      <c r="J1688" s="10" t="s">
        <v>143</v>
      </c>
      <c r="K1688" s="10" t="s">
        <v>2895</v>
      </c>
      <c r="L1688" s="10" t="s">
        <v>2292</v>
      </c>
      <c r="M1688" s="12"/>
      <c r="N1688" s="10" t="s">
        <v>20</v>
      </c>
      <c r="O1688" s="10" t="s">
        <v>2054</v>
      </c>
      <c r="P1688" s="25" t="str">
        <f>IFERROR(
IF(OR(O1688="anulado",O1688="stand by"),CONCATENATE(O1688,": ",H1688),
IF(OR(YEAR(M1688)=2022,YEAR(M1688)=2023),CONCATENATE("Se activó en ",YEAR(M1688)),
IF(AND(OR(O1688="En proceso",O1688="facturando"),AND(J1688="-",M1688="")),"Por revisar",
IF(M1688="",IF(J1688="NUEVAS",CONCATENATE("Estado: ",O1688,", ",J1688),
IF(L1688=Meses!$A$3,"Por revisar",
IF(H1688="","Sin registro","En programación Frcst."))),"En programación")))),
"Error")</f>
        <v>En programación Frcst.</v>
      </c>
      <c r="Q1688" s="9" t="str">
        <f t="shared" si="78"/>
        <v/>
      </c>
      <c r="R1688" s="25">
        <f>IF(P1688="En programación Frcst.",VLOOKUP(L1688,Meses!$A$1:$H$14,3+HLOOKUP(Cronograma!J1688,Meses!$D$1:$G$2,2,FALSE),FALSE),
IF(P1688="En programación",M1688,""))</f>
        <v>45393</v>
      </c>
      <c r="S1688" s="25" t="str">
        <f t="shared" si="80"/>
        <v>2024/4</v>
      </c>
      <c r="T1688" s="21">
        <f>IFERROR(
(VLOOKUP(MONTH(R1688),Meses!$B$3:$C$14,2,FALSE)-DAY(R1688))/VLOOKUP(MONTH(R1688),Meses!$B$3:$C$14,2,FALSE)*U1688,
"")</f>
        <v>0</v>
      </c>
      <c r="U1688" s="22">
        <f t="shared" si="79"/>
        <v>0</v>
      </c>
    </row>
    <row r="1689" spans="1:21" ht="47.4" hidden="1" thickBot="1" x14ac:dyDescent="0.6">
      <c r="A1689" s="10" t="s">
        <v>2154</v>
      </c>
      <c r="B1689" s="10" t="s">
        <v>2155</v>
      </c>
      <c r="C1689" s="12">
        <v>45029</v>
      </c>
      <c r="D1689" s="10" t="s">
        <v>323</v>
      </c>
      <c r="E1689" s="10" t="s">
        <v>959</v>
      </c>
      <c r="F1689" s="10"/>
      <c r="G1689" s="10" t="s">
        <v>15</v>
      </c>
      <c r="H1689" s="10" t="s">
        <v>17</v>
      </c>
      <c r="I1689" s="10" t="s">
        <v>66</v>
      </c>
      <c r="J1689" s="10" t="s">
        <v>19</v>
      </c>
      <c r="K1689" s="10" t="s">
        <v>19</v>
      </c>
      <c r="L1689" s="10" t="s">
        <v>19</v>
      </c>
      <c r="M1689" s="12"/>
      <c r="N1689" s="10" t="s">
        <v>20</v>
      </c>
      <c r="O1689" s="10" t="s">
        <v>2054</v>
      </c>
      <c r="P1689" s="25" t="str">
        <f>IFERROR(
IF(OR(O1689="anulado",O1689="stand by"),CONCATENATE(O1689,": ",H1689),
IF(OR(YEAR(M1689)=2022,YEAR(M1689)=2023),CONCATENATE("Se activó en ",YEAR(M1689)),
IF(AND(OR(O1689="En proceso",O1689="facturando"),AND(J1689="-",M1689="")),"Por revisar",
IF(M1689="",IF(J1689="NUEVAS",CONCATENATE("Estado: ",O1689,", ",J1689),
IF(L1689=Meses!$A$3,"Por revisar",
IF(H1689="","Sin registro","En programación Frcst."))),"En programación")))),
"Error")</f>
        <v>Por revisar</v>
      </c>
      <c r="Q1689" s="9" t="str">
        <f t="shared" si="78"/>
        <v>programación de act. NO, estado: Facturando, Comercializador: DICEL, Etapa: Instalado y Activado</v>
      </c>
      <c r="R1689" s="25" t="str">
        <f>IF(P1689="En programación Frcst.",VLOOKUP(L1689,Meses!$A$1:$H$14,3+HLOOKUP(Cronograma!J1689,Meses!$D$1:$G$2,2,FALSE),FALSE),
IF(P1689="En programación",M1689,""))</f>
        <v/>
      </c>
      <c r="S1689" s="25" t="str">
        <f t="shared" si="80"/>
        <v/>
      </c>
      <c r="T1689" s="21" t="str">
        <f>IFERROR(
(VLOOKUP(MONTH(R1689),Meses!$B$3:$C$14,2,FALSE)-DAY(R1689))/VLOOKUP(MONTH(R1689),Meses!$B$3:$C$14,2,FALSE)*U1689,
"")</f>
        <v/>
      </c>
      <c r="U1689" s="22">
        <f t="shared" si="79"/>
        <v>0</v>
      </c>
    </row>
    <row r="1690" spans="1:21" ht="78.599999999999994" hidden="1" thickBot="1" x14ac:dyDescent="0.6">
      <c r="A1690" s="10" t="s">
        <v>2156</v>
      </c>
      <c r="B1690" s="10" t="s">
        <v>2157</v>
      </c>
      <c r="C1690" s="12">
        <v>45029</v>
      </c>
      <c r="D1690" s="10" t="s">
        <v>323</v>
      </c>
      <c r="E1690" s="10" t="s">
        <v>2074</v>
      </c>
      <c r="F1690" s="10"/>
      <c r="G1690" s="10" t="s">
        <v>15</v>
      </c>
      <c r="H1690" s="10" t="s">
        <v>2406</v>
      </c>
      <c r="I1690" s="10" t="s">
        <v>66</v>
      </c>
      <c r="J1690" s="10" t="s">
        <v>277</v>
      </c>
      <c r="K1690" s="10" t="s">
        <v>278</v>
      </c>
      <c r="L1690" s="10" t="s">
        <v>279</v>
      </c>
      <c r="M1690" s="12"/>
      <c r="N1690" s="10" t="s">
        <v>15</v>
      </c>
      <c r="O1690" s="10" t="s">
        <v>2054</v>
      </c>
      <c r="P1690" s="25" t="str">
        <f>IFERROR(
IF(OR(O1690="anulado",O1690="stand by"),CONCATENATE(O1690,": ",H1690),
IF(OR(YEAR(M1690)=2022,YEAR(M1690)=2023),CONCATENATE("Se activó en ",YEAR(M1690)),
IF(AND(OR(O1690="En proceso",O1690="facturando"),AND(J1690="-",M1690="")),"Por revisar",
IF(M1690="",IF(J1690="NUEVAS",CONCATENATE("Estado: ",O1690,", ",J1690),
IF(L1690=Meses!$A$3,"Por revisar",
IF(H1690="","Sin registro","En programación Frcst."))),"En programación")))),
"Error")</f>
        <v>En programación Frcst.</v>
      </c>
      <c r="Q1690" s="9" t="str">
        <f t="shared" si="78"/>
        <v/>
      </c>
      <c r="R1690" s="25">
        <f>IF(P1690="En programación Frcst.",VLOOKUP(L1690,Meses!$A$1:$H$14,3+HLOOKUP(Cronograma!J1690,Meses!$D$1:$G$2,2,FALSE),FALSE),
IF(P1690="En programación",M1690,""))</f>
        <v>45309</v>
      </c>
      <c r="S1690" s="25" t="str">
        <f t="shared" si="80"/>
        <v>2024/1</v>
      </c>
      <c r="T1690" s="21">
        <f>IFERROR(
(VLOOKUP(MONTH(R1690),Meses!$B$3:$C$14,2,FALSE)-DAY(R1690))/VLOOKUP(MONTH(R1690),Meses!$B$3:$C$14,2,FALSE)*U1690,
"")</f>
        <v>0</v>
      </c>
      <c r="U1690" s="22">
        <f t="shared" si="79"/>
        <v>0</v>
      </c>
    </row>
    <row r="1691" spans="1:21" ht="63" hidden="1" thickBot="1" x14ac:dyDescent="0.6">
      <c r="A1691" s="10" t="s">
        <v>2158</v>
      </c>
      <c r="B1691" s="10" t="s">
        <v>2159</v>
      </c>
      <c r="C1691" s="12">
        <v>45029</v>
      </c>
      <c r="D1691" s="10" t="s">
        <v>323</v>
      </c>
      <c r="E1691" s="10" t="s">
        <v>2074</v>
      </c>
      <c r="F1691" s="10"/>
      <c r="G1691" s="10" t="s">
        <v>15</v>
      </c>
      <c r="H1691" s="10" t="s">
        <v>2406</v>
      </c>
      <c r="I1691" s="10" t="s">
        <v>66</v>
      </c>
      <c r="J1691" s="10" t="s">
        <v>19</v>
      </c>
      <c r="K1691" s="10" t="s">
        <v>19</v>
      </c>
      <c r="L1691" s="10" t="s">
        <v>19</v>
      </c>
      <c r="M1691" s="12"/>
      <c r="N1691" s="10" t="s">
        <v>20</v>
      </c>
      <c r="O1691" s="10" t="s">
        <v>2054</v>
      </c>
      <c r="P1691" s="25" t="str">
        <f>IFERROR(
IF(OR(O1691="anulado",O1691="stand by"),CONCATENATE(O1691,": ",H1691),
IF(OR(YEAR(M1691)=2022,YEAR(M1691)=2023),CONCATENATE("Se activó en ",YEAR(M1691)),
IF(AND(OR(O1691="En proceso",O1691="facturando"),AND(J1691="-",M1691="")),"Por revisar",
IF(M1691="",IF(J1691="NUEVAS",CONCATENATE("Estado: ",O1691,", ",J1691),
IF(L1691=Meses!$A$3,"Por revisar",
IF(H1691="","Sin registro","En programación Frcst."))),"En programación")))),
"Error")</f>
        <v>Por revisar</v>
      </c>
      <c r="Q1691" s="9" t="str">
        <f t="shared" si="78"/>
        <v>programación de act. NO, estado: Facturando, Comercializador: DICEL, Etapa:  Activo Pendiente Instalación</v>
      </c>
      <c r="R1691" s="25" t="str">
        <f>IF(P1691="En programación Frcst.",VLOOKUP(L1691,Meses!$A$1:$H$14,3+HLOOKUP(Cronograma!J1691,Meses!$D$1:$G$2,2,FALSE),FALSE),
IF(P1691="En programación",M1691,""))</f>
        <v/>
      </c>
      <c r="S1691" s="25" t="str">
        <f t="shared" si="80"/>
        <v/>
      </c>
      <c r="T1691" s="21" t="str">
        <f>IFERROR(
(VLOOKUP(MONTH(R1691),Meses!$B$3:$C$14,2,FALSE)-DAY(R1691))/VLOOKUP(MONTH(R1691),Meses!$B$3:$C$14,2,FALSE)*U1691,
"")</f>
        <v/>
      </c>
      <c r="U1691" s="22">
        <f t="shared" si="79"/>
        <v>0</v>
      </c>
    </row>
    <row r="1692" spans="1:21" ht="32.4" hidden="1" thickBot="1" x14ac:dyDescent="0.6">
      <c r="A1692" s="10" t="s">
        <v>2160</v>
      </c>
      <c r="B1692" s="10" t="s">
        <v>2161</v>
      </c>
      <c r="C1692" s="12">
        <v>45029</v>
      </c>
      <c r="D1692" s="10" t="s">
        <v>323</v>
      </c>
      <c r="E1692" s="10" t="s">
        <v>14</v>
      </c>
      <c r="F1692" s="10"/>
      <c r="G1692" s="10" t="s">
        <v>15</v>
      </c>
      <c r="H1692" s="10" t="s">
        <v>17</v>
      </c>
      <c r="I1692" s="10" t="s">
        <v>66</v>
      </c>
      <c r="J1692" s="10" t="s">
        <v>19</v>
      </c>
      <c r="K1692" s="10" t="s">
        <v>19</v>
      </c>
      <c r="L1692" s="10" t="s">
        <v>19</v>
      </c>
      <c r="M1692" s="12"/>
      <c r="N1692" s="10" t="s">
        <v>20</v>
      </c>
      <c r="O1692" s="10" t="s">
        <v>2054</v>
      </c>
      <c r="P1692" s="25" t="str">
        <f>IFERROR(
IF(OR(O1692="anulado",O1692="stand by"),CONCATENATE(O1692,": ",H1692),
IF(OR(YEAR(M1692)=2022,YEAR(M1692)=2023),CONCATENATE("Se activó en ",YEAR(M1692)),
IF(AND(OR(O1692="En proceso",O1692="facturando"),AND(J1692="-",M1692="")),"Por revisar",
IF(M1692="",IF(J1692="NUEVAS",CONCATENATE("Estado: ",O1692,", ",J1692),
IF(L1692=Meses!$A$3,"Por revisar",
IF(H1692="","Sin registro","En programación Frcst."))),"En programación")))),
"Error")</f>
        <v>Por revisar</v>
      </c>
      <c r="Q1692" s="9" t="str">
        <f t="shared" si="78"/>
        <v>programación de act. NO, estado: Facturando, Comercializador: DICEL, Etapa: Instalado y Activado</v>
      </c>
      <c r="R1692" s="25" t="str">
        <f>IF(P1692="En programación Frcst.",VLOOKUP(L1692,Meses!$A$1:$H$14,3+HLOOKUP(Cronograma!J1692,Meses!$D$1:$G$2,2,FALSE),FALSE),
IF(P1692="En programación",M1692,""))</f>
        <v/>
      </c>
      <c r="S1692" s="25" t="str">
        <f t="shared" si="80"/>
        <v/>
      </c>
      <c r="T1692" s="21" t="str">
        <f>IFERROR(
(VLOOKUP(MONTH(R1692),Meses!$B$3:$C$14,2,FALSE)-DAY(R1692))/VLOOKUP(MONTH(R1692),Meses!$B$3:$C$14,2,FALSE)*U1692,
"")</f>
        <v/>
      </c>
      <c r="U1692" s="22">
        <f t="shared" si="79"/>
        <v>0</v>
      </c>
    </row>
    <row r="1693" spans="1:21" ht="47.4" hidden="1" thickBot="1" x14ac:dyDescent="0.6">
      <c r="A1693" s="10" t="s">
        <v>2162</v>
      </c>
      <c r="B1693" s="10" t="s">
        <v>2163</v>
      </c>
      <c r="C1693" s="12">
        <v>45029</v>
      </c>
      <c r="D1693" s="10" t="s">
        <v>323</v>
      </c>
      <c r="E1693" s="10" t="s">
        <v>14</v>
      </c>
      <c r="F1693" s="10"/>
      <c r="G1693" s="10" t="s">
        <v>15</v>
      </c>
      <c r="H1693" s="10" t="s">
        <v>17</v>
      </c>
      <c r="I1693" s="10" t="s">
        <v>66</v>
      </c>
      <c r="J1693" s="10" t="s">
        <v>19</v>
      </c>
      <c r="K1693" s="10" t="s">
        <v>19</v>
      </c>
      <c r="L1693" s="10" t="s">
        <v>19</v>
      </c>
      <c r="M1693" s="12"/>
      <c r="N1693" s="10" t="s">
        <v>20</v>
      </c>
      <c r="O1693" s="10" t="s">
        <v>2054</v>
      </c>
      <c r="P1693" s="25" t="str">
        <f>IFERROR(
IF(OR(O1693="anulado",O1693="stand by"),CONCATENATE(O1693,": ",H1693),
IF(OR(YEAR(M1693)=2022,YEAR(M1693)=2023),CONCATENATE("Se activó en ",YEAR(M1693)),
IF(AND(OR(O1693="En proceso",O1693="facturando"),AND(J1693="-",M1693="")),"Por revisar",
IF(M1693="",IF(J1693="NUEVAS",CONCATENATE("Estado: ",O1693,", ",J1693),
IF(L1693=Meses!$A$3,"Por revisar",
IF(H1693="","Sin registro","En programación Frcst."))),"En programación")))),
"Error")</f>
        <v>Por revisar</v>
      </c>
      <c r="Q1693" s="9" t="str">
        <f t="shared" si="78"/>
        <v>programación de act. NO, estado: Facturando, Comercializador: DICEL, Etapa: Instalado y Activado</v>
      </c>
      <c r="R1693" s="25" t="str">
        <f>IF(P1693="En programación Frcst.",VLOOKUP(L1693,Meses!$A$1:$H$14,3+HLOOKUP(Cronograma!J1693,Meses!$D$1:$G$2,2,FALSE),FALSE),
IF(P1693="En programación",M1693,""))</f>
        <v/>
      </c>
      <c r="S1693" s="25" t="str">
        <f t="shared" si="80"/>
        <v/>
      </c>
      <c r="T1693" s="21" t="str">
        <f>IFERROR(
(VLOOKUP(MONTH(R1693),Meses!$B$3:$C$14,2,FALSE)-DAY(R1693))/VLOOKUP(MONTH(R1693),Meses!$B$3:$C$14,2,FALSE)*U1693,
"")</f>
        <v/>
      </c>
      <c r="U1693" s="22">
        <f t="shared" si="79"/>
        <v>0</v>
      </c>
    </row>
    <row r="1694" spans="1:21" ht="47.4" hidden="1" thickBot="1" x14ac:dyDescent="0.6">
      <c r="A1694" s="10" t="s">
        <v>888</v>
      </c>
      <c r="B1694" s="10" t="s">
        <v>2164</v>
      </c>
      <c r="C1694" s="12">
        <v>45029</v>
      </c>
      <c r="D1694" s="10" t="s">
        <v>323</v>
      </c>
      <c r="E1694" s="10" t="s">
        <v>23</v>
      </c>
      <c r="F1694" s="10"/>
      <c r="G1694" s="10" t="s">
        <v>15</v>
      </c>
      <c r="H1694" s="10" t="s">
        <v>2406</v>
      </c>
      <c r="I1694" s="10" t="s">
        <v>66</v>
      </c>
      <c r="J1694" s="10" t="s">
        <v>143</v>
      </c>
      <c r="K1694" s="10" t="s">
        <v>2895</v>
      </c>
      <c r="L1694" s="10" t="s">
        <v>2292</v>
      </c>
      <c r="M1694" s="12"/>
      <c r="N1694" s="10" t="s">
        <v>20</v>
      </c>
      <c r="O1694" s="10" t="s">
        <v>2054</v>
      </c>
      <c r="P1694" s="25" t="str">
        <f>IFERROR(
IF(OR(O1694="anulado",O1694="stand by"),CONCATENATE(O1694,": ",H1694),
IF(OR(YEAR(M1694)=2022,YEAR(M1694)=2023),CONCATENATE("Se activó en ",YEAR(M1694)),
IF(AND(OR(O1694="En proceso",O1694="facturando"),AND(J1694="-",M1694="")),"Por revisar",
IF(M1694="",IF(J1694="NUEVAS",CONCATENATE("Estado: ",O1694,", ",J1694),
IF(L1694=Meses!$A$3,"Por revisar",
IF(H1694="","Sin registro","En programación Frcst."))),"En programación")))),
"Error")</f>
        <v>En programación Frcst.</v>
      </c>
      <c r="Q1694" s="9" t="str">
        <f t="shared" si="78"/>
        <v/>
      </c>
      <c r="R1694" s="25">
        <f>IF(P1694="En programación Frcst.",VLOOKUP(L1694,Meses!$A$1:$H$14,3+HLOOKUP(Cronograma!J1694,Meses!$D$1:$G$2,2,FALSE),FALSE),
IF(P1694="En programación",M1694,""))</f>
        <v>45393</v>
      </c>
      <c r="S1694" s="25" t="str">
        <f t="shared" si="80"/>
        <v>2024/4</v>
      </c>
      <c r="T1694" s="21">
        <f>IFERROR(
(VLOOKUP(MONTH(R1694),Meses!$B$3:$C$14,2,FALSE)-DAY(R1694))/VLOOKUP(MONTH(R1694),Meses!$B$3:$C$14,2,FALSE)*U1694,
"")</f>
        <v>0</v>
      </c>
      <c r="U1694" s="22">
        <f t="shared" si="79"/>
        <v>0</v>
      </c>
    </row>
    <row r="1695" spans="1:21" ht="47.4" hidden="1" thickBot="1" x14ac:dyDescent="0.6">
      <c r="A1695" s="10" t="s">
        <v>888</v>
      </c>
      <c r="B1695" s="10" t="s">
        <v>2165</v>
      </c>
      <c r="C1695" s="12">
        <v>45029</v>
      </c>
      <c r="D1695" s="10" t="s">
        <v>323</v>
      </c>
      <c r="E1695" s="10" t="s">
        <v>291</v>
      </c>
      <c r="F1695" s="10"/>
      <c r="G1695" s="10" t="s">
        <v>15</v>
      </c>
      <c r="H1695" s="10" t="s">
        <v>2406</v>
      </c>
      <c r="I1695" s="10" t="s">
        <v>66</v>
      </c>
      <c r="J1695" s="10" t="s">
        <v>143</v>
      </c>
      <c r="K1695" s="10" t="s">
        <v>2895</v>
      </c>
      <c r="L1695" s="10" t="s">
        <v>2292</v>
      </c>
      <c r="M1695" s="12"/>
      <c r="N1695" s="10" t="s">
        <v>20</v>
      </c>
      <c r="O1695" s="10" t="s">
        <v>2054</v>
      </c>
      <c r="P1695" s="25" t="str">
        <f>IFERROR(
IF(OR(O1695="anulado",O1695="stand by"),CONCATENATE(O1695,": ",H1695),
IF(OR(YEAR(M1695)=2022,YEAR(M1695)=2023),CONCATENATE("Se activó en ",YEAR(M1695)),
IF(AND(OR(O1695="En proceso",O1695="facturando"),AND(J1695="-",M1695="")),"Por revisar",
IF(M1695="",IF(J1695="NUEVAS",CONCATENATE("Estado: ",O1695,", ",J1695),
IF(L1695=Meses!$A$3,"Por revisar",
IF(H1695="","Sin registro","En programación Frcst."))),"En programación")))),
"Error")</f>
        <v>En programación Frcst.</v>
      </c>
      <c r="Q1695" s="9" t="str">
        <f t="shared" si="78"/>
        <v/>
      </c>
      <c r="R1695" s="25">
        <f>IF(P1695="En programación Frcst.",VLOOKUP(L1695,Meses!$A$1:$H$14,3+HLOOKUP(Cronograma!J1695,Meses!$D$1:$G$2,2,FALSE),FALSE),
IF(P1695="En programación",M1695,""))</f>
        <v>45393</v>
      </c>
      <c r="S1695" s="25" t="str">
        <f t="shared" si="80"/>
        <v>2024/4</v>
      </c>
      <c r="T1695" s="21">
        <f>IFERROR(
(VLOOKUP(MONTH(R1695),Meses!$B$3:$C$14,2,FALSE)-DAY(R1695))/VLOOKUP(MONTH(R1695),Meses!$B$3:$C$14,2,FALSE)*U1695,
"")</f>
        <v>0</v>
      </c>
      <c r="U1695" s="22">
        <f t="shared" si="79"/>
        <v>0</v>
      </c>
    </row>
    <row r="1696" spans="1:21" ht="31.8" hidden="1" thickBot="1" x14ac:dyDescent="0.6">
      <c r="A1696" s="10" t="s">
        <v>2166</v>
      </c>
      <c r="B1696" s="10" t="s">
        <v>2167</v>
      </c>
      <c r="C1696" s="12"/>
      <c r="D1696" s="10" t="s">
        <v>323</v>
      </c>
      <c r="E1696" s="10" t="s">
        <v>23</v>
      </c>
      <c r="F1696" s="10"/>
      <c r="G1696" s="10" t="s">
        <v>15</v>
      </c>
      <c r="H1696" s="10" t="s">
        <v>2406</v>
      </c>
      <c r="I1696" s="10" t="s">
        <v>66</v>
      </c>
      <c r="J1696" s="10" t="s">
        <v>292</v>
      </c>
      <c r="K1696" s="10" t="s">
        <v>1697</v>
      </c>
      <c r="L1696" s="10" t="s">
        <v>1120</v>
      </c>
      <c r="M1696" s="12">
        <v>45379</v>
      </c>
      <c r="N1696" s="10" t="s">
        <v>20</v>
      </c>
      <c r="O1696" s="10" t="s">
        <v>2054</v>
      </c>
      <c r="P1696" s="25" t="str">
        <f>IFERROR(
IF(OR(O1696="anulado",O1696="stand by"),CONCATENATE(O1696,": ",H1696),
IF(OR(YEAR(M1696)=2022,YEAR(M1696)=2023),CONCATENATE("Se activó en ",YEAR(M1696)),
IF(AND(OR(O1696="En proceso",O1696="facturando"),AND(J1696="-",M1696="")),"Por revisar",
IF(M1696="",IF(J1696="NUEVAS",CONCATENATE("Estado: ",O1696,", ",J1696),
IF(L1696=Meses!$A$3,"Por revisar",
IF(H1696="","Sin registro","En programación Frcst."))),"En programación")))),
"Error")</f>
        <v>En programación</v>
      </c>
      <c r="Q1696" s="9" t="str">
        <f t="shared" si="78"/>
        <v/>
      </c>
      <c r="R1696" s="25">
        <f>IF(P1696="En programación Frcst.",VLOOKUP(L1696,Meses!$A$1:$H$14,3+HLOOKUP(Cronograma!J1696,Meses!$D$1:$G$2,2,FALSE),FALSE),
IF(P1696="En programación",M1696,""))</f>
        <v>45379</v>
      </c>
      <c r="S1696" s="25" t="str">
        <f t="shared" si="80"/>
        <v>2024/3</v>
      </c>
      <c r="T1696" s="21">
        <f>IFERROR(
(VLOOKUP(MONTH(R1696),Meses!$B$3:$C$14,2,FALSE)-DAY(R1696))/VLOOKUP(MONTH(R1696),Meses!$B$3:$C$14,2,FALSE)*U1696,
"")</f>
        <v>0</v>
      </c>
      <c r="U1696" s="22">
        <f t="shared" si="79"/>
        <v>0</v>
      </c>
    </row>
    <row r="1697" spans="1:21" ht="47.4" hidden="1" thickBot="1" x14ac:dyDescent="0.6">
      <c r="A1697" s="10" t="s">
        <v>2168</v>
      </c>
      <c r="B1697" s="10" t="s">
        <v>2169</v>
      </c>
      <c r="C1697" s="12">
        <v>45029</v>
      </c>
      <c r="D1697" s="10" t="s">
        <v>323</v>
      </c>
      <c r="E1697" s="10" t="s">
        <v>291</v>
      </c>
      <c r="F1697" s="10"/>
      <c r="G1697" s="10" t="s">
        <v>15</v>
      </c>
      <c r="H1697" s="10" t="s">
        <v>2406</v>
      </c>
      <c r="I1697" s="10" t="s">
        <v>66</v>
      </c>
      <c r="J1697" s="10" t="s">
        <v>143</v>
      </c>
      <c r="K1697" s="10" t="s">
        <v>2895</v>
      </c>
      <c r="L1697" s="10" t="s">
        <v>2292</v>
      </c>
      <c r="M1697" s="12"/>
      <c r="N1697" s="10" t="s">
        <v>20</v>
      </c>
      <c r="O1697" s="10" t="s">
        <v>2054</v>
      </c>
      <c r="P1697" s="25" t="str">
        <f>IFERROR(
IF(OR(O1697="anulado",O1697="stand by"),CONCATENATE(O1697,": ",H1697),
IF(OR(YEAR(M1697)=2022,YEAR(M1697)=2023),CONCATENATE("Se activó en ",YEAR(M1697)),
IF(AND(OR(O1697="En proceso",O1697="facturando"),AND(J1697="-",M1697="")),"Por revisar",
IF(M1697="",IF(J1697="NUEVAS",CONCATENATE("Estado: ",O1697,", ",J1697),
IF(L1697=Meses!$A$3,"Por revisar",
IF(H1697="","Sin registro","En programación Frcst."))),"En programación")))),
"Error")</f>
        <v>En programación Frcst.</v>
      </c>
      <c r="Q1697" s="9" t="str">
        <f t="shared" si="78"/>
        <v/>
      </c>
      <c r="R1697" s="25">
        <f>IF(P1697="En programación Frcst.",VLOOKUP(L1697,Meses!$A$1:$H$14,3+HLOOKUP(Cronograma!J1697,Meses!$D$1:$G$2,2,FALSE),FALSE),
IF(P1697="En programación",M1697,""))</f>
        <v>45393</v>
      </c>
      <c r="S1697" s="25" t="str">
        <f t="shared" si="80"/>
        <v>2024/4</v>
      </c>
      <c r="T1697" s="21">
        <f>IFERROR(
(VLOOKUP(MONTH(R1697),Meses!$B$3:$C$14,2,FALSE)-DAY(R1697))/VLOOKUP(MONTH(R1697),Meses!$B$3:$C$14,2,FALSE)*U1697,
"")</f>
        <v>0</v>
      </c>
      <c r="U1697" s="22">
        <f t="shared" si="79"/>
        <v>0</v>
      </c>
    </row>
    <row r="1698" spans="1:21" ht="109.8" hidden="1" thickBot="1" x14ac:dyDescent="0.6">
      <c r="A1698" s="10" t="s">
        <v>2170</v>
      </c>
      <c r="B1698" s="10" t="s">
        <v>2171</v>
      </c>
      <c r="C1698" s="12">
        <v>45029</v>
      </c>
      <c r="D1698" s="10" t="s">
        <v>323</v>
      </c>
      <c r="E1698" s="10" t="s">
        <v>959</v>
      </c>
      <c r="F1698" s="10"/>
      <c r="G1698" s="10" t="s">
        <v>15</v>
      </c>
      <c r="H1698" s="10" t="s">
        <v>17</v>
      </c>
      <c r="I1698" s="10" t="s">
        <v>66</v>
      </c>
      <c r="J1698" s="10" t="s">
        <v>19</v>
      </c>
      <c r="K1698" s="10" t="s">
        <v>19</v>
      </c>
      <c r="L1698" s="10" t="s">
        <v>19</v>
      </c>
      <c r="M1698" s="12"/>
      <c r="N1698" s="10" t="s">
        <v>20</v>
      </c>
      <c r="O1698" s="10" t="s">
        <v>2054</v>
      </c>
      <c r="P1698" s="25" t="str">
        <f>IFERROR(
IF(OR(O1698="anulado",O1698="stand by"),CONCATENATE(O1698,": ",H1698),
IF(OR(YEAR(M1698)=2022,YEAR(M1698)=2023),CONCATENATE("Se activó en ",YEAR(M1698)),
IF(AND(OR(O1698="En proceso",O1698="facturando"),AND(J1698="-",M1698="")),"Por revisar",
IF(M1698="",IF(J1698="NUEVAS",CONCATENATE("Estado: ",O1698,", ",J1698),
IF(L1698=Meses!$A$3,"Por revisar",
IF(H1698="","Sin registro","En programación Frcst."))),"En programación")))),
"Error")</f>
        <v>Por revisar</v>
      </c>
      <c r="Q1698" s="9" t="str">
        <f t="shared" si="78"/>
        <v>programación de act. NO, estado: Facturando, Comercializador: DICEL, Etapa: Instalado y Activado</v>
      </c>
      <c r="R1698" s="25" t="str">
        <f>IF(P1698="En programación Frcst.",VLOOKUP(L1698,Meses!$A$1:$H$14,3+HLOOKUP(Cronograma!J1698,Meses!$D$1:$G$2,2,FALSE),FALSE),
IF(P1698="En programación",M1698,""))</f>
        <v/>
      </c>
      <c r="S1698" s="25" t="str">
        <f t="shared" si="80"/>
        <v/>
      </c>
      <c r="T1698" s="21" t="str">
        <f>IFERROR(
(VLOOKUP(MONTH(R1698),Meses!$B$3:$C$14,2,FALSE)-DAY(R1698))/VLOOKUP(MONTH(R1698),Meses!$B$3:$C$14,2,FALSE)*U1698,
"")</f>
        <v/>
      </c>
      <c r="U1698" s="22">
        <f t="shared" si="79"/>
        <v>0</v>
      </c>
    </row>
    <row r="1699" spans="1:21" ht="78.599999999999994" hidden="1" thickBot="1" x14ac:dyDescent="0.6">
      <c r="A1699" s="10" t="s">
        <v>2172</v>
      </c>
      <c r="B1699" s="10" t="s">
        <v>2173</v>
      </c>
      <c r="C1699" s="12">
        <v>45029</v>
      </c>
      <c r="D1699" s="10" t="s">
        <v>323</v>
      </c>
      <c r="E1699" s="10" t="s">
        <v>23</v>
      </c>
      <c r="F1699" s="10">
        <v>5618</v>
      </c>
      <c r="G1699" s="10" t="s">
        <v>15</v>
      </c>
      <c r="H1699" s="10" t="s">
        <v>17</v>
      </c>
      <c r="I1699" s="10" t="s">
        <v>66</v>
      </c>
      <c r="J1699" s="10" t="s">
        <v>19</v>
      </c>
      <c r="K1699" s="10" t="s">
        <v>19</v>
      </c>
      <c r="L1699" s="10" t="s">
        <v>19</v>
      </c>
      <c r="M1699" s="12"/>
      <c r="N1699" s="10" t="s">
        <v>20</v>
      </c>
      <c r="O1699" s="10" t="s">
        <v>2054</v>
      </c>
      <c r="P1699" s="25" t="str">
        <f>IFERROR(
IF(OR(O1699="anulado",O1699="stand by"),CONCATENATE(O1699,": ",H1699),
IF(OR(YEAR(M1699)=2022,YEAR(M1699)=2023),CONCATENATE("Se activó en ",YEAR(M1699)),
IF(AND(OR(O1699="En proceso",O1699="facturando"),AND(J1699="-",M1699="")),"Por revisar",
IF(M1699="",IF(J1699="NUEVAS",CONCATENATE("Estado: ",O1699,", ",J1699),
IF(L1699=Meses!$A$3,"Por revisar",
IF(H1699="","Sin registro","En programación Frcst."))),"En programación")))),
"Error")</f>
        <v>Por revisar</v>
      </c>
      <c r="Q1699" s="9" t="str">
        <f t="shared" si="78"/>
        <v>programación de act. NO, estado: Facturando, Comercializador: DICEL, Etapa: Instalado y Activado</v>
      </c>
      <c r="R1699" s="25" t="str">
        <f>IF(P1699="En programación Frcst.",VLOOKUP(L1699,Meses!$A$1:$H$14,3+HLOOKUP(Cronograma!J1699,Meses!$D$1:$G$2,2,FALSE),FALSE),
IF(P1699="En programación",M1699,""))</f>
        <v/>
      </c>
      <c r="S1699" s="25" t="str">
        <f t="shared" si="80"/>
        <v/>
      </c>
      <c r="T1699" s="21" t="str">
        <f>IFERROR(
(VLOOKUP(MONTH(R1699),Meses!$B$3:$C$14,2,FALSE)-DAY(R1699))/VLOOKUP(MONTH(R1699),Meses!$B$3:$C$14,2,FALSE)*U1699,
"")</f>
        <v/>
      </c>
      <c r="U1699" s="22">
        <f t="shared" si="79"/>
        <v>5618</v>
      </c>
    </row>
    <row r="1700" spans="1:21" ht="32.4" hidden="1" thickBot="1" x14ac:dyDescent="0.6">
      <c r="A1700" s="10" t="s">
        <v>2174</v>
      </c>
      <c r="B1700" s="10" t="s">
        <v>2175</v>
      </c>
      <c r="C1700" s="12">
        <v>45029</v>
      </c>
      <c r="D1700" s="10" t="s">
        <v>323</v>
      </c>
      <c r="E1700" s="10" t="s">
        <v>23</v>
      </c>
      <c r="F1700" s="10"/>
      <c r="G1700" s="10" t="s">
        <v>15</v>
      </c>
      <c r="H1700" s="10" t="s">
        <v>2406</v>
      </c>
      <c r="I1700" s="10" t="s">
        <v>66</v>
      </c>
      <c r="J1700" s="10" t="s">
        <v>19</v>
      </c>
      <c r="K1700" s="10" t="s">
        <v>19</v>
      </c>
      <c r="L1700" s="10" t="s">
        <v>19</v>
      </c>
      <c r="M1700" s="12"/>
      <c r="N1700" s="10" t="s">
        <v>20</v>
      </c>
      <c r="O1700" s="10" t="s">
        <v>2054</v>
      </c>
      <c r="P1700" s="25" t="str">
        <f>IFERROR(
IF(OR(O1700="anulado",O1700="stand by"),CONCATENATE(O1700,": ",H1700),
IF(OR(YEAR(M1700)=2022,YEAR(M1700)=2023),CONCATENATE("Se activó en ",YEAR(M1700)),
IF(AND(OR(O1700="En proceso",O1700="facturando"),AND(J1700="-",M1700="")),"Por revisar",
IF(M1700="",IF(J1700="NUEVAS",CONCATENATE("Estado: ",O1700,", ",J1700),
IF(L1700=Meses!$A$3,"Por revisar",
IF(H1700="","Sin registro","En programación Frcst."))),"En programación")))),
"Error")</f>
        <v>Por revisar</v>
      </c>
      <c r="Q1700" s="9" t="str">
        <f t="shared" si="78"/>
        <v>programación de act. NO, estado: Facturando, Comercializador: DICEL, Etapa:  Activo Pendiente Instalación</v>
      </c>
      <c r="R1700" s="25" t="str">
        <f>IF(P1700="En programación Frcst.",VLOOKUP(L1700,Meses!$A$1:$H$14,3+HLOOKUP(Cronograma!J1700,Meses!$D$1:$G$2,2,FALSE),FALSE),
IF(P1700="En programación",M1700,""))</f>
        <v/>
      </c>
      <c r="S1700" s="25" t="str">
        <f t="shared" si="80"/>
        <v/>
      </c>
      <c r="T1700" s="21" t="str">
        <f>IFERROR(
(VLOOKUP(MONTH(R1700),Meses!$B$3:$C$14,2,FALSE)-DAY(R1700))/VLOOKUP(MONTH(R1700),Meses!$B$3:$C$14,2,FALSE)*U1700,
"")</f>
        <v/>
      </c>
      <c r="U1700" s="22">
        <f t="shared" si="79"/>
        <v>0</v>
      </c>
    </row>
    <row r="1701" spans="1:21" ht="78.599999999999994" hidden="1" thickBot="1" x14ac:dyDescent="0.6">
      <c r="A1701" s="10" t="s">
        <v>2176</v>
      </c>
      <c r="B1701" s="10" t="s">
        <v>2177</v>
      </c>
      <c r="C1701" s="12">
        <v>45029</v>
      </c>
      <c r="D1701" s="10" t="s">
        <v>323</v>
      </c>
      <c r="E1701" s="10" t="s">
        <v>23</v>
      </c>
      <c r="F1701" s="10">
        <v>8953</v>
      </c>
      <c r="G1701" s="10" t="s">
        <v>15</v>
      </c>
      <c r="H1701" s="10" t="s">
        <v>17</v>
      </c>
      <c r="I1701" s="10" t="s">
        <v>66</v>
      </c>
      <c r="J1701" s="10" t="s">
        <v>19</v>
      </c>
      <c r="K1701" s="10" t="s">
        <v>19</v>
      </c>
      <c r="L1701" s="10" t="s">
        <v>19</v>
      </c>
      <c r="M1701" s="12"/>
      <c r="N1701" s="10" t="s">
        <v>20</v>
      </c>
      <c r="O1701" s="10" t="s">
        <v>2054</v>
      </c>
      <c r="P1701" s="25" t="str">
        <f>IFERROR(
IF(OR(O1701="anulado",O1701="stand by"),CONCATENATE(O1701,": ",H1701),
IF(OR(YEAR(M1701)=2022,YEAR(M1701)=2023),CONCATENATE("Se activó en ",YEAR(M1701)),
IF(AND(OR(O1701="En proceso",O1701="facturando"),AND(J1701="-",M1701="")),"Por revisar",
IF(M1701="",IF(J1701="NUEVAS",CONCATENATE("Estado: ",O1701,", ",J1701),
IF(L1701=Meses!$A$3,"Por revisar",
IF(H1701="","Sin registro","En programación Frcst."))),"En programación")))),
"Error")</f>
        <v>Por revisar</v>
      </c>
      <c r="Q1701" s="9" t="str">
        <f t="shared" si="78"/>
        <v>programación de act. NO, estado: Facturando, Comercializador: DICEL, Etapa: Instalado y Activado</v>
      </c>
      <c r="R1701" s="25" t="str">
        <f>IF(P1701="En programación Frcst.",VLOOKUP(L1701,Meses!$A$1:$H$14,3+HLOOKUP(Cronograma!J1701,Meses!$D$1:$G$2,2,FALSE),FALSE),
IF(P1701="En programación",M1701,""))</f>
        <v/>
      </c>
      <c r="S1701" s="25" t="str">
        <f t="shared" si="80"/>
        <v/>
      </c>
      <c r="T1701" s="21" t="str">
        <f>IFERROR(
(VLOOKUP(MONTH(R1701),Meses!$B$3:$C$14,2,FALSE)-DAY(R1701))/VLOOKUP(MONTH(R1701),Meses!$B$3:$C$14,2,FALSE)*U1701,
"")</f>
        <v/>
      </c>
      <c r="U1701" s="22">
        <f t="shared" si="79"/>
        <v>8953</v>
      </c>
    </row>
    <row r="1702" spans="1:21" ht="32.4" hidden="1" thickBot="1" x14ac:dyDescent="0.6">
      <c r="A1702" s="10" t="s">
        <v>2178</v>
      </c>
      <c r="B1702" s="10" t="s">
        <v>2179</v>
      </c>
      <c r="C1702" s="12">
        <v>45029</v>
      </c>
      <c r="D1702" s="10" t="s">
        <v>323</v>
      </c>
      <c r="E1702" s="10" t="s">
        <v>291</v>
      </c>
      <c r="F1702" s="10">
        <v>4671</v>
      </c>
      <c r="G1702" s="10" t="s">
        <v>15</v>
      </c>
      <c r="H1702" s="10" t="s">
        <v>2406</v>
      </c>
      <c r="I1702" s="10" t="s">
        <v>66</v>
      </c>
      <c r="J1702" s="10" t="s">
        <v>19</v>
      </c>
      <c r="K1702" s="10" t="s">
        <v>19</v>
      </c>
      <c r="L1702" s="10" t="s">
        <v>19</v>
      </c>
      <c r="M1702" s="12"/>
      <c r="N1702" s="10" t="s">
        <v>20</v>
      </c>
      <c r="O1702" s="10" t="s">
        <v>2054</v>
      </c>
      <c r="P1702" s="25" t="str">
        <f>IFERROR(
IF(OR(O1702="anulado",O1702="stand by"),CONCATENATE(O1702,": ",H1702),
IF(OR(YEAR(M1702)=2022,YEAR(M1702)=2023),CONCATENATE("Se activó en ",YEAR(M1702)),
IF(AND(OR(O1702="En proceso",O1702="facturando"),AND(J1702="-",M1702="")),"Por revisar",
IF(M1702="",IF(J1702="NUEVAS",CONCATENATE("Estado: ",O1702,", ",J1702),
IF(L1702=Meses!$A$3,"Por revisar",
IF(H1702="","Sin registro","En programación Frcst."))),"En programación")))),
"Error")</f>
        <v>Por revisar</v>
      </c>
      <c r="Q1702" s="9" t="str">
        <f t="shared" si="78"/>
        <v>programación de act. NO, estado: Facturando, Comercializador: DICEL, Etapa:  Activo Pendiente Instalación</v>
      </c>
      <c r="R1702" s="25" t="str">
        <f>IF(P1702="En programación Frcst.",VLOOKUP(L1702,Meses!$A$1:$H$14,3+HLOOKUP(Cronograma!J1702,Meses!$D$1:$G$2,2,FALSE),FALSE),
IF(P1702="En programación",M1702,""))</f>
        <v/>
      </c>
      <c r="S1702" s="25" t="str">
        <f t="shared" si="80"/>
        <v/>
      </c>
      <c r="T1702" s="21" t="str">
        <f>IFERROR(
(VLOOKUP(MONTH(R1702),Meses!$B$3:$C$14,2,FALSE)-DAY(R1702))/VLOOKUP(MONTH(R1702),Meses!$B$3:$C$14,2,FALSE)*U1702,
"")</f>
        <v/>
      </c>
      <c r="U1702" s="22">
        <f t="shared" si="79"/>
        <v>4671</v>
      </c>
    </row>
    <row r="1703" spans="1:21" ht="47.4" hidden="1" thickBot="1" x14ac:dyDescent="0.6">
      <c r="A1703" s="10" t="s">
        <v>2180</v>
      </c>
      <c r="B1703" s="10" t="s">
        <v>2181</v>
      </c>
      <c r="C1703" s="12">
        <v>45036</v>
      </c>
      <c r="D1703" s="10" t="s">
        <v>323</v>
      </c>
      <c r="E1703" s="10" t="s">
        <v>14</v>
      </c>
      <c r="F1703" s="10">
        <v>4911</v>
      </c>
      <c r="G1703" s="10" t="s">
        <v>15</v>
      </c>
      <c r="H1703" s="10" t="s">
        <v>17</v>
      </c>
      <c r="I1703" s="10" t="s">
        <v>66</v>
      </c>
      <c r="J1703" s="10" t="s">
        <v>19</v>
      </c>
      <c r="K1703" s="10" t="s">
        <v>19</v>
      </c>
      <c r="L1703" s="10" t="s">
        <v>19</v>
      </c>
      <c r="M1703" s="12"/>
      <c r="N1703" s="10" t="s">
        <v>20</v>
      </c>
      <c r="O1703" s="10" t="s">
        <v>2054</v>
      </c>
      <c r="P1703" s="25" t="str">
        <f>IFERROR(
IF(OR(O1703="anulado",O1703="stand by"),CONCATENATE(O1703,": ",H1703),
IF(OR(YEAR(M1703)=2022,YEAR(M1703)=2023),CONCATENATE("Se activó en ",YEAR(M1703)),
IF(AND(OR(O1703="En proceso",O1703="facturando"),AND(J1703="-",M1703="")),"Por revisar",
IF(M1703="",IF(J1703="NUEVAS",CONCATENATE("Estado: ",O1703,", ",J1703),
IF(L1703=Meses!$A$3,"Por revisar",
IF(H1703="","Sin registro","En programación Frcst."))),"En programación")))),
"Error")</f>
        <v>Por revisar</v>
      </c>
      <c r="Q1703" s="9" t="str">
        <f t="shared" si="78"/>
        <v>programación de act. NO, estado: Facturando, Comercializador: DICEL, Etapa: Instalado y Activado</v>
      </c>
      <c r="R1703" s="25" t="str">
        <f>IF(P1703="En programación Frcst.",VLOOKUP(L1703,Meses!$A$1:$H$14,3+HLOOKUP(Cronograma!J1703,Meses!$D$1:$G$2,2,FALSE),FALSE),
IF(P1703="En programación",M1703,""))</f>
        <v/>
      </c>
      <c r="S1703" s="25" t="str">
        <f t="shared" si="80"/>
        <v/>
      </c>
      <c r="T1703" s="21" t="str">
        <f>IFERROR(
(VLOOKUP(MONTH(R1703),Meses!$B$3:$C$14,2,FALSE)-DAY(R1703))/VLOOKUP(MONTH(R1703),Meses!$B$3:$C$14,2,FALSE)*U1703,
"")</f>
        <v/>
      </c>
      <c r="U1703" s="22">
        <f t="shared" si="79"/>
        <v>4911</v>
      </c>
    </row>
    <row r="1704" spans="1:21" ht="32.4" hidden="1" thickBot="1" x14ac:dyDescent="0.6">
      <c r="A1704" s="10" t="s">
        <v>760</v>
      </c>
      <c r="B1704" s="10" t="s">
        <v>2182</v>
      </c>
      <c r="C1704" s="12">
        <v>45042</v>
      </c>
      <c r="D1704" s="10" t="s">
        <v>323</v>
      </c>
      <c r="E1704" s="10" t="s">
        <v>14</v>
      </c>
      <c r="F1704" s="10">
        <v>4447</v>
      </c>
      <c r="G1704" s="10" t="s">
        <v>15</v>
      </c>
      <c r="H1704" s="10" t="s">
        <v>2406</v>
      </c>
      <c r="I1704" s="10" t="s">
        <v>66</v>
      </c>
      <c r="J1704" s="10" t="s">
        <v>19</v>
      </c>
      <c r="K1704" s="10" t="s">
        <v>19</v>
      </c>
      <c r="L1704" s="10" t="s">
        <v>19</v>
      </c>
      <c r="M1704" s="12"/>
      <c r="N1704" s="10" t="s">
        <v>20</v>
      </c>
      <c r="O1704" s="10" t="s">
        <v>2054</v>
      </c>
      <c r="P1704" s="25" t="str">
        <f>IFERROR(
IF(OR(O1704="anulado",O1704="stand by"),CONCATENATE(O1704,": ",H1704),
IF(OR(YEAR(M1704)=2022,YEAR(M1704)=2023),CONCATENATE("Se activó en ",YEAR(M1704)),
IF(AND(OR(O1704="En proceso",O1704="facturando"),AND(J1704="-",M1704="")),"Por revisar",
IF(M1704="",IF(J1704="NUEVAS",CONCATENATE("Estado: ",O1704,", ",J1704),
IF(L1704=Meses!$A$3,"Por revisar",
IF(H1704="","Sin registro","En programación Frcst."))),"En programación")))),
"Error")</f>
        <v>Por revisar</v>
      </c>
      <c r="Q1704" s="9" t="str">
        <f t="shared" si="78"/>
        <v>programación de act. NO, estado: Facturando, Comercializador: DICEL, Etapa:  Activo Pendiente Instalación</v>
      </c>
      <c r="R1704" s="25" t="str">
        <f>IF(P1704="En programación Frcst.",VLOOKUP(L1704,Meses!$A$1:$H$14,3+HLOOKUP(Cronograma!J1704,Meses!$D$1:$G$2,2,FALSE),FALSE),
IF(P1704="En programación",M1704,""))</f>
        <v/>
      </c>
      <c r="S1704" s="25" t="str">
        <f t="shared" si="80"/>
        <v/>
      </c>
      <c r="T1704" s="21" t="str">
        <f>IFERROR(
(VLOOKUP(MONTH(R1704),Meses!$B$3:$C$14,2,FALSE)-DAY(R1704))/VLOOKUP(MONTH(R1704),Meses!$B$3:$C$14,2,FALSE)*U1704,
"")</f>
        <v/>
      </c>
      <c r="U1704" s="22">
        <f t="shared" si="79"/>
        <v>4447</v>
      </c>
    </row>
    <row r="1705" spans="1:21" ht="32.4" hidden="1" thickBot="1" x14ac:dyDescent="0.6">
      <c r="A1705" s="10" t="s">
        <v>2183</v>
      </c>
      <c r="B1705" s="10" t="s">
        <v>2184</v>
      </c>
      <c r="C1705" s="12">
        <v>45029</v>
      </c>
      <c r="D1705" s="10" t="s">
        <v>323</v>
      </c>
      <c r="E1705" s="10" t="s">
        <v>291</v>
      </c>
      <c r="F1705" s="10"/>
      <c r="G1705" s="10" t="s">
        <v>15</v>
      </c>
      <c r="H1705" s="10" t="s">
        <v>17</v>
      </c>
      <c r="I1705" s="10" t="s">
        <v>66</v>
      </c>
      <c r="J1705" s="10" t="s">
        <v>19</v>
      </c>
      <c r="K1705" s="10" t="s">
        <v>19</v>
      </c>
      <c r="L1705" s="10" t="s">
        <v>19</v>
      </c>
      <c r="M1705" s="12"/>
      <c r="N1705" s="10" t="s">
        <v>20</v>
      </c>
      <c r="O1705" s="10" t="s">
        <v>2054</v>
      </c>
      <c r="P1705" s="25" t="str">
        <f>IFERROR(
IF(OR(O1705="anulado",O1705="stand by"),CONCATENATE(O1705,": ",H1705),
IF(OR(YEAR(M1705)=2022,YEAR(M1705)=2023),CONCATENATE("Se activó en ",YEAR(M1705)),
IF(AND(OR(O1705="En proceso",O1705="facturando"),AND(J1705="-",M1705="")),"Por revisar",
IF(M1705="",IF(J1705="NUEVAS",CONCATENATE("Estado: ",O1705,", ",J1705),
IF(L1705=Meses!$A$3,"Por revisar",
IF(H1705="","Sin registro","En programación Frcst."))),"En programación")))),
"Error")</f>
        <v>Por revisar</v>
      </c>
      <c r="Q1705" s="9" t="str">
        <f t="shared" si="78"/>
        <v>programación de act. NO, estado: Facturando, Comercializador: DICEL, Etapa: Instalado y Activado</v>
      </c>
      <c r="R1705" s="25" t="str">
        <f>IF(P1705="En programación Frcst.",VLOOKUP(L1705,Meses!$A$1:$H$14,3+HLOOKUP(Cronograma!J1705,Meses!$D$1:$G$2,2,FALSE),FALSE),
IF(P1705="En programación",M1705,""))</f>
        <v/>
      </c>
      <c r="S1705" s="25" t="str">
        <f t="shared" si="80"/>
        <v/>
      </c>
      <c r="T1705" s="21" t="str">
        <f>IFERROR(
(VLOOKUP(MONTH(R1705),Meses!$B$3:$C$14,2,FALSE)-DAY(R1705))/VLOOKUP(MONTH(R1705),Meses!$B$3:$C$14,2,FALSE)*U1705,
"")</f>
        <v/>
      </c>
      <c r="U1705" s="22">
        <f t="shared" si="79"/>
        <v>0</v>
      </c>
    </row>
    <row r="1706" spans="1:21" ht="47.4" hidden="1" thickBot="1" x14ac:dyDescent="0.6">
      <c r="A1706" s="10" t="s">
        <v>2185</v>
      </c>
      <c r="B1706" s="10" t="s">
        <v>2186</v>
      </c>
      <c r="C1706" s="12">
        <v>45029</v>
      </c>
      <c r="D1706" s="10" t="s">
        <v>323</v>
      </c>
      <c r="E1706" s="10" t="s">
        <v>291</v>
      </c>
      <c r="F1706" s="10"/>
      <c r="G1706" s="10" t="s">
        <v>15</v>
      </c>
      <c r="H1706" s="10" t="s">
        <v>2406</v>
      </c>
      <c r="I1706" s="10" t="s">
        <v>66</v>
      </c>
      <c r="J1706" s="10" t="s">
        <v>143</v>
      </c>
      <c r="K1706" s="10" t="s">
        <v>2895</v>
      </c>
      <c r="L1706" s="10" t="s">
        <v>2292</v>
      </c>
      <c r="M1706" s="12"/>
      <c r="N1706" s="10" t="s">
        <v>20</v>
      </c>
      <c r="O1706" s="10" t="s">
        <v>2054</v>
      </c>
      <c r="P1706" s="25" t="str">
        <f>IFERROR(
IF(OR(O1706="anulado",O1706="stand by"),CONCATENATE(O1706,": ",H1706),
IF(OR(YEAR(M1706)=2022,YEAR(M1706)=2023),CONCATENATE("Se activó en ",YEAR(M1706)),
IF(AND(OR(O1706="En proceso",O1706="facturando"),AND(J1706="-",M1706="")),"Por revisar",
IF(M1706="",IF(J1706="NUEVAS",CONCATENATE("Estado: ",O1706,", ",J1706),
IF(L1706=Meses!$A$3,"Por revisar",
IF(H1706="","Sin registro","En programación Frcst."))),"En programación")))),
"Error")</f>
        <v>En programación Frcst.</v>
      </c>
      <c r="Q1706" s="9" t="str">
        <f t="shared" si="78"/>
        <v/>
      </c>
      <c r="R1706" s="25">
        <f>IF(P1706="En programación Frcst.",VLOOKUP(L1706,Meses!$A$1:$H$14,3+HLOOKUP(Cronograma!J1706,Meses!$D$1:$G$2,2,FALSE),FALSE),
IF(P1706="En programación",M1706,""))</f>
        <v>45393</v>
      </c>
      <c r="S1706" s="25" t="str">
        <f t="shared" si="80"/>
        <v>2024/4</v>
      </c>
      <c r="T1706" s="21">
        <f>IFERROR(
(VLOOKUP(MONTH(R1706),Meses!$B$3:$C$14,2,FALSE)-DAY(R1706))/VLOOKUP(MONTH(R1706),Meses!$B$3:$C$14,2,FALSE)*U1706,
"")</f>
        <v>0</v>
      </c>
      <c r="U1706" s="22">
        <f t="shared" si="79"/>
        <v>0</v>
      </c>
    </row>
    <row r="1707" spans="1:21" ht="31.8" hidden="1" thickBot="1" x14ac:dyDescent="0.6">
      <c r="A1707" s="10" t="s">
        <v>2166</v>
      </c>
      <c r="B1707" s="10" t="s">
        <v>2187</v>
      </c>
      <c r="C1707" s="12"/>
      <c r="D1707" s="10" t="s">
        <v>323</v>
      </c>
      <c r="E1707" s="10" t="s">
        <v>23</v>
      </c>
      <c r="F1707" s="10"/>
      <c r="G1707" s="10" t="s">
        <v>15</v>
      </c>
      <c r="H1707" s="10" t="s">
        <v>1050</v>
      </c>
      <c r="I1707" s="10" t="s">
        <v>66</v>
      </c>
      <c r="J1707" s="10" t="s">
        <v>292</v>
      </c>
      <c r="K1707" s="10" t="s">
        <v>1697</v>
      </c>
      <c r="L1707" s="10" t="s">
        <v>1120</v>
      </c>
      <c r="M1707" s="12">
        <v>45379</v>
      </c>
      <c r="N1707" s="10" t="s">
        <v>20</v>
      </c>
      <c r="O1707" s="10" t="s">
        <v>2057</v>
      </c>
      <c r="P1707" s="25" t="str">
        <f>IFERROR(
IF(OR(O1707="anulado",O1707="stand by"),CONCATENATE(O1707,": ",H1707),
IF(OR(YEAR(M1707)=2022,YEAR(M1707)=2023),CONCATENATE("Se activó en ",YEAR(M1707)),
IF(AND(OR(O1707="En proceso",O1707="facturando"),AND(J1707="-",M1707="")),"Por revisar",
IF(M1707="",IF(J1707="NUEVAS",CONCATENATE("Estado: ",O1707,", ",J1707),
IF(L1707=Meses!$A$3,"Por revisar",
IF(H1707="","Sin registro","En programación Frcst."))),"En programación")))),
"Error")</f>
        <v>En programación</v>
      </c>
      <c r="Q1707" s="9" t="str">
        <f t="shared" si="78"/>
        <v/>
      </c>
      <c r="R1707" s="25">
        <f>IF(P1707="En programación Frcst.",VLOOKUP(L1707,Meses!$A$1:$H$14,3+HLOOKUP(Cronograma!J1707,Meses!$D$1:$G$2,2,FALSE),FALSE),
IF(P1707="En programación",M1707,""))</f>
        <v>45379</v>
      </c>
      <c r="S1707" s="25" t="str">
        <f t="shared" si="80"/>
        <v>2024/3</v>
      </c>
      <c r="T1707" s="21">
        <f>IFERROR(
(VLOOKUP(MONTH(R1707),Meses!$B$3:$C$14,2,FALSE)-DAY(R1707))/VLOOKUP(MONTH(R1707),Meses!$B$3:$C$14,2,FALSE)*U1707,
"")</f>
        <v>0</v>
      </c>
      <c r="U1707" s="22">
        <f t="shared" si="79"/>
        <v>0</v>
      </c>
    </row>
    <row r="1708" spans="1:21" ht="47.4" hidden="1" thickBot="1" x14ac:dyDescent="0.6">
      <c r="A1708" s="10" t="s">
        <v>2188</v>
      </c>
      <c r="B1708" s="10" t="s">
        <v>2189</v>
      </c>
      <c r="C1708" s="12">
        <v>45351</v>
      </c>
      <c r="D1708" s="10" t="s">
        <v>171</v>
      </c>
      <c r="E1708" s="10" t="s">
        <v>14</v>
      </c>
      <c r="F1708" s="10">
        <v>19730</v>
      </c>
      <c r="G1708" s="10" t="s">
        <v>15</v>
      </c>
      <c r="H1708" s="10" t="s">
        <v>2406</v>
      </c>
      <c r="I1708" s="10" t="s">
        <v>66</v>
      </c>
      <c r="J1708" s="10" t="s">
        <v>292</v>
      </c>
      <c r="K1708" s="10" t="s">
        <v>1697</v>
      </c>
      <c r="L1708" s="10" t="s">
        <v>1120</v>
      </c>
      <c r="M1708" s="12">
        <v>45379</v>
      </c>
      <c r="N1708" s="10" t="s">
        <v>20</v>
      </c>
      <c r="O1708" s="10" t="s">
        <v>2054</v>
      </c>
      <c r="P1708" s="25" t="str">
        <f>IFERROR(
IF(OR(O1708="anulado",O1708="stand by"),CONCATENATE(O1708,": ",H1708),
IF(OR(YEAR(M1708)=2022,YEAR(M1708)=2023),CONCATENATE("Se activó en ",YEAR(M1708)),
IF(AND(OR(O1708="En proceso",O1708="facturando"),AND(J1708="-",M1708="")),"Por revisar",
IF(M1708="",IF(J1708="NUEVAS",CONCATENATE("Estado: ",O1708,", ",J1708),
IF(L1708=Meses!$A$3,"Por revisar",
IF(H1708="","Sin registro","En programación Frcst."))),"En programación")))),
"Error")</f>
        <v>En programación</v>
      </c>
      <c r="Q1708" s="9" t="str">
        <f t="shared" si="78"/>
        <v/>
      </c>
      <c r="R1708" s="25">
        <f>IF(P1708="En programación Frcst.",VLOOKUP(L1708,Meses!$A$1:$H$14,3+HLOOKUP(Cronograma!J1708,Meses!$D$1:$G$2,2,FALSE),FALSE),
IF(P1708="En programación",M1708,""))</f>
        <v>45379</v>
      </c>
      <c r="S1708" s="25" t="str">
        <f t="shared" si="80"/>
        <v>2024/3</v>
      </c>
      <c r="T1708" s="21">
        <f>IFERROR(
(VLOOKUP(MONTH(R1708),Meses!$B$3:$C$14,2,FALSE)-DAY(R1708))/VLOOKUP(MONTH(R1708),Meses!$B$3:$C$14,2,FALSE)*U1708,
"")</f>
        <v>1909.3548387096773</v>
      </c>
      <c r="U1708" s="22">
        <f t="shared" si="79"/>
        <v>19730</v>
      </c>
    </row>
    <row r="1709" spans="1:21" ht="31.8" hidden="1" thickBot="1" x14ac:dyDescent="0.6">
      <c r="A1709" s="10" t="s">
        <v>2190</v>
      </c>
      <c r="B1709" s="10" t="s">
        <v>2191</v>
      </c>
      <c r="C1709" s="12"/>
      <c r="D1709" s="10" t="s">
        <v>23</v>
      </c>
      <c r="E1709" s="10" t="s">
        <v>23</v>
      </c>
      <c r="F1709" s="10">
        <v>2129</v>
      </c>
      <c r="G1709" s="10" t="s">
        <v>15</v>
      </c>
      <c r="H1709" s="10" t="s">
        <v>2917</v>
      </c>
      <c r="I1709" s="10" t="s">
        <v>43</v>
      </c>
      <c r="J1709" s="10" t="s">
        <v>143</v>
      </c>
      <c r="K1709" s="10" t="s">
        <v>2895</v>
      </c>
      <c r="L1709" s="10" t="s">
        <v>2292</v>
      </c>
      <c r="M1709" s="12">
        <v>45400</v>
      </c>
      <c r="N1709" s="10" t="s">
        <v>15</v>
      </c>
      <c r="O1709" s="10" t="s">
        <v>2057</v>
      </c>
      <c r="P1709" s="25" t="str">
        <f>IFERROR(
IF(OR(O1709="anulado",O1709="stand by"),CONCATENATE(O1709,": ",H1709),
IF(OR(YEAR(M1709)=2022,YEAR(M1709)=2023),CONCATENATE("Se activó en ",YEAR(M1709)),
IF(AND(OR(O1709="En proceso",O1709="facturando"),AND(J1709="-",M1709="")),"Por revisar",
IF(M1709="",IF(J1709="NUEVAS",CONCATENATE("Estado: ",O1709,", ",J1709),
IF(L1709=Meses!$A$3,"Por revisar",
IF(H1709="","Sin registro","En programación Frcst."))),"En programación")))),
"Error")</f>
        <v>En programación</v>
      </c>
      <c r="Q1709" s="9" t="str">
        <f t="shared" si="78"/>
        <v/>
      </c>
      <c r="R1709" s="25">
        <f>IF(P1709="En programación Frcst.",VLOOKUP(L1709,Meses!$A$1:$H$14,3+HLOOKUP(Cronograma!J1709,Meses!$D$1:$G$2,2,FALSE),FALSE),
IF(P1709="En programación",M1709,""))</f>
        <v>45400</v>
      </c>
      <c r="S1709" s="25" t="str">
        <f t="shared" si="80"/>
        <v>2024/4</v>
      </c>
      <c r="T1709" s="21">
        <f>IFERROR(
(VLOOKUP(MONTH(R1709),Meses!$B$3:$C$14,2,FALSE)-DAY(R1709))/VLOOKUP(MONTH(R1709),Meses!$B$3:$C$14,2,FALSE)*U1709,
"")</f>
        <v>851.6</v>
      </c>
      <c r="U1709" s="22">
        <f t="shared" si="79"/>
        <v>2129</v>
      </c>
    </row>
    <row r="1710" spans="1:21" ht="31.8" hidden="1" thickBot="1" x14ac:dyDescent="0.6">
      <c r="A1710" s="10" t="s">
        <v>2190</v>
      </c>
      <c r="B1710" s="10" t="s">
        <v>2192</v>
      </c>
      <c r="C1710" s="12"/>
      <c r="D1710" s="10" t="s">
        <v>41</v>
      </c>
      <c r="E1710" s="10" t="s">
        <v>41</v>
      </c>
      <c r="F1710" s="10">
        <v>6547</v>
      </c>
      <c r="G1710" s="10" t="s">
        <v>15</v>
      </c>
      <c r="H1710" s="10" t="s">
        <v>2917</v>
      </c>
      <c r="I1710" s="10" t="s">
        <v>43</v>
      </c>
      <c r="J1710" s="10" t="s">
        <v>143</v>
      </c>
      <c r="K1710" s="10" t="s">
        <v>2895</v>
      </c>
      <c r="L1710" s="10" t="s">
        <v>2292</v>
      </c>
      <c r="M1710" s="12">
        <v>45400</v>
      </c>
      <c r="N1710" s="10" t="s">
        <v>15</v>
      </c>
      <c r="O1710" s="10" t="s">
        <v>2057</v>
      </c>
      <c r="P1710" s="25" t="str">
        <f>IFERROR(
IF(OR(O1710="anulado",O1710="stand by"),CONCATENATE(O1710,": ",H1710),
IF(OR(YEAR(M1710)=2022,YEAR(M1710)=2023),CONCATENATE("Se activó en ",YEAR(M1710)),
IF(AND(OR(O1710="En proceso",O1710="facturando"),AND(J1710="-",M1710="")),"Por revisar",
IF(M1710="",IF(J1710="NUEVAS",CONCATENATE("Estado: ",O1710,", ",J1710),
IF(L1710=Meses!$A$3,"Por revisar",
IF(H1710="","Sin registro","En programación Frcst."))),"En programación")))),
"Error")</f>
        <v>En programación</v>
      </c>
      <c r="Q1710" s="9" t="str">
        <f t="shared" si="78"/>
        <v/>
      </c>
      <c r="R1710" s="25">
        <f>IF(P1710="En programación Frcst.",VLOOKUP(L1710,Meses!$A$1:$H$14,3+HLOOKUP(Cronograma!J1710,Meses!$D$1:$G$2,2,FALSE),FALSE),
IF(P1710="En programación",M1710,""))</f>
        <v>45400</v>
      </c>
      <c r="S1710" s="25" t="str">
        <f t="shared" si="80"/>
        <v>2024/4</v>
      </c>
      <c r="T1710" s="21">
        <f>IFERROR(
(VLOOKUP(MONTH(R1710),Meses!$B$3:$C$14,2,FALSE)-DAY(R1710))/VLOOKUP(MONTH(R1710),Meses!$B$3:$C$14,2,FALSE)*U1710,
"")</f>
        <v>2618.8000000000002</v>
      </c>
      <c r="U1710" s="22">
        <f t="shared" si="79"/>
        <v>6547</v>
      </c>
    </row>
    <row r="1711" spans="1:21" ht="31.8" hidden="1" thickBot="1" x14ac:dyDescent="0.6">
      <c r="A1711" s="10" t="s">
        <v>2190</v>
      </c>
      <c r="B1711" s="10" t="s">
        <v>2193</v>
      </c>
      <c r="C1711" s="12"/>
      <c r="D1711" s="10" t="s">
        <v>74</v>
      </c>
      <c r="E1711" s="10" t="s">
        <v>74</v>
      </c>
      <c r="F1711" s="10">
        <v>6019</v>
      </c>
      <c r="G1711" s="10" t="s">
        <v>15</v>
      </c>
      <c r="H1711" s="10" t="s">
        <v>3311</v>
      </c>
      <c r="I1711" s="10" t="s">
        <v>43</v>
      </c>
      <c r="J1711" s="10" t="s">
        <v>143</v>
      </c>
      <c r="K1711" s="10" t="s">
        <v>2895</v>
      </c>
      <c r="L1711" s="10" t="s">
        <v>2292</v>
      </c>
      <c r="M1711" s="12">
        <v>45400</v>
      </c>
      <c r="N1711" s="10" t="s">
        <v>20</v>
      </c>
      <c r="O1711" s="10" t="s">
        <v>3311</v>
      </c>
      <c r="P1711" s="25" t="str">
        <f>IFERROR(
IF(OR(O1711="anulado",O1711="stand by"),CONCATENATE(O1711,": ",H1711),
IF(OR(YEAR(M1711)=2022,YEAR(M1711)=2023),CONCATENATE("Se activó en ",YEAR(M1711)),
IF(AND(OR(O1711="En proceso",O1711="facturando"),AND(J1711="-",M1711="")),"Por revisar",
IF(M1711="",IF(J1711="NUEVAS",CONCATENATE("Estado: ",O1711,", ",J1711),
IF(L1711=Meses!$A$3,"Por revisar",
IF(H1711="","Sin registro","En programación Frcst."))),"En programación")))),
"Error")</f>
        <v>En programación</v>
      </c>
      <c r="Q1711" s="9" t="str">
        <f t="shared" si="78"/>
        <v/>
      </c>
      <c r="R1711" s="25">
        <f>IF(P1711="En programación Frcst.",VLOOKUP(L1711,Meses!$A$1:$H$14,3+HLOOKUP(Cronograma!J1711,Meses!$D$1:$G$2,2,FALSE),FALSE),
IF(P1711="En programación",M1711,""))</f>
        <v>45400</v>
      </c>
      <c r="S1711" s="25" t="str">
        <f t="shared" si="80"/>
        <v>2024/4</v>
      </c>
      <c r="T1711" s="21">
        <f>IFERROR(
(VLOOKUP(MONTH(R1711),Meses!$B$3:$C$14,2,FALSE)-DAY(R1711))/VLOOKUP(MONTH(R1711),Meses!$B$3:$C$14,2,FALSE)*U1711,
"")</f>
        <v>2407.6</v>
      </c>
      <c r="U1711" s="22">
        <f t="shared" si="79"/>
        <v>6019</v>
      </c>
    </row>
    <row r="1712" spans="1:21" ht="47.4" hidden="1" thickBot="1" x14ac:dyDescent="0.6">
      <c r="A1712" s="10" t="s">
        <v>2194</v>
      </c>
      <c r="B1712" s="10" t="s">
        <v>2195</v>
      </c>
      <c r="C1712" s="12"/>
      <c r="D1712" s="10" t="s">
        <v>74</v>
      </c>
      <c r="E1712" s="10" t="s">
        <v>74</v>
      </c>
      <c r="F1712" s="10">
        <v>14437</v>
      </c>
      <c r="G1712" s="10" t="s">
        <v>15</v>
      </c>
      <c r="H1712" s="10" t="s">
        <v>2917</v>
      </c>
      <c r="I1712" s="10" t="s">
        <v>43</v>
      </c>
      <c r="J1712" s="10" t="s">
        <v>143</v>
      </c>
      <c r="K1712" s="10" t="s">
        <v>2895</v>
      </c>
      <c r="L1712" s="10" t="s">
        <v>2292</v>
      </c>
      <c r="M1712" s="12">
        <v>45400</v>
      </c>
      <c r="N1712" s="10" t="s">
        <v>15</v>
      </c>
      <c r="O1712" s="10" t="s">
        <v>2057</v>
      </c>
      <c r="P1712" s="25" t="str">
        <f>IFERROR(
IF(OR(O1712="anulado",O1712="stand by"),CONCATENATE(O1712,": ",H1712),
IF(OR(YEAR(M1712)=2022,YEAR(M1712)=2023),CONCATENATE("Se activó en ",YEAR(M1712)),
IF(AND(OR(O1712="En proceso",O1712="facturando"),AND(J1712="-",M1712="")),"Por revisar",
IF(M1712="",IF(J1712="NUEVAS",CONCATENATE("Estado: ",O1712,", ",J1712),
IF(L1712=Meses!$A$3,"Por revisar",
IF(H1712="","Sin registro","En programación Frcst."))),"En programación")))),
"Error")</f>
        <v>En programación</v>
      </c>
      <c r="Q1712" s="9" t="str">
        <f t="shared" si="78"/>
        <v/>
      </c>
      <c r="R1712" s="25">
        <f>IF(P1712="En programación Frcst.",VLOOKUP(L1712,Meses!$A$1:$H$14,3+HLOOKUP(Cronograma!J1712,Meses!$D$1:$G$2,2,FALSE),FALSE),
IF(P1712="En programación",M1712,""))</f>
        <v>45400</v>
      </c>
      <c r="S1712" s="25" t="str">
        <f t="shared" si="80"/>
        <v>2024/4</v>
      </c>
      <c r="T1712" s="21">
        <f>IFERROR(
(VLOOKUP(MONTH(R1712),Meses!$B$3:$C$14,2,FALSE)-DAY(R1712))/VLOOKUP(MONTH(R1712),Meses!$B$3:$C$14,2,FALSE)*U1712,
"")</f>
        <v>5774.8</v>
      </c>
      <c r="U1712" s="22">
        <f t="shared" si="79"/>
        <v>14437</v>
      </c>
    </row>
    <row r="1713" spans="1:21" ht="31.8" hidden="1" thickBot="1" x14ac:dyDescent="0.6">
      <c r="A1713" s="10" t="s">
        <v>2196</v>
      </c>
      <c r="B1713" s="10" t="s">
        <v>2197</v>
      </c>
      <c r="C1713" s="12"/>
      <c r="D1713" s="10" t="s">
        <v>74</v>
      </c>
      <c r="E1713" s="10" t="s">
        <v>74</v>
      </c>
      <c r="F1713" s="10">
        <v>1406</v>
      </c>
      <c r="G1713" s="10" t="s">
        <v>15</v>
      </c>
      <c r="H1713" s="10" t="s">
        <v>2917</v>
      </c>
      <c r="I1713" s="10" t="s">
        <v>43</v>
      </c>
      <c r="J1713" s="10" t="s">
        <v>143</v>
      </c>
      <c r="K1713" s="10" t="s">
        <v>2895</v>
      </c>
      <c r="L1713" s="10" t="s">
        <v>2292</v>
      </c>
      <c r="M1713" s="12">
        <v>45400</v>
      </c>
      <c r="N1713" s="10" t="s">
        <v>15</v>
      </c>
      <c r="O1713" s="10" t="s">
        <v>2057</v>
      </c>
      <c r="P1713" s="25" t="str">
        <f>IFERROR(
IF(OR(O1713="anulado",O1713="stand by"),CONCATENATE(O1713,": ",H1713),
IF(OR(YEAR(M1713)=2022,YEAR(M1713)=2023),CONCATENATE("Se activó en ",YEAR(M1713)),
IF(AND(OR(O1713="En proceso",O1713="facturando"),AND(J1713="-",M1713="")),"Por revisar",
IF(M1713="",IF(J1713="NUEVAS",CONCATENATE("Estado: ",O1713,", ",J1713),
IF(L1713=Meses!$A$3,"Por revisar",
IF(H1713="","Sin registro","En programación Frcst."))),"En programación")))),
"Error")</f>
        <v>En programación</v>
      </c>
      <c r="Q1713" s="9" t="str">
        <f t="shared" si="78"/>
        <v/>
      </c>
      <c r="R1713" s="25">
        <f>IF(P1713="En programación Frcst.",VLOOKUP(L1713,Meses!$A$1:$H$14,3+HLOOKUP(Cronograma!J1713,Meses!$D$1:$G$2,2,FALSE),FALSE),
IF(P1713="En programación",M1713,""))</f>
        <v>45400</v>
      </c>
      <c r="S1713" s="25" t="str">
        <f t="shared" si="80"/>
        <v>2024/4</v>
      </c>
      <c r="T1713" s="21">
        <f>IFERROR(
(VLOOKUP(MONTH(R1713),Meses!$B$3:$C$14,2,FALSE)-DAY(R1713))/VLOOKUP(MONTH(R1713),Meses!$B$3:$C$14,2,FALSE)*U1713,
"")</f>
        <v>562.4</v>
      </c>
      <c r="U1713" s="22">
        <f t="shared" si="79"/>
        <v>1406</v>
      </c>
    </row>
    <row r="1714" spans="1:21" ht="31.8" thickBot="1" x14ac:dyDescent="0.6">
      <c r="A1714" s="10" t="s">
        <v>2196</v>
      </c>
      <c r="B1714" s="10" t="s">
        <v>2198</v>
      </c>
      <c r="C1714" s="12"/>
      <c r="D1714" s="10" t="s">
        <v>44</v>
      </c>
      <c r="E1714" s="10" t="s">
        <v>44</v>
      </c>
      <c r="F1714" s="10">
        <v>1999</v>
      </c>
      <c r="G1714" s="10" t="s">
        <v>15</v>
      </c>
      <c r="H1714" s="10" t="s">
        <v>2921</v>
      </c>
      <c r="I1714" s="10" t="s">
        <v>43</v>
      </c>
      <c r="J1714" s="10" t="s">
        <v>282</v>
      </c>
      <c r="K1714" s="10" t="s">
        <v>3326</v>
      </c>
      <c r="L1714" s="10" t="s">
        <v>2293</v>
      </c>
      <c r="M1714" s="12">
        <v>45414</v>
      </c>
      <c r="N1714" s="10" t="s">
        <v>15</v>
      </c>
      <c r="O1714" s="10" t="s">
        <v>2057</v>
      </c>
      <c r="P1714" s="25" t="str">
        <f>IFERROR(
IF(OR(O1714="anulado",O1714="stand by"),CONCATENATE(O1714,": ",H1714),
IF(OR(YEAR(M1714)=2022,YEAR(M1714)=2023),CONCATENATE("Se activó en ",YEAR(M1714)),
IF(AND(OR(O1714="En proceso",O1714="facturando"),AND(J1714="-",M1714="")),"Por revisar",
IF(M1714="",IF(J1714="NUEVAS",CONCATENATE("Estado: ",O1714,", ",J1714),
IF(L1714=Meses!$A$3,"Por revisar",
IF(H1714="","Sin registro","En programación Frcst."))),"En programación")))),
"Error")</f>
        <v>En programación</v>
      </c>
      <c r="Q1714" s="9" t="str">
        <f t="shared" si="78"/>
        <v/>
      </c>
      <c r="R1714" s="25">
        <f>IF(P1714="En programación Frcst.",VLOOKUP(L1714,Meses!$A$1:$H$14,3+HLOOKUP(Cronograma!J1714,Meses!$D$1:$G$2,2,FALSE),FALSE),
IF(P1714="En programación",M1714,""))</f>
        <v>45414</v>
      </c>
      <c r="S1714" s="25" t="str">
        <f t="shared" si="80"/>
        <v>2024/5</v>
      </c>
      <c r="T1714" s="21">
        <f>IFERROR(
(VLOOKUP(MONTH(R1714),Meses!$B$3:$C$14,2,FALSE)-DAY(R1714))/VLOOKUP(MONTH(R1714),Meses!$B$3:$C$14,2,FALSE)*U1714,
"")</f>
        <v>1870.0322580645161</v>
      </c>
      <c r="U1714" s="22">
        <f t="shared" si="79"/>
        <v>1999</v>
      </c>
    </row>
    <row r="1715" spans="1:21" ht="31.8" hidden="1" thickBot="1" x14ac:dyDescent="0.6">
      <c r="A1715" s="10" t="s">
        <v>2196</v>
      </c>
      <c r="B1715" s="10" t="s">
        <v>2199</v>
      </c>
      <c r="C1715" s="12"/>
      <c r="D1715" s="10" t="s">
        <v>74</v>
      </c>
      <c r="E1715" s="10" t="s">
        <v>74</v>
      </c>
      <c r="F1715" s="10">
        <v>2560</v>
      </c>
      <c r="G1715" s="10" t="s">
        <v>15</v>
      </c>
      <c r="H1715" s="10" t="s">
        <v>2917</v>
      </c>
      <c r="I1715" s="10" t="s">
        <v>43</v>
      </c>
      <c r="J1715" s="10" t="s">
        <v>143</v>
      </c>
      <c r="K1715" s="10" t="s">
        <v>2895</v>
      </c>
      <c r="L1715" s="10" t="s">
        <v>2292</v>
      </c>
      <c r="M1715" s="12">
        <v>45400</v>
      </c>
      <c r="N1715" s="10" t="s">
        <v>15</v>
      </c>
      <c r="O1715" s="10" t="s">
        <v>2057</v>
      </c>
      <c r="P1715" s="25" t="str">
        <f>IFERROR(
IF(OR(O1715="anulado",O1715="stand by"),CONCATENATE(O1715,": ",H1715),
IF(OR(YEAR(M1715)=2022,YEAR(M1715)=2023),CONCATENATE("Se activó en ",YEAR(M1715)),
IF(AND(OR(O1715="En proceso",O1715="facturando"),AND(J1715="-",M1715="")),"Por revisar",
IF(M1715="",IF(J1715="NUEVAS",CONCATENATE("Estado: ",O1715,", ",J1715),
IF(L1715=Meses!$A$3,"Por revisar",
IF(H1715="","Sin registro","En programación Frcst."))),"En programación")))),
"Error")</f>
        <v>En programación</v>
      </c>
      <c r="Q1715" s="9" t="str">
        <f t="shared" si="78"/>
        <v/>
      </c>
      <c r="R1715" s="25">
        <f>IF(P1715="En programación Frcst.",VLOOKUP(L1715,Meses!$A$1:$H$14,3+HLOOKUP(Cronograma!J1715,Meses!$D$1:$G$2,2,FALSE),FALSE),
IF(P1715="En programación",M1715,""))</f>
        <v>45400</v>
      </c>
      <c r="S1715" s="25" t="str">
        <f t="shared" si="80"/>
        <v>2024/4</v>
      </c>
      <c r="T1715" s="21">
        <f>IFERROR(
(VLOOKUP(MONTH(R1715),Meses!$B$3:$C$14,2,FALSE)-DAY(R1715))/VLOOKUP(MONTH(R1715),Meses!$B$3:$C$14,2,FALSE)*U1715,
"")</f>
        <v>1024</v>
      </c>
      <c r="U1715" s="22">
        <f t="shared" si="79"/>
        <v>2560</v>
      </c>
    </row>
    <row r="1716" spans="1:21" ht="31.8" hidden="1" thickBot="1" x14ac:dyDescent="0.6">
      <c r="A1716" s="10" t="s">
        <v>2196</v>
      </c>
      <c r="B1716" s="10" t="s">
        <v>2200</v>
      </c>
      <c r="C1716" s="12"/>
      <c r="D1716" s="10" t="s">
        <v>74</v>
      </c>
      <c r="E1716" s="10" t="s">
        <v>74</v>
      </c>
      <c r="F1716" s="10">
        <v>2024</v>
      </c>
      <c r="G1716" s="10" t="s">
        <v>15</v>
      </c>
      <c r="H1716" s="10" t="s">
        <v>2917</v>
      </c>
      <c r="I1716" s="10" t="s">
        <v>43</v>
      </c>
      <c r="J1716" s="10" t="s">
        <v>143</v>
      </c>
      <c r="K1716" s="10" t="s">
        <v>2895</v>
      </c>
      <c r="L1716" s="10" t="s">
        <v>2292</v>
      </c>
      <c r="M1716" s="12">
        <v>45400</v>
      </c>
      <c r="N1716" s="10" t="s">
        <v>15</v>
      </c>
      <c r="O1716" s="10" t="s">
        <v>2057</v>
      </c>
      <c r="P1716" s="25" t="str">
        <f>IFERROR(
IF(OR(O1716="anulado",O1716="stand by"),CONCATENATE(O1716,": ",H1716),
IF(OR(YEAR(M1716)=2022,YEAR(M1716)=2023),CONCATENATE("Se activó en ",YEAR(M1716)),
IF(AND(OR(O1716="En proceso",O1716="facturando"),AND(J1716="-",M1716="")),"Por revisar",
IF(M1716="",IF(J1716="NUEVAS",CONCATENATE("Estado: ",O1716,", ",J1716),
IF(L1716=Meses!$A$3,"Por revisar",
IF(H1716="","Sin registro","En programación Frcst."))),"En programación")))),
"Error")</f>
        <v>En programación</v>
      </c>
      <c r="Q1716" s="9" t="str">
        <f t="shared" si="78"/>
        <v/>
      </c>
      <c r="R1716" s="25">
        <f>IF(P1716="En programación Frcst.",VLOOKUP(L1716,Meses!$A$1:$H$14,3+HLOOKUP(Cronograma!J1716,Meses!$D$1:$G$2,2,FALSE),FALSE),
IF(P1716="En programación",M1716,""))</f>
        <v>45400</v>
      </c>
      <c r="S1716" s="25" t="str">
        <f t="shared" si="80"/>
        <v>2024/4</v>
      </c>
      <c r="T1716" s="21">
        <f>IFERROR(
(VLOOKUP(MONTH(R1716),Meses!$B$3:$C$14,2,FALSE)-DAY(R1716))/VLOOKUP(MONTH(R1716),Meses!$B$3:$C$14,2,FALSE)*U1716,
"")</f>
        <v>809.6</v>
      </c>
      <c r="U1716" s="22">
        <f t="shared" si="79"/>
        <v>2024</v>
      </c>
    </row>
    <row r="1717" spans="1:21" ht="31.8" hidden="1" thickBot="1" x14ac:dyDescent="0.6">
      <c r="A1717" s="10" t="s">
        <v>2196</v>
      </c>
      <c r="B1717" s="10" t="s">
        <v>2201</v>
      </c>
      <c r="C1717" s="12"/>
      <c r="D1717" s="10" t="s">
        <v>44</v>
      </c>
      <c r="E1717" s="10" t="s">
        <v>44</v>
      </c>
      <c r="F1717" s="10">
        <v>1493</v>
      </c>
      <c r="G1717" s="10" t="s">
        <v>15</v>
      </c>
      <c r="H1717" s="10" t="s">
        <v>2917</v>
      </c>
      <c r="I1717" s="10" t="s">
        <v>43</v>
      </c>
      <c r="J1717" s="10" t="s">
        <v>143</v>
      </c>
      <c r="K1717" s="10" t="s">
        <v>2895</v>
      </c>
      <c r="L1717" s="10" t="s">
        <v>2292</v>
      </c>
      <c r="M1717" s="12">
        <v>45400</v>
      </c>
      <c r="N1717" s="10" t="s">
        <v>15</v>
      </c>
      <c r="O1717" s="10" t="s">
        <v>2057</v>
      </c>
      <c r="P1717" s="25" t="str">
        <f>IFERROR(
IF(OR(O1717="anulado",O1717="stand by"),CONCATENATE(O1717,": ",H1717),
IF(OR(YEAR(M1717)=2022,YEAR(M1717)=2023),CONCATENATE("Se activó en ",YEAR(M1717)),
IF(AND(OR(O1717="En proceso",O1717="facturando"),AND(J1717="-",M1717="")),"Por revisar",
IF(M1717="",IF(J1717="NUEVAS",CONCATENATE("Estado: ",O1717,", ",J1717),
IF(L1717=Meses!$A$3,"Por revisar",
IF(H1717="","Sin registro","En programación Frcst."))),"En programación")))),
"Error")</f>
        <v>En programación</v>
      </c>
      <c r="Q1717" s="9" t="str">
        <f t="shared" si="78"/>
        <v/>
      </c>
      <c r="R1717" s="25">
        <f>IF(P1717="En programación Frcst.",VLOOKUP(L1717,Meses!$A$1:$H$14,3+HLOOKUP(Cronograma!J1717,Meses!$D$1:$G$2,2,FALSE),FALSE),
IF(P1717="En programación",M1717,""))</f>
        <v>45400</v>
      </c>
      <c r="S1717" s="25" t="str">
        <f t="shared" si="80"/>
        <v>2024/4</v>
      </c>
      <c r="T1717" s="21">
        <f>IFERROR(
(VLOOKUP(MONTH(R1717),Meses!$B$3:$C$14,2,FALSE)-DAY(R1717))/VLOOKUP(MONTH(R1717),Meses!$B$3:$C$14,2,FALSE)*U1717,
"")</f>
        <v>597.20000000000005</v>
      </c>
      <c r="U1717" s="22">
        <f t="shared" si="79"/>
        <v>1493</v>
      </c>
    </row>
    <row r="1718" spans="1:21" ht="31.8" hidden="1" thickBot="1" x14ac:dyDescent="0.6">
      <c r="A1718" s="10" t="s">
        <v>2196</v>
      </c>
      <c r="B1718" s="10" t="s">
        <v>2202</v>
      </c>
      <c r="C1718" s="12"/>
      <c r="D1718" s="10" t="s">
        <v>74</v>
      </c>
      <c r="E1718" s="10" t="s">
        <v>74</v>
      </c>
      <c r="F1718" s="10">
        <v>2617</v>
      </c>
      <c r="G1718" s="10" t="s">
        <v>15</v>
      </c>
      <c r="H1718" s="10" t="s">
        <v>2917</v>
      </c>
      <c r="I1718" s="10" t="s">
        <v>43</v>
      </c>
      <c r="J1718" s="10" t="s">
        <v>143</v>
      </c>
      <c r="K1718" s="10" t="s">
        <v>2895</v>
      </c>
      <c r="L1718" s="10" t="s">
        <v>2292</v>
      </c>
      <c r="M1718" s="12">
        <v>45400</v>
      </c>
      <c r="N1718" s="10" t="s">
        <v>15</v>
      </c>
      <c r="O1718" s="10" t="s">
        <v>2057</v>
      </c>
      <c r="P1718" s="25" t="str">
        <f>IFERROR(
IF(OR(O1718="anulado",O1718="stand by"),CONCATENATE(O1718,": ",H1718),
IF(OR(YEAR(M1718)=2022,YEAR(M1718)=2023),CONCATENATE("Se activó en ",YEAR(M1718)),
IF(AND(OR(O1718="En proceso",O1718="facturando"),AND(J1718="-",M1718="")),"Por revisar",
IF(M1718="",IF(J1718="NUEVAS",CONCATENATE("Estado: ",O1718,", ",J1718),
IF(L1718=Meses!$A$3,"Por revisar",
IF(H1718="","Sin registro","En programación Frcst."))),"En programación")))),
"Error")</f>
        <v>En programación</v>
      </c>
      <c r="Q1718" s="9" t="str">
        <f t="shared" si="78"/>
        <v/>
      </c>
      <c r="R1718" s="25">
        <f>IF(P1718="En programación Frcst.",VLOOKUP(L1718,Meses!$A$1:$H$14,3+HLOOKUP(Cronograma!J1718,Meses!$D$1:$G$2,2,FALSE),FALSE),
IF(P1718="En programación",M1718,""))</f>
        <v>45400</v>
      </c>
      <c r="S1718" s="25" t="str">
        <f t="shared" si="80"/>
        <v>2024/4</v>
      </c>
      <c r="T1718" s="21">
        <f>IFERROR(
(VLOOKUP(MONTH(R1718),Meses!$B$3:$C$14,2,FALSE)-DAY(R1718))/VLOOKUP(MONTH(R1718),Meses!$B$3:$C$14,2,FALSE)*U1718,
"")</f>
        <v>1046.8</v>
      </c>
      <c r="U1718" s="22">
        <f t="shared" si="79"/>
        <v>2617</v>
      </c>
    </row>
    <row r="1719" spans="1:21" ht="31.8" hidden="1" thickBot="1" x14ac:dyDescent="0.6">
      <c r="A1719" s="10" t="s">
        <v>2196</v>
      </c>
      <c r="B1719" s="10" t="s">
        <v>2203</v>
      </c>
      <c r="C1719" s="12"/>
      <c r="D1719" s="10" t="s">
        <v>74</v>
      </c>
      <c r="E1719" s="10" t="s">
        <v>74</v>
      </c>
      <c r="F1719" s="10">
        <v>2129</v>
      </c>
      <c r="G1719" s="10" t="s">
        <v>15</v>
      </c>
      <c r="H1719" s="10" t="s">
        <v>2917</v>
      </c>
      <c r="I1719" s="10" t="s">
        <v>43</v>
      </c>
      <c r="J1719" s="10" t="s">
        <v>143</v>
      </c>
      <c r="K1719" s="10" t="s">
        <v>2895</v>
      </c>
      <c r="L1719" s="10" t="s">
        <v>2292</v>
      </c>
      <c r="M1719" s="12">
        <v>45400</v>
      </c>
      <c r="N1719" s="10" t="s">
        <v>15</v>
      </c>
      <c r="O1719" s="10" t="s">
        <v>2057</v>
      </c>
      <c r="P1719" s="25" t="str">
        <f>IFERROR(
IF(OR(O1719="anulado",O1719="stand by"),CONCATENATE(O1719,": ",H1719),
IF(OR(YEAR(M1719)=2022,YEAR(M1719)=2023),CONCATENATE("Se activó en ",YEAR(M1719)),
IF(AND(OR(O1719="En proceso",O1719="facturando"),AND(J1719="-",M1719="")),"Por revisar",
IF(M1719="",IF(J1719="NUEVAS",CONCATENATE("Estado: ",O1719,", ",J1719),
IF(L1719=Meses!$A$3,"Por revisar",
IF(H1719="","Sin registro","En programación Frcst."))),"En programación")))),
"Error")</f>
        <v>En programación</v>
      </c>
      <c r="Q1719" s="9" t="str">
        <f t="shared" si="78"/>
        <v/>
      </c>
      <c r="R1719" s="25">
        <f>IF(P1719="En programación Frcst.",VLOOKUP(L1719,Meses!$A$1:$H$14,3+HLOOKUP(Cronograma!J1719,Meses!$D$1:$G$2,2,FALSE),FALSE),
IF(P1719="En programación",M1719,""))</f>
        <v>45400</v>
      </c>
      <c r="S1719" s="25" t="str">
        <f t="shared" si="80"/>
        <v>2024/4</v>
      </c>
      <c r="T1719" s="21">
        <f>IFERROR(
(VLOOKUP(MONTH(R1719),Meses!$B$3:$C$14,2,FALSE)-DAY(R1719))/VLOOKUP(MONTH(R1719),Meses!$B$3:$C$14,2,FALSE)*U1719,
"")</f>
        <v>851.6</v>
      </c>
      <c r="U1719" s="22">
        <f t="shared" si="79"/>
        <v>2129</v>
      </c>
    </row>
    <row r="1720" spans="1:21" ht="31.8" hidden="1" thickBot="1" x14ac:dyDescent="0.6">
      <c r="A1720" s="10" t="s">
        <v>2196</v>
      </c>
      <c r="B1720" s="10" t="s">
        <v>2204</v>
      </c>
      <c r="C1720" s="12"/>
      <c r="D1720" s="10" t="s">
        <v>44</v>
      </c>
      <c r="E1720" s="10" t="s">
        <v>44</v>
      </c>
      <c r="F1720" s="10">
        <v>551</v>
      </c>
      <c r="G1720" s="10" t="s">
        <v>15</v>
      </c>
      <c r="H1720" s="10" t="s">
        <v>2916</v>
      </c>
      <c r="I1720" s="10" t="s">
        <v>43</v>
      </c>
      <c r="J1720" s="10" t="s">
        <v>143</v>
      </c>
      <c r="K1720" s="10" t="s">
        <v>2895</v>
      </c>
      <c r="L1720" s="10" t="s">
        <v>2292</v>
      </c>
      <c r="M1720" s="12">
        <v>45400</v>
      </c>
      <c r="N1720" s="10" t="s">
        <v>15</v>
      </c>
      <c r="O1720" s="10" t="s">
        <v>2057</v>
      </c>
      <c r="P1720" s="25" t="str">
        <f>IFERROR(
IF(OR(O1720="anulado",O1720="stand by"),CONCATENATE(O1720,": ",H1720),
IF(OR(YEAR(M1720)=2022,YEAR(M1720)=2023),CONCATENATE("Se activó en ",YEAR(M1720)),
IF(AND(OR(O1720="En proceso",O1720="facturando"),AND(J1720="-",M1720="")),"Por revisar",
IF(M1720="",IF(J1720="NUEVAS",CONCATENATE("Estado: ",O1720,", ",J1720),
IF(L1720=Meses!$A$3,"Por revisar",
IF(H1720="","Sin registro","En programación Frcst."))),"En programación")))),
"Error")</f>
        <v>En programación</v>
      </c>
      <c r="Q1720" s="9" t="str">
        <f t="shared" si="78"/>
        <v/>
      </c>
      <c r="R1720" s="25">
        <f>IF(P1720="En programación Frcst.",VLOOKUP(L1720,Meses!$A$1:$H$14,3+HLOOKUP(Cronograma!J1720,Meses!$D$1:$G$2,2,FALSE),FALSE),
IF(P1720="En programación",M1720,""))</f>
        <v>45400</v>
      </c>
      <c r="S1720" s="25" t="str">
        <f t="shared" si="80"/>
        <v>2024/4</v>
      </c>
      <c r="T1720" s="21">
        <f>IFERROR(
(VLOOKUP(MONTH(R1720),Meses!$B$3:$C$14,2,FALSE)-DAY(R1720))/VLOOKUP(MONTH(R1720),Meses!$B$3:$C$14,2,FALSE)*U1720,
"")</f>
        <v>220.4</v>
      </c>
      <c r="U1720" s="22">
        <f t="shared" si="79"/>
        <v>551</v>
      </c>
    </row>
    <row r="1721" spans="1:21" ht="31.8" hidden="1" thickBot="1" x14ac:dyDescent="0.6">
      <c r="A1721" s="10" t="s">
        <v>2196</v>
      </c>
      <c r="B1721" s="10" t="s">
        <v>2205</v>
      </c>
      <c r="C1721" s="12"/>
      <c r="D1721" s="10" t="s">
        <v>44</v>
      </c>
      <c r="E1721" s="10" t="s">
        <v>44</v>
      </c>
      <c r="F1721" s="10">
        <v>3999</v>
      </c>
      <c r="G1721" s="10" t="s">
        <v>15</v>
      </c>
      <c r="H1721" s="10" t="s">
        <v>2916</v>
      </c>
      <c r="I1721" s="10" t="s">
        <v>43</v>
      </c>
      <c r="J1721" s="10" t="s">
        <v>143</v>
      </c>
      <c r="K1721" s="10" t="s">
        <v>2895</v>
      </c>
      <c r="L1721" s="10" t="s">
        <v>2292</v>
      </c>
      <c r="M1721" s="12">
        <v>45400</v>
      </c>
      <c r="N1721" s="10" t="s">
        <v>15</v>
      </c>
      <c r="O1721" s="10" t="s">
        <v>2057</v>
      </c>
      <c r="P1721" s="25" t="str">
        <f>IFERROR(
IF(OR(O1721="anulado",O1721="stand by"),CONCATENATE(O1721,": ",H1721),
IF(OR(YEAR(M1721)=2022,YEAR(M1721)=2023),CONCATENATE("Se activó en ",YEAR(M1721)),
IF(AND(OR(O1721="En proceso",O1721="facturando"),AND(J1721="-",M1721="")),"Por revisar",
IF(M1721="",IF(J1721="NUEVAS",CONCATENATE("Estado: ",O1721,", ",J1721),
IF(L1721=Meses!$A$3,"Por revisar",
IF(H1721="","Sin registro","En programación Frcst."))),"En programación")))),
"Error")</f>
        <v>En programación</v>
      </c>
      <c r="Q1721" s="9" t="str">
        <f t="shared" si="78"/>
        <v/>
      </c>
      <c r="R1721" s="25">
        <f>IF(P1721="En programación Frcst.",VLOOKUP(L1721,Meses!$A$1:$H$14,3+HLOOKUP(Cronograma!J1721,Meses!$D$1:$G$2,2,FALSE),FALSE),
IF(P1721="En programación",M1721,""))</f>
        <v>45400</v>
      </c>
      <c r="S1721" s="25" t="str">
        <f t="shared" si="80"/>
        <v>2024/4</v>
      </c>
      <c r="T1721" s="21">
        <f>IFERROR(
(VLOOKUP(MONTH(R1721),Meses!$B$3:$C$14,2,FALSE)-DAY(R1721))/VLOOKUP(MONTH(R1721),Meses!$B$3:$C$14,2,FALSE)*U1721,
"")</f>
        <v>1599.6000000000001</v>
      </c>
      <c r="U1721" s="22">
        <f t="shared" si="79"/>
        <v>3999</v>
      </c>
    </row>
    <row r="1722" spans="1:21" ht="31.8" hidden="1" thickBot="1" x14ac:dyDescent="0.6">
      <c r="A1722" s="10" t="s">
        <v>2196</v>
      </c>
      <c r="B1722" s="10" t="s">
        <v>2206</v>
      </c>
      <c r="C1722" s="12"/>
      <c r="D1722" s="10" t="s">
        <v>74</v>
      </c>
      <c r="E1722" s="10" t="s">
        <v>74</v>
      </c>
      <c r="F1722" s="10">
        <v>892</v>
      </c>
      <c r="G1722" s="10" t="s">
        <v>15</v>
      </c>
      <c r="H1722" s="10" t="s">
        <v>2917</v>
      </c>
      <c r="I1722" s="10" t="s">
        <v>43</v>
      </c>
      <c r="J1722" s="10" t="s">
        <v>143</v>
      </c>
      <c r="K1722" s="10" t="s">
        <v>2895</v>
      </c>
      <c r="L1722" s="10" t="s">
        <v>2292</v>
      </c>
      <c r="M1722" s="12">
        <v>45400</v>
      </c>
      <c r="N1722" s="10" t="s">
        <v>15</v>
      </c>
      <c r="O1722" s="10" t="s">
        <v>2057</v>
      </c>
      <c r="P1722" s="25" t="str">
        <f>IFERROR(
IF(OR(O1722="anulado",O1722="stand by"),CONCATENATE(O1722,": ",H1722),
IF(OR(YEAR(M1722)=2022,YEAR(M1722)=2023),CONCATENATE("Se activó en ",YEAR(M1722)),
IF(AND(OR(O1722="En proceso",O1722="facturando"),AND(J1722="-",M1722="")),"Por revisar",
IF(M1722="",IF(J1722="NUEVAS",CONCATENATE("Estado: ",O1722,", ",J1722),
IF(L1722=Meses!$A$3,"Por revisar",
IF(H1722="","Sin registro","En programación Frcst."))),"En programación")))),
"Error")</f>
        <v>En programación</v>
      </c>
      <c r="Q1722" s="9" t="str">
        <f t="shared" si="78"/>
        <v/>
      </c>
      <c r="R1722" s="25">
        <f>IF(P1722="En programación Frcst.",VLOOKUP(L1722,Meses!$A$1:$H$14,3+HLOOKUP(Cronograma!J1722,Meses!$D$1:$G$2,2,FALSE),FALSE),
IF(P1722="En programación",M1722,""))</f>
        <v>45400</v>
      </c>
      <c r="S1722" s="25" t="str">
        <f t="shared" si="80"/>
        <v>2024/4</v>
      </c>
      <c r="T1722" s="21">
        <f>IFERROR(
(VLOOKUP(MONTH(R1722),Meses!$B$3:$C$14,2,FALSE)-DAY(R1722))/VLOOKUP(MONTH(R1722),Meses!$B$3:$C$14,2,FALSE)*U1722,
"")</f>
        <v>356.8</v>
      </c>
      <c r="U1722" s="22">
        <f t="shared" si="79"/>
        <v>892</v>
      </c>
    </row>
    <row r="1723" spans="1:21" ht="31.8" hidden="1" thickBot="1" x14ac:dyDescent="0.6">
      <c r="A1723" s="10" t="s">
        <v>2196</v>
      </c>
      <c r="B1723" s="10" t="s">
        <v>2207</v>
      </c>
      <c r="C1723" s="12"/>
      <c r="D1723" s="10" t="s">
        <v>156</v>
      </c>
      <c r="E1723" s="10" t="s">
        <v>156</v>
      </c>
      <c r="F1723" s="10">
        <v>1115</v>
      </c>
      <c r="G1723" s="10" t="s">
        <v>15</v>
      </c>
      <c r="H1723" s="10" t="s">
        <v>2917</v>
      </c>
      <c r="I1723" s="10" t="s">
        <v>43</v>
      </c>
      <c r="J1723" s="10" t="s">
        <v>143</v>
      </c>
      <c r="K1723" s="10" t="s">
        <v>2895</v>
      </c>
      <c r="L1723" s="10" t="s">
        <v>2292</v>
      </c>
      <c r="M1723" s="12">
        <v>45400</v>
      </c>
      <c r="N1723" s="10" t="s">
        <v>15</v>
      </c>
      <c r="O1723" s="10" t="s">
        <v>2057</v>
      </c>
      <c r="P1723" s="25" t="str">
        <f>IFERROR(
IF(OR(O1723="anulado",O1723="stand by"),CONCATENATE(O1723,": ",H1723),
IF(OR(YEAR(M1723)=2022,YEAR(M1723)=2023),CONCATENATE("Se activó en ",YEAR(M1723)),
IF(AND(OR(O1723="En proceso",O1723="facturando"),AND(J1723="-",M1723="")),"Por revisar",
IF(M1723="",IF(J1723="NUEVAS",CONCATENATE("Estado: ",O1723,", ",J1723),
IF(L1723=Meses!$A$3,"Por revisar",
IF(H1723="","Sin registro","En programación Frcst."))),"En programación")))),
"Error")</f>
        <v>En programación</v>
      </c>
      <c r="Q1723" s="9" t="str">
        <f t="shared" si="78"/>
        <v/>
      </c>
      <c r="R1723" s="25">
        <f>IF(P1723="En programación Frcst.",VLOOKUP(L1723,Meses!$A$1:$H$14,3+HLOOKUP(Cronograma!J1723,Meses!$D$1:$G$2,2,FALSE),FALSE),
IF(P1723="En programación",M1723,""))</f>
        <v>45400</v>
      </c>
      <c r="S1723" s="25" t="str">
        <f t="shared" si="80"/>
        <v>2024/4</v>
      </c>
      <c r="T1723" s="21">
        <f>IFERROR(
(VLOOKUP(MONTH(R1723),Meses!$B$3:$C$14,2,FALSE)-DAY(R1723))/VLOOKUP(MONTH(R1723),Meses!$B$3:$C$14,2,FALSE)*U1723,
"")</f>
        <v>446</v>
      </c>
      <c r="U1723" s="22">
        <f t="shared" si="79"/>
        <v>1115</v>
      </c>
    </row>
    <row r="1724" spans="1:21" ht="31.8" thickBot="1" x14ac:dyDescent="0.6">
      <c r="A1724" s="10" t="s">
        <v>2196</v>
      </c>
      <c r="B1724" s="10" t="s">
        <v>2208</v>
      </c>
      <c r="C1724" s="12"/>
      <c r="D1724" s="10" t="s">
        <v>654</v>
      </c>
      <c r="E1724" s="10" t="s">
        <v>74</v>
      </c>
      <c r="F1724" s="10">
        <v>2069</v>
      </c>
      <c r="G1724" s="10" t="s">
        <v>15</v>
      </c>
      <c r="H1724" s="10" t="s">
        <v>2917</v>
      </c>
      <c r="I1724" s="10" t="s">
        <v>66</v>
      </c>
      <c r="J1724" s="10" t="s">
        <v>282</v>
      </c>
      <c r="K1724" s="10" t="s">
        <v>3326</v>
      </c>
      <c r="L1724" s="10" t="s">
        <v>2293</v>
      </c>
      <c r="M1724" s="12">
        <v>45414</v>
      </c>
      <c r="N1724" s="10" t="s">
        <v>15</v>
      </c>
      <c r="O1724" s="10" t="s">
        <v>2057</v>
      </c>
      <c r="P1724" s="25" t="str">
        <f>IFERROR(
IF(OR(O1724="anulado",O1724="stand by"),CONCATENATE(O1724,": ",H1724),
IF(OR(YEAR(M1724)=2022,YEAR(M1724)=2023),CONCATENATE("Se activó en ",YEAR(M1724)),
IF(AND(OR(O1724="En proceso",O1724="facturando"),AND(J1724="-",M1724="")),"Por revisar",
IF(M1724="",IF(J1724="NUEVAS",CONCATENATE("Estado: ",O1724,", ",J1724),
IF(L1724=Meses!$A$3,"Por revisar",
IF(H1724="","Sin registro","En programación Frcst."))),"En programación")))),
"Error")</f>
        <v>En programación</v>
      </c>
      <c r="Q1724" s="9" t="str">
        <f t="shared" si="78"/>
        <v/>
      </c>
      <c r="R1724" s="25">
        <f>IF(P1724="En programación Frcst.",VLOOKUP(L1724,Meses!$A$1:$H$14,3+HLOOKUP(Cronograma!J1724,Meses!$D$1:$G$2,2,FALSE),FALSE),
IF(P1724="En programación",M1724,""))</f>
        <v>45414</v>
      </c>
      <c r="S1724" s="25" t="str">
        <f t="shared" si="80"/>
        <v>2024/5</v>
      </c>
      <c r="T1724" s="21">
        <f>IFERROR(
(VLOOKUP(MONTH(R1724),Meses!$B$3:$C$14,2,FALSE)-DAY(R1724))/VLOOKUP(MONTH(R1724),Meses!$B$3:$C$14,2,FALSE)*U1724,
"")</f>
        <v>1935.516129032258</v>
      </c>
      <c r="U1724" s="22">
        <f t="shared" si="79"/>
        <v>2069</v>
      </c>
    </row>
    <row r="1725" spans="1:21" ht="31.8" hidden="1" thickBot="1" x14ac:dyDescent="0.6">
      <c r="A1725" s="10" t="s">
        <v>2196</v>
      </c>
      <c r="B1725" s="10" t="s">
        <v>2209</v>
      </c>
      <c r="C1725" s="12"/>
      <c r="D1725" s="10" t="s">
        <v>44</v>
      </c>
      <c r="E1725" s="10" t="s">
        <v>44</v>
      </c>
      <c r="F1725" s="10">
        <v>1684</v>
      </c>
      <c r="G1725" s="10" t="s">
        <v>15</v>
      </c>
      <c r="H1725" s="10" t="s">
        <v>2917</v>
      </c>
      <c r="I1725" s="10" t="s">
        <v>43</v>
      </c>
      <c r="J1725" s="10" t="s">
        <v>143</v>
      </c>
      <c r="K1725" s="10" t="s">
        <v>2895</v>
      </c>
      <c r="L1725" s="10" t="s">
        <v>2292</v>
      </c>
      <c r="M1725" s="12">
        <v>45400</v>
      </c>
      <c r="N1725" s="10" t="s">
        <v>15</v>
      </c>
      <c r="O1725" s="10" t="s">
        <v>2057</v>
      </c>
      <c r="P1725" s="25" t="str">
        <f>IFERROR(
IF(OR(O1725="anulado",O1725="stand by"),CONCATENATE(O1725,": ",H1725),
IF(OR(YEAR(M1725)=2022,YEAR(M1725)=2023),CONCATENATE("Se activó en ",YEAR(M1725)),
IF(AND(OR(O1725="En proceso",O1725="facturando"),AND(J1725="-",M1725="")),"Por revisar",
IF(M1725="",IF(J1725="NUEVAS",CONCATENATE("Estado: ",O1725,", ",J1725),
IF(L1725=Meses!$A$3,"Por revisar",
IF(H1725="","Sin registro","En programación Frcst."))),"En programación")))),
"Error")</f>
        <v>En programación</v>
      </c>
      <c r="Q1725" s="9" t="str">
        <f t="shared" si="78"/>
        <v/>
      </c>
      <c r="R1725" s="25">
        <f>IF(P1725="En programación Frcst.",VLOOKUP(L1725,Meses!$A$1:$H$14,3+HLOOKUP(Cronograma!J1725,Meses!$D$1:$G$2,2,FALSE),FALSE),
IF(P1725="En programación",M1725,""))</f>
        <v>45400</v>
      </c>
      <c r="S1725" s="25" t="str">
        <f t="shared" si="80"/>
        <v>2024/4</v>
      </c>
      <c r="T1725" s="21">
        <f>IFERROR(
(VLOOKUP(MONTH(R1725),Meses!$B$3:$C$14,2,FALSE)-DAY(R1725))/VLOOKUP(MONTH(R1725),Meses!$B$3:$C$14,2,FALSE)*U1725,
"")</f>
        <v>673.6</v>
      </c>
      <c r="U1725" s="22">
        <f t="shared" si="79"/>
        <v>1684</v>
      </c>
    </row>
    <row r="1726" spans="1:21" ht="31.8" hidden="1" thickBot="1" x14ac:dyDescent="0.6">
      <c r="A1726" s="10" t="s">
        <v>2196</v>
      </c>
      <c r="B1726" s="10" t="s">
        <v>2210</v>
      </c>
      <c r="C1726" s="12"/>
      <c r="D1726" s="10" t="s">
        <v>74</v>
      </c>
      <c r="E1726" s="10" t="s">
        <v>74</v>
      </c>
      <c r="F1726" s="10">
        <v>2138</v>
      </c>
      <c r="G1726" s="10" t="s">
        <v>15</v>
      </c>
      <c r="H1726" s="10" t="s">
        <v>2917</v>
      </c>
      <c r="I1726" s="10" t="s">
        <v>43</v>
      </c>
      <c r="J1726" s="10" t="s">
        <v>143</v>
      </c>
      <c r="K1726" s="10" t="s">
        <v>2895</v>
      </c>
      <c r="L1726" s="10" t="s">
        <v>2292</v>
      </c>
      <c r="M1726" s="12">
        <v>45400</v>
      </c>
      <c r="N1726" s="10" t="s">
        <v>15</v>
      </c>
      <c r="O1726" s="10" t="s">
        <v>2057</v>
      </c>
      <c r="P1726" s="25" t="str">
        <f>IFERROR(
IF(OR(O1726="anulado",O1726="stand by"),CONCATENATE(O1726,": ",H1726),
IF(OR(YEAR(M1726)=2022,YEAR(M1726)=2023),CONCATENATE("Se activó en ",YEAR(M1726)),
IF(AND(OR(O1726="En proceso",O1726="facturando"),AND(J1726="-",M1726="")),"Por revisar",
IF(M1726="",IF(J1726="NUEVAS",CONCATENATE("Estado: ",O1726,", ",J1726),
IF(L1726=Meses!$A$3,"Por revisar",
IF(H1726="","Sin registro","En programación Frcst."))),"En programación")))),
"Error")</f>
        <v>En programación</v>
      </c>
      <c r="Q1726" s="9" t="str">
        <f t="shared" si="78"/>
        <v/>
      </c>
      <c r="R1726" s="25">
        <f>IF(P1726="En programación Frcst.",VLOOKUP(L1726,Meses!$A$1:$H$14,3+HLOOKUP(Cronograma!J1726,Meses!$D$1:$G$2,2,FALSE),FALSE),
IF(P1726="En programación",M1726,""))</f>
        <v>45400</v>
      </c>
      <c r="S1726" s="25" t="str">
        <f t="shared" si="80"/>
        <v>2024/4</v>
      </c>
      <c r="T1726" s="21">
        <f>IFERROR(
(VLOOKUP(MONTH(R1726),Meses!$B$3:$C$14,2,FALSE)-DAY(R1726))/VLOOKUP(MONTH(R1726),Meses!$B$3:$C$14,2,FALSE)*U1726,
"")</f>
        <v>855.2</v>
      </c>
      <c r="U1726" s="22">
        <f t="shared" si="79"/>
        <v>2138</v>
      </c>
    </row>
    <row r="1727" spans="1:21" ht="31.8" hidden="1" thickBot="1" x14ac:dyDescent="0.6">
      <c r="A1727" s="10" t="s">
        <v>2196</v>
      </c>
      <c r="B1727" s="10" t="s">
        <v>2211</v>
      </c>
      <c r="C1727" s="12"/>
      <c r="D1727" s="10" t="s">
        <v>44</v>
      </c>
      <c r="E1727" s="10" t="s">
        <v>44</v>
      </c>
      <c r="F1727" s="10">
        <v>1684</v>
      </c>
      <c r="G1727" s="10" t="s">
        <v>15</v>
      </c>
      <c r="H1727" s="10" t="s">
        <v>2917</v>
      </c>
      <c r="I1727" s="10" t="s">
        <v>43</v>
      </c>
      <c r="J1727" s="10" t="s">
        <v>143</v>
      </c>
      <c r="K1727" s="10" t="s">
        <v>2895</v>
      </c>
      <c r="L1727" s="10" t="s">
        <v>2292</v>
      </c>
      <c r="M1727" s="12">
        <v>45400</v>
      </c>
      <c r="N1727" s="10" t="s">
        <v>15</v>
      </c>
      <c r="O1727" s="10" t="s">
        <v>2057</v>
      </c>
      <c r="P1727" s="25" t="str">
        <f>IFERROR(
IF(OR(O1727="anulado",O1727="stand by"),CONCATENATE(O1727,": ",H1727),
IF(OR(YEAR(M1727)=2022,YEAR(M1727)=2023),CONCATENATE("Se activó en ",YEAR(M1727)),
IF(AND(OR(O1727="En proceso",O1727="facturando"),AND(J1727="-",M1727="")),"Por revisar",
IF(M1727="",IF(J1727="NUEVAS",CONCATENATE("Estado: ",O1727,", ",J1727),
IF(L1727=Meses!$A$3,"Por revisar",
IF(H1727="","Sin registro","En programación Frcst."))),"En programación")))),
"Error")</f>
        <v>En programación</v>
      </c>
      <c r="Q1727" s="9" t="str">
        <f t="shared" si="78"/>
        <v/>
      </c>
      <c r="R1727" s="25">
        <f>IF(P1727="En programación Frcst.",VLOOKUP(L1727,Meses!$A$1:$H$14,3+HLOOKUP(Cronograma!J1727,Meses!$D$1:$G$2,2,FALSE),FALSE),
IF(P1727="En programación",M1727,""))</f>
        <v>45400</v>
      </c>
      <c r="S1727" s="25" t="str">
        <f t="shared" si="80"/>
        <v>2024/4</v>
      </c>
      <c r="T1727" s="21">
        <f>IFERROR(
(VLOOKUP(MONTH(R1727),Meses!$B$3:$C$14,2,FALSE)-DAY(R1727))/VLOOKUP(MONTH(R1727),Meses!$B$3:$C$14,2,FALSE)*U1727,
"")</f>
        <v>673.6</v>
      </c>
      <c r="U1727" s="22">
        <f t="shared" si="79"/>
        <v>1684</v>
      </c>
    </row>
    <row r="1728" spans="1:21" ht="31.8" hidden="1" thickBot="1" x14ac:dyDescent="0.6">
      <c r="A1728" s="10" t="s">
        <v>2196</v>
      </c>
      <c r="B1728" s="10" t="s">
        <v>2212</v>
      </c>
      <c r="C1728" s="12"/>
      <c r="D1728" s="10" t="s">
        <v>44</v>
      </c>
      <c r="E1728" s="10" t="s">
        <v>44</v>
      </c>
      <c r="F1728" s="10">
        <v>1688</v>
      </c>
      <c r="G1728" s="10" t="s">
        <v>15</v>
      </c>
      <c r="H1728" s="10" t="s">
        <v>2917</v>
      </c>
      <c r="I1728" s="10" t="s">
        <v>43</v>
      </c>
      <c r="J1728" s="10" t="s">
        <v>143</v>
      </c>
      <c r="K1728" s="10" t="s">
        <v>2895</v>
      </c>
      <c r="L1728" s="10" t="s">
        <v>2292</v>
      </c>
      <c r="M1728" s="12">
        <v>45400</v>
      </c>
      <c r="N1728" s="10" t="s">
        <v>15</v>
      </c>
      <c r="O1728" s="10" t="s">
        <v>2057</v>
      </c>
      <c r="P1728" s="25" t="str">
        <f>IFERROR(
IF(OR(O1728="anulado",O1728="stand by"),CONCATENATE(O1728,": ",H1728),
IF(OR(YEAR(M1728)=2022,YEAR(M1728)=2023),CONCATENATE("Se activó en ",YEAR(M1728)),
IF(AND(OR(O1728="En proceso",O1728="facturando"),AND(J1728="-",M1728="")),"Por revisar",
IF(M1728="",IF(J1728="NUEVAS",CONCATENATE("Estado: ",O1728,", ",J1728),
IF(L1728=Meses!$A$3,"Por revisar",
IF(H1728="","Sin registro","En programación Frcst."))),"En programación")))),
"Error")</f>
        <v>En programación</v>
      </c>
      <c r="Q1728" s="9" t="str">
        <f t="shared" si="78"/>
        <v/>
      </c>
      <c r="R1728" s="25">
        <f>IF(P1728="En programación Frcst.",VLOOKUP(L1728,Meses!$A$1:$H$14,3+HLOOKUP(Cronograma!J1728,Meses!$D$1:$G$2,2,FALSE),FALSE),
IF(P1728="En programación",M1728,""))</f>
        <v>45400</v>
      </c>
      <c r="S1728" s="25" t="str">
        <f t="shared" si="80"/>
        <v>2024/4</v>
      </c>
      <c r="T1728" s="21">
        <f>IFERROR(
(VLOOKUP(MONTH(R1728),Meses!$B$3:$C$14,2,FALSE)-DAY(R1728))/VLOOKUP(MONTH(R1728),Meses!$B$3:$C$14,2,FALSE)*U1728,
"")</f>
        <v>675.2</v>
      </c>
      <c r="U1728" s="22">
        <f t="shared" si="79"/>
        <v>1688</v>
      </c>
    </row>
    <row r="1729" spans="1:21" ht="31.8" hidden="1" thickBot="1" x14ac:dyDescent="0.6">
      <c r="A1729" s="10" t="s">
        <v>2196</v>
      </c>
      <c r="B1729" s="10" t="s">
        <v>2213</v>
      </c>
      <c r="C1729" s="12"/>
      <c r="D1729" s="10" t="s">
        <v>74</v>
      </c>
      <c r="E1729" s="10" t="s">
        <v>74</v>
      </c>
      <c r="F1729" s="10">
        <v>2263</v>
      </c>
      <c r="G1729" s="10" t="s">
        <v>15</v>
      </c>
      <c r="H1729" s="10" t="s">
        <v>2917</v>
      </c>
      <c r="I1729" s="10" t="s">
        <v>43</v>
      </c>
      <c r="J1729" s="10" t="s">
        <v>143</v>
      </c>
      <c r="K1729" s="10" t="s">
        <v>2895</v>
      </c>
      <c r="L1729" s="10" t="s">
        <v>2292</v>
      </c>
      <c r="M1729" s="12">
        <v>45400</v>
      </c>
      <c r="N1729" s="10" t="s">
        <v>15</v>
      </c>
      <c r="O1729" s="10" t="s">
        <v>2057</v>
      </c>
      <c r="P1729" s="25" t="str">
        <f>IFERROR(
IF(OR(O1729="anulado",O1729="stand by"),CONCATENATE(O1729,": ",H1729),
IF(OR(YEAR(M1729)=2022,YEAR(M1729)=2023),CONCATENATE("Se activó en ",YEAR(M1729)),
IF(AND(OR(O1729="En proceso",O1729="facturando"),AND(J1729="-",M1729="")),"Por revisar",
IF(M1729="",IF(J1729="NUEVAS",CONCATENATE("Estado: ",O1729,", ",J1729),
IF(L1729=Meses!$A$3,"Por revisar",
IF(H1729="","Sin registro","En programación Frcst."))),"En programación")))),
"Error")</f>
        <v>En programación</v>
      </c>
      <c r="Q1729" s="9" t="str">
        <f t="shared" si="78"/>
        <v/>
      </c>
      <c r="R1729" s="25">
        <f>IF(P1729="En programación Frcst.",VLOOKUP(L1729,Meses!$A$1:$H$14,3+HLOOKUP(Cronograma!J1729,Meses!$D$1:$G$2,2,FALSE),FALSE),
IF(P1729="En programación",M1729,""))</f>
        <v>45400</v>
      </c>
      <c r="S1729" s="25" t="str">
        <f t="shared" si="80"/>
        <v>2024/4</v>
      </c>
      <c r="T1729" s="21">
        <f>IFERROR(
(VLOOKUP(MONTH(R1729),Meses!$B$3:$C$14,2,FALSE)-DAY(R1729))/VLOOKUP(MONTH(R1729),Meses!$B$3:$C$14,2,FALSE)*U1729,
"")</f>
        <v>905.2</v>
      </c>
      <c r="U1729" s="22">
        <f t="shared" si="79"/>
        <v>2263</v>
      </c>
    </row>
    <row r="1730" spans="1:21" ht="31.8" hidden="1" thickBot="1" x14ac:dyDescent="0.6">
      <c r="A1730" s="10" t="s">
        <v>2196</v>
      </c>
      <c r="B1730" s="10" t="s">
        <v>2214</v>
      </c>
      <c r="C1730" s="12"/>
      <c r="D1730" s="10" t="s">
        <v>44</v>
      </c>
      <c r="E1730" s="10" t="s">
        <v>44</v>
      </c>
      <c r="F1730" s="10">
        <v>1329</v>
      </c>
      <c r="G1730" s="10" t="s">
        <v>15</v>
      </c>
      <c r="H1730" s="10" t="s">
        <v>2916</v>
      </c>
      <c r="I1730" s="10" t="s">
        <v>43</v>
      </c>
      <c r="J1730" s="10" t="s">
        <v>143</v>
      </c>
      <c r="K1730" s="10" t="s">
        <v>2895</v>
      </c>
      <c r="L1730" s="10" t="s">
        <v>2292</v>
      </c>
      <c r="M1730" s="12">
        <v>45400</v>
      </c>
      <c r="N1730" s="10" t="s">
        <v>15</v>
      </c>
      <c r="O1730" s="10" t="s">
        <v>2057</v>
      </c>
      <c r="P1730" s="25" t="str">
        <f>IFERROR(
IF(OR(O1730="anulado",O1730="stand by"),CONCATENATE(O1730,": ",H1730),
IF(OR(YEAR(M1730)=2022,YEAR(M1730)=2023),CONCATENATE("Se activó en ",YEAR(M1730)),
IF(AND(OR(O1730="En proceso",O1730="facturando"),AND(J1730="-",M1730="")),"Por revisar",
IF(M1730="",IF(J1730="NUEVAS",CONCATENATE("Estado: ",O1730,", ",J1730),
IF(L1730=Meses!$A$3,"Por revisar",
IF(H1730="","Sin registro","En programación Frcst."))),"En programación")))),
"Error")</f>
        <v>En programación</v>
      </c>
      <c r="Q1730" s="9" t="str">
        <f t="shared" ref="Q1730:Q1793" si="81">IF(P1730="Por revisar",CONCATENATE("programación de act. ",N1730,", estado: ",O1730,", Comercializador: ",D1730,", Etapa: ",H1730),"")</f>
        <v/>
      </c>
      <c r="R1730" s="25">
        <f>IF(P1730="En programación Frcst.",VLOOKUP(L1730,Meses!$A$1:$H$14,3+HLOOKUP(Cronograma!J1730,Meses!$D$1:$G$2,2,FALSE),FALSE),
IF(P1730="En programación",M1730,""))</f>
        <v>45400</v>
      </c>
      <c r="S1730" s="25" t="str">
        <f t="shared" si="80"/>
        <v>2024/4</v>
      </c>
      <c r="T1730" s="21">
        <f>IFERROR(
(VLOOKUP(MONTH(R1730),Meses!$B$3:$C$14,2,FALSE)-DAY(R1730))/VLOOKUP(MONTH(R1730),Meses!$B$3:$C$14,2,FALSE)*U1730,
"")</f>
        <v>531.6</v>
      </c>
      <c r="U1730" s="22">
        <f t="shared" ref="U1730:U1793" si="82">F1730</f>
        <v>1329</v>
      </c>
    </row>
    <row r="1731" spans="1:21" ht="31.8" thickBot="1" x14ac:dyDescent="0.6">
      <c r="A1731" s="10" t="s">
        <v>2196</v>
      </c>
      <c r="B1731" s="10" t="s">
        <v>2215</v>
      </c>
      <c r="C1731" s="12"/>
      <c r="D1731" s="10" t="s">
        <v>171</v>
      </c>
      <c r="E1731" s="10" t="s">
        <v>74</v>
      </c>
      <c r="F1731" s="10">
        <v>4309</v>
      </c>
      <c r="G1731" s="10" t="s">
        <v>15</v>
      </c>
      <c r="H1731" s="10" t="s">
        <v>2917</v>
      </c>
      <c r="I1731" s="10" t="s">
        <v>66</v>
      </c>
      <c r="J1731" s="10" t="s">
        <v>282</v>
      </c>
      <c r="K1731" s="10" t="s">
        <v>3326</v>
      </c>
      <c r="L1731" s="10" t="s">
        <v>2293</v>
      </c>
      <c r="M1731" s="12">
        <v>45414</v>
      </c>
      <c r="N1731" s="10" t="s">
        <v>15</v>
      </c>
      <c r="O1731" s="10" t="s">
        <v>2057</v>
      </c>
      <c r="P1731" s="25" t="str">
        <f>IFERROR(
IF(OR(O1731="anulado",O1731="stand by"),CONCATENATE(O1731,": ",H1731),
IF(OR(YEAR(M1731)=2022,YEAR(M1731)=2023),CONCATENATE("Se activó en ",YEAR(M1731)),
IF(AND(OR(O1731="En proceso",O1731="facturando"),AND(J1731="-",M1731="")),"Por revisar",
IF(M1731="",IF(J1731="NUEVAS",CONCATENATE("Estado: ",O1731,", ",J1731),
IF(L1731=Meses!$A$3,"Por revisar",
IF(H1731="","Sin registro","En programación Frcst."))),"En programación")))),
"Error")</f>
        <v>En programación</v>
      </c>
      <c r="Q1731" s="9" t="str">
        <f t="shared" si="81"/>
        <v/>
      </c>
      <c r="R1731" s="25">
        <f>IF(P1731="En programación Frcst.",VLOOKUP(L1731,Meses!$A$1:$H$14,3+HLOOKUP(Cronograma!J1731,Meses!$D$1:$G$2,2,FALSE),FALSE),
IF(P1731="En programación",M1731,""))</f>
        <v>45414</v>
      </c>
      <c r="S1731" s="25" t="str">
        <f t="shared" ref="S1731:S1794" si="83">IFERROR(CONCATENATE(YEAR(R1731),"/",MONTH(R1731)),"")</f>
        <v>2024/5</v>
      </c>
      <c r="T1731" s="21">
        <f>IFERROR(
(VLOOKUP(MONTH(R1731),Meses!$B$3:$C$14,2,FALSE)-DAY(R1731))/VLOOKUP(MONTH(R1731),Meses!$B$3:$C$14,2,FALSE)*U1731,
"")</f>
        <v>4030.9999999999995</v>
      </c>
      <c r="U1731" s="22">
        <f t="shared" si="82"/>
        <v>4309</v>
      </c>
    </row>
    <row r="1732" spans="1:21" ht="31.8" hidden="1" thickBot="1" x14ac:dyDescent="0.6">
      <c r="A1732" s="10" t="s">
        <v>2196</v>
      </c>
      <c r="B1732" s="10" t="s">
        <v>2216</v>
      </c>
      <c r="C1732" s="12"/>
      <c r="D1732" s="10" t="s">
        <v>44</v>
      </c>
      <c r="E1732" s="10" t="s">
        <v>44</v>
      </c>
      <c r="F1732" s="10">
        <v>2257</v>
      </c>
      <c r="G1732" s="10" t="s">
        <v>15</v>
      </c>
      <c r="H1732" s="10" t="s">
        <v>2917</v>
      </c>
      <c r="I1732" s="10" t="s">
        <v>43</v>
      </c>
      <c r="J1732" s="10" t="s">
        <v>143</v>
      </c>
      <c r="K1732" s="10" t="s">
        <v>2895</v>
      </c>
      <c r="L1732" s="10" t="s">
        <v>2292</v>
      </c>
      <c r="M1732" s="12">
        <v>45400</v>
      </c>
      <c r="N1732" s="10" t="s">
        <v>15</v>
      </c>
      <c r="O1732" s="10" t="s">
        <v>2057</v>
      </c>
      <c r="P1732" s="25" t="str">
        <f>IFERROR(
IF(OR(O1732="anulado",O1732="stand by"),CONCATENATE(O1732,": ",H1732),
IF(OR(YEAR(M1732)=2022,YEAR(M1732)=2023),CONCATENATE("Se activó en ",YEAR(M1732)),
IF(AND(OR(O1732="En proceso",O1732="facturando"),AND(J1732="-",M1732="")),"Por revisar",
IF(M1732="",IF(J1732="NUEVAS",CONCATENATE("Estado: ",O1732,", ",J1732),
IF(L1732=Meses!$A$3,"Por revisar",
IF(H1732="","Sin registro","En programación Frcst."))),"En programación")))),
"Error")</f>
        <v>En programación</v>
      </c>
      <c r="Q1732" s="9" t="str">
        <f t="shared" si="81"/>
        <v/>
      </c>
      <c r="R1732" s="25">
        <f>IF(P1732="En programación Frcst.",VLOOKUP(L1732,Meses!$A$1:$H$14,3+HLOOKUP(Cronograma!J1732,Meses!$D$1:$G$2,2,FALSE),FALSE),
IF(P1732="En programación",M1732,""))</f>
        <v>45400</v>
      </c>
      <c r="S1732" s="25" t="str">
        <f t="shared" si="83"/>
        <v>2024/4</v>
      </c>
      <c r="T1732" s="21">
        <f>IFERROR(
(VLOOKUP(MONTH(R1732),Meses!$B$3:$C$14,2,FALSE)-DAY(R1732))/VLOOKUP(MONTH(R1732),Meses!$B$3:$C$14,2,FALSE)*U1732,
"")</f>
        <v>902.80000000000007</v>
      </c>
      <c r="U1732" s="22">
        <f t="shared" si="82"/>
        <v>2257</v>
      </c>
    </row>
    <row r="1733" spans="1:21" ht="31.8" hidden="1" thickBot="1" x14ac:dyDescent="0.6">
      <c r="A1733" s="10" t="s">
        <v>2217</v>
      </c>
      <c r="B1733" s="10" t="s">
        <v>2218</v>
      </c>
      <c r="C1733" s="12"/>
      <c r="D1733" s="10" t="s">
        <v>74</v>
      </c>
      <c r="E1733" s="10" t="s">
        <v>74</v>
      </c>
      <c r="F1733" s="10">
        <v>17360</v>
      </c>
      <c r="G1733" s="10" t="s">
        <v>15</v>
      </c>
      <c r="H1733" s="10" t="s">
        <v>2917</v>
      </c>
      <c r="I1733" s="10" t="s">
        <v>43</v>
      </c>
      <c r="J1733" s="10" t="s">
        <v>143</v>
      </c>
      <c r="K1733" s="10" t="s">
        <v>2895</v>
      </c>
      <c r="L1733" s="10" t="s">
        <v>2292</v>
      </c>
      <c r="M1733" s="12">
        <v>45400</v>
      </c>
      <c r="N1733" s="10" t="s">
        <v>15</v>
      </c>
      <c r="O1733" s="10" t="s">
        <v>2057</v>
      </c>
      <c r="P1733" s="25" t="str">
        <f>IFERROR(
IF(OR(O1733="anulado",O1733="stand by"),CONCATENATE(O1733,": ",H1733),
IF(OR(YEAR(M1733)=2022,YEAR(M1733)=2023),CONCATENATE("Se activó en ",YEAR(M1733)),
IF(AND(OR(O1733="En proceso",O1733="facturando"),AND(J1733="-",M1733="")),"Por revisar",
IF(M1733="",IF(J1733="NUEVAS",CONCATENATE("Estado: ",O1733,", ",J1733),
IF(L1733=Meses!$A$3,"Por revisar",
IF(H1733="","Sin registro","En programación Frcst."))),"En programación")))),
"Error")</f>
        <v>En programación</v>
      </c>
      <c r="Q1733" s="9" t="str">
        <f t="shared" si="81"/>
        <v/>
      </c>
      <c r="R1733" s="25">
        <f>IF(P1733="En programación Frcst.",VLOOKUP(L1733,Meses!$A$1:$H$14,3+HLOOKUP(Cronograma!J1733,Meses!$D$1:$G$2,2,FALSE),FALSE),
IF(P1733="En programación",M1733,""))</f>
        <v>45400</v>
      </c>
      <c r="S1733" s="25" t="str">
        <f t="shared" si="83"/>
        <v>2024/4</v>
      </c>
      <c r="T1733" s="21">
        <f>IFERROR(
(VLOOKUP(MONTH(R1733),Meses!$B$3:$C$14,2,FALSE)-DAY(R1733))/VLOOKUP(MONTH(R1733),Meses!$B$3:$C$14,2,FALSE)*U1733,
"")</f>
        <v>6944</v>
      </c>
      <c r="U1733" s="22">
        <f t="shared" si="82"/>
        <v>17360</v>
      </c>
    </row>
    <row r="1734" spans="1:21" ht="31.8" hidden="1" thickBot="1" x14ac:dyDescent="0.6">
      <c r="A1734" s="10" t="s">
        <v>1231</v>
      </c>
      <c r="B1734" s="10" t="s">
        <v>2219</v>
      </c>
      <c r="C1734" s="12"/>
      <c r="D1734" s="10" t="s">
        <v>1249</v>
      </c>
      <c r="E1734" s="10" t="s">
        <v>14</v>
      </c>
      <c r="F1734" s="10">
        <v>31159</v>
      </c>
      <c r="G1734" s="10" t="s">
        <v>15</v>
      </c>
      <c r="H1734" s="10" t="s">
        <v>2917</v>
      </c>
      <c r="I1734" s="10" t="s">
        <v>66</v>
      </c>
      <c r="J1734" s="10" t="s">
        <v>292</v>
      </c>
      <c r="K1734" s="10" t="s">
        <v>1697</v>
      </c>
      <c r="L1734" s="10" t="s">
        <v>1120</v>
      </c>
      <c r="M1734" s="12">
        <v>45379</v>
      </c>
      <c r="N1734" s="10" t="s">
        <v>20</v>
      </c>
      <c r="O1734" s="10" t="s">
        <v>2057</v>
      </c>
      <c r="P1734" s="25" t="str">
        <f>IFERROR(
IF(OR(O1734="anulado",O1734="stand by"),CONCATENATE(O1734,": ",H1734),
IF(OR(YEAR(M1734)=2022,YEAR(M1734)=2023),CONCATENATE("Se activó en ",YEAR(M1734)),
IF(AND(OR(O1734="En proceso",O1734="facturando"),AND(J1734="-",M1734="")),"Por revisar",
IF(M1734="",IF(J1734="NUEVAS",CONCATENATE("Estado: ",O1734,", ",J1734),
IF(L1734=Meses!$A$3,"Por revisar",
IF(H1734="","Sin registro","En programación Frcst."))),"En programación")))),
"Error")</f>
        <v>En programación</v>
      </c>
      <c r="Q1734" s="9" t="str">
        <f t="shared" si="81"/>
        <v/>
      </c>
      <c r="R1734" s="25">
        <f>IF(P1734="En programación Frcst.",VLOOKUP(L1734,Meses!$A$1:$H$14,3+HLOOKUP(Cronograma!J1734,Meses!$D$1:$G$2,2,FALSE),FALSE),
IF(P1734="En programación",M1734,""))</f>
        <v>45379</v>
      </c>
      <c r="S1734" s="25" t="str">
        <f t="shared" si="83"/>
        <v>2024/3</v>
      </c>
      <c r="T1734" s="21">
        <f>IFERROR(
(VLOOKUP(MONTH(R1734),Meses!$B$3:$C$14,2,FALSE)-DAY(R1734))/VLOOKUP(MONTH(R1734),Meses!$B$3:$C$14,2,FALSE)*U1734,
"")</f>
        <v>3015.3870967741937</v>
      </c>
      <c r="U1734" s="22">
        <f t="shared" si="82"/>
        <v>31159</v>
      </c>
    </row>
    <row r="1735" spans="1:21" ht="31.8" thickBot="1" x14ac:dyDescent="0.6">
      <c r="A1735" s="10" t="s">
        <v>2220</v>
      </c>
      <c r="B1735" s="10" t="s">
        <v>2221</v>
      </c>
      <c r="C1735" s="12">
        <v>45358</v>
      </c>
      <c r="D1735" s="10" t="s">
        <v>44</v>
      </c>
      <c r="E1735" s="10" t="s">
        <v>44</v>
      </c>
      <c r="F1735" s="10">
        <v>11826</v>
      </c>
      <c r="G1735" s="10" t="s">
        <v>15</v>
      </c>
      <c r="H1735" s="10" t="s">
        <v>2921</v>
      </c>
      <c r="I1735" s="10" t="s">
        <v>43</v>
      </c>
      <c r="J1735" s="10" t="s">
        <v>282</v>
      </c>
      <c r="K1735" s="10" t="s">
        <v>3326</v>
      </c>
      <c r="L1735" s="10" t="s">
        <v>2293</v>
      </c>
      <c r="M1735" s="12">
        <v>45414</v>
      </c>
      <c r="N1735" s="10" t="s">
        <v>15</v>
      </c>
      <c r="O1735" s="10" t="s">
        <v>2057</v>
      </c>
      <c r="P1735" s="25" t="str">
        <f>IFERROR(
IF(OR(O1735="anulado",O1735="stand by"),CONCATENATE(O1735,": ",H1735),
IF(OR(YEAR(M1735)=2022,YEAR(M1735)=2023),CONCATENATE("Se activó en ",YEAR(M1735)),
IF(AND(OR(O1735="En proceso",O1735="facturando"),AND(J1735="-",M1735="")),"Por revisar",
IF(M1735="",IF(J1735="NUEVAS",CONCATENATE("Estado: ",O1735,", ",J1735),
IF(L1735=Meses!$A$3,"Por revisar",
IF(H1735="","Sin registro","En programación Frcst."))),"En programación")))),
"Error")</f>
        <v>En programación</v>
      </c>
      <c r="Q1735" s="9" t="str">
        <f t="shared" si="81"/>
        <v/>
      </c>
      <c r="R1735" s="25">
        <f>IF(P1735="En programación Frcst.",VLOOKUP(L1735,Meses!$A$1:$H$14,3+HLOOKUP(Cronograma!J1735,Meses!$D$1:$G$2,2,FALSE),FALSE),
IF(P1735="En programación",M1735,""))</f>
        <v>45414</v>
      </c>
      <c r="S1735" s="25" t="str">
        <f t="shared" si="83"/>
        <v>2024/5</v>
      </c>
      <c r="T1735" s="21">
        <f>IFERROR(
(VLOOKUP(MONTH(R1735),Meses!$B$3:$C$14,2,FALSE)-DAY(R1735))/VLOOKUP(MONTH(R1735),Meses!$B$3:$C$14,2,FALSE)*U1735,
"")</f>
        <v>11063.032258064515</v>
      </c>
      <c r="U1735" s="22">
        <f t="shared" si="82"/>
        <v>11826</v>
      </c>
    </row>
    <row r="1736" spans="1:21" ht="31.8" hidden="1" thickBot="1" x14ac:dyDescent="0.6">
      <c r="A1736" s="10" t="s">
        <v>1231</v>
      </c>
      <c r="B1736" s="10" t="s">
        <v>2222</v>
      </c>
      <c r="C1736" s="12">
        <v>45351</v>
      </c>
      <c r="D1736" s="10" t="s">
        <v>1249</v>
      </c>
      <c r="E1736" s="10" t="s">
        <v>14</v>
      </c>
      <c r="F1736" s="10">
        <v>21448</v>
      </c>
      <c r="G1736" s="10" t="s">
        <v>15</v>
      </c>
      <c r="H1736" s="10" t="s">
        <v>2406</v>
      </c>
      <c r="I1736" s="10" t="s">
        <v>66</v>
      </c>
      <c r="J1736" s="10" t="s">
        <v>282</v>
      </c>
      <c r="K1736" s="10" t="s">
        <v>1119</v>
      </c>
      <c r="L1736" s="10" t="s">
        <v>1120</v>
      </c>
      <c r="M1736" s="12"/>
      <c r="N1736" s="10" t="s">
        <v>20</v>
      </c>
      <c r="O1736" s="10" t="s">
        <v>2054</v>
      </c>
      <c r="P1736" s="25" t="str">
        <f>IFERROR(
IF(OR(O1736="anulado",O1736="stand by"),CONCATENATE(O1736,": ",H1736),
IF(OR(YEAR(M1736)=2022,YEAR(M1736)=2023),CONCATENATE("Se activó en ",YEAR(M1736)),
IF(AND(OR(O1736="En proceso",O1736="facturando"),AND(J1736="-",M1736="")),"Por revisar",
IF(M1736="",IF(J1736="NUEVAS",CONCATENATE("Estado: ",O1736,", ",J1736),
IF(L1736=Meses!$A$3,"Por revisar",
IF(H1736="","Sin registro","En programación Frcst."))),"En programación")))),
"Error")</f>
        <v>En programación Frcst.</v>
      </c>
      <c r="Q1736" s="9" t="str">
        <f t="shared" si="81"/>
        <v/>
      </c>
      <c r="R1736" s="25">
        <f>IF(P1736="En programación Frcst.",VLOOKUP(L1736,Meses!$A$1:$H$14,3+HLOOKUP(Cronograma!J1736,Meses!$D$1:$G$2,2,FALSE),FALSE),
IF(P1736="En programación",M1736,""))</f>
        <v>45358</v>
      </c>
      <c r="S1736" s="25" t="str">
        <f t="shared" si="83"/>
        <v>2024/3</v>
      </c>
      <c r="T1736" s="21">
        <f>IFERROR(
(VLOOKUP(MONTH(R1736),Meses!$B$3:$C$14,2,FALSE)-DAY(R1736))/VLOOKUP(MONTH(R1736),Meses!$B$3:$C$14,2,FALSE)*U1736,
"")</f>
        <v>16604.903225806451</v>
      </c>
      <c r="U1736" s="22">
        <f t="shared" si="82"/>
        <v>21448</v>
      </c>
    </row>
    <row r="1737" spans="1:21" ht="31.8" hidden="1" thickBot="1" x14ac:dyDescent="0.6">
      <c r="A1737" s="10" t="s">
        <v>1231</v>
      </c>
      <c r="B1737" s="10" t="s">
        <v>2223</v>
      </c>
      <c r="C1737" s="12">
        <v>45351</v>
      </c>
      <c r="D1737" s="10" t="s">
        <v>1249</v>
      </c>
      <c r="E1737" s="10" t="s">
        <v>14</v>
      </c>
      <c r="F1737" s="10">
        <v>17882</v>
      </c>
      <c r="G1737" s="10" t="s">
        <v>15</v>
      </c>
      <c r="H1737" s="10" t="s">
        <v>2406</v>
      </c>
      <c r="I1737" s="10" t="s">
        <v>66</v>
      </c>
      <c r="J1737" s="10" t="s">
        <v>282</v>
      </c>
      <c r="K1737" s="10" t="s">
        <v>1119</v>
      </c>
      <c r="L1737" s="10" t="s">
        <v>1120</v>
      </c>
      <c r="M1737" s="12"/>
      <c r="N1737" s="10" t="s">
        <v>20</v>
      </c>
      <c r="O1737" s="10" t="s">
        <v>2054</v>
      </c>
      <c r="P1737" s="25" t="str">
        <f>IFERROR(
IF(OR(O1737="anulado",O1737="stand by"),CONCATENATE(O1737,": ",H1737),
IF(OR(YEAR(M1737)=2022,YEAR(M1737)=2023),CONCATENATE("Se activó en ",YEAR(M1737)),
IF(AND(OR(O1737="En proceso",O1737="facturando"),AND(J1737="-",M1737="")),"Por revisar",
IF(M1737="",IF(J1737="NUEVAS",CONCATENATE("Estado: ",O1737,", ",J1737),
IF(L1737=Meses!$A$3,"Por revisar",
IF(H1737="","Sin registro","En programación Frcst."))),"En programación")))),
"Error")</f>
        <v>En programación Frcst.</v>
      </c>
      <c r="Q1737" s="9" t="str">
        <f t="shared" si="81"/>
        <v/>
      </c>
      <c r="R1737" s="25">
        <f>IF(P1737="En programación Frcst.",VLOOKUP(L1737,Meses!$A$1:$H$14,3+HLOOKUP(Cronograma!J1737,Meses!$D$1:$G$2,2,FALSE),FALSE),
IF(P1737="En programación",M1737,""))</f>
        <v>45358</v>
      </c>
      <c r="S1737" s="25" t="str">
        <f t="shared" si="83"/>
        <v>2024/3</v>
      </c>
      <c r="T1737" s="21">
        <f>IFERROR(
(VLOOKUP(MONTH(R1737),Meses!$B$3:$C$14,2,FALSE)-DAY(R1737))/VLOOKUP(MONTH(R1737),Meses!$B$3:$C$14,2,FALSE)*U1737,
"")</f>
        <v>13844.129032258064</v>
      </c>
      <c r="U1737" s="22">
        <f t="shared" si="82"/>
        <v>17882</v>
      </c>
    </row>
    <row r="1738" spans="1:21" ht="31.8" hidden="1" thickBot="1" x14ac:dyDescent="0.6">
      <c r="A1738" s="10" t="s">
        <v>2224</v>
      </c>
      <c r="B1738" s="10" t="s">
        <v>2225</v>
      </c>
      <c r="C1738" s="12"/>
      <c r="D1738" s="10" t="s">
        <v>74</v>
      </c>
      <c r="E1738" s="10" t="s">
        <v>74</v>
      </c>
      <c r="F1738" s="10">
        <v>8560</v>
      </c>
      <c r="G1738" s="10" t="s">
        <v>15</v>
      </c>
      <c r="H1738" s="10" t="s">
        <v>2917</v>
      </c>
      <c r="I1738" s="10" t="s">
        <v>43</v>
      </c>
      <c r="J1738" s="10" t="s">
        <v>143</v>
      </c>
      <c r="K1738" s="10" t="s">
        <v>2895</v>
      </c>
      <c r="L1738" s="10" t="s">
        <v>2292</v>
      </c>
      <c r="M1738" s="12">
        <v>45400</v>
      </c>
      <c r="N1738" s="10" t="s">
        <v>15</v>
      </c>
      <c r="O1738" s="10" t="s">
        <v>2057</v>
      </c>
      <c r="P1738" s="25" t="str">
        <f>IFERROR(
IF(OR(O1738="anulado",O1738="stand by"),CONCATENATE(O1738,": ",H1738),
IF(OR(YEAR(M1738)=2022,YEAR(M1738)=2023),CONCATENATE("Se activó en ",YEAR(M1738)),
IF(AND(OR(O1738="En proceso",O1738="facturando"),AND(J1738="-",M1738="")),"Por revisar",
IF(M1738="",IF(J1738="NUEVAS",CONCATENATE("Estado: ",O1738,", ",J1738),
IF(L1738=Meses!$A$3,"Por revisar",
IF(H1738="","Sin registro","En programación Frcst."))),"En programación")))),
"Error")</f>
        <v>En programación</v>
      </c>
      <c r="Q1738" s="9" t="str">
        <f t="shared" si="81"/>
        <v/>
      </c>
      <c r="R1738" s="25">
        <f>IF(P1738="En programación Frcst.",VLOOKUP(L1738,Meses!$A$1:$H$14,3+HLOOKUP(Cronograma!J1738,Meses!$D$1:$G$2,2,FALSE),FALSE),
IF(P1738="En programación",M1738,""))</f>
        <v>45400</v>
      </c>
      <c r="S1738" s="25" t="str">
        <f t="shared" si="83"/>
        <v>2024/4</v>
      </c>
      <c r="T1738" s="21">
        <f>IFERROR(
(VLOOKUP(MONTH(R1738),Meses!$B$3:$C$14,2,FALSE)-DAY(R1738))/VLOOKUP(MONTH(R1738),Meses!$B$3:$C$14,2,FALSE)*U1738,
"")</f>
        <v>3424</v>
      </c>
      <c r="U1738" s="22">
        <f t="shared" si="82"/>
        <v>8560</v>
      </c>
    </row>
    <row r="1739" spans="1:21" ht="31.8" hidden="1" thickBot="1" x14ac:dyDescent="0.6">
      <c r="A1739" s="10" t="s">
        <v>1231</v>
      </c>
      <c r="B1739" s="10" t="s">
        <v>2226</v>
      </c>
      <c r="C1739" s="12"/>
      <c r="D1739" s="10" t="s">
        <v>1207</v>
      </c>
      <c r="E1739" s="10" t="s">
        <v>14</v>
      </c>
      <c r="F1739" s="10">
        <v>1524</v>
      </c>
      <c r="G1739" s="10" t="s">
        <v>15</v>
      </c>
      <c r="H1739" s="10" t="s">
        <v>2917</v>
      </c>
      <c r="I1739" s="10" t="s">
        <v>66</v>
      </c>
      <c r="J1739" s="10" t="s">
        <v>292</v>
      </c>
      <c r="K1739" s="10" t="s">
        <v>1697</v>
      </c>
      <c r="L1739" s="10" t="s">
        <v>1120</v>
      </c>
      <c r="M1739" s="12">
        <v>45379</v>
      </c>
      <c r="N1739" s="10" t="s">
        <v>20</v>
      </c>
      <c r="O1739" s="10" t="s">
        <v>2057</v>
      </c>
      <c r="P1739" s="25" t="str">
        <f>IFERROR(
IF(OR(O1739="anulado",O1739="stand by"),CONCATENATE(O1739,": ",H1739),
IF(OR(YEAR(M1739)=2022,YEAR(M1739)=2023),CONCATENATE("Se activó en ",YEAR(M1739)),
IF(AND(OR(O1739="En proceso",O1739="facturando"),AND(J1739="-",M1739="")),"Por revisar",
IF(M1739="",IF(J1739="NUEVAS",CONCATENATE("Estado: ",O1739,", ",J1739),
IF(L1739=Meses!$A$3,"Por revisar",
IF(H1739="","Sin registro","En programación Frcst."))),"En programación")))),
"Error")</f>
        <v>En programación</v>
      </c>
      <c r="Q1739" s="9" t="str">
        <f t="shared" si="81"/>
        <v/>
      </c>
      <c r="R1739" s="25">
        <f>IF(P1739="En programación Frcst.",VLOOKUP(L1739,Meses!$A$1:$H$14,3+HLOOKUP(Cronograma!J1739,Meses!$D$1:$G$2,2,FALSE),FALSE),
IF(P1739="En programación",M1739,""))</f>
        <v>45379</v>
      </c>
      <c r="S1739" s="25" t="str">
        <f t="shared" si="83"/>
        <v>2024/3</v>
      </c>
      <c r="T1739" s="21">
        <f>IFERROR(
(VLOOKUP(MONTH(R1739),Meses!$B$3:$C$14,2,FALSE)-DAY(R1739))/VLOOKUP(MONTH(R1739),Meses!$B$3:$C$14,2,FALSE)*U1739,
"")</f>
        <v>147.48387096774192</v>
      </c>
      <c r="U1739" s="22">
        <f t="shared" si="82"/>
        <v>1524</v>
      </c>
    </row>
    <row r="1740" spans="1:21" ht="31.8" hidden="1" thickBot="1" x14ac:dyDescent="0.6">
      <c r="A1740" s="10" t="s">
        <v>1231</v>
      </c>
      <c r="B1740" s="10" t="s">
        <v>2227</v>
      </c>
      <c r="C1740" s="12"/>
      <c r="D1740" s="10" t="s">
        <v>1207</v>
      </c>
      <c r="E1740" s="10" t="s">
        <v>14</v>
      </c>
      <c r="F1740" s="10">
        <v>14082</v>
      </c>
      <c r="G1740" s="10" t="s">
        <v>15</v>
      </c>
      <c r="H1740" s="10" t="s">
        <v>2917</v>
      </c>
      <c r="I1740" s="10" t="s">
        <v>66</v>
      </c>
      <c r="J1740" s="10" t="s">
        <v>292</v>
      </c>
      <c r="K1740" s="10" t="s">
        <v>1697</v>
      </c>
      <c r="L1740" s="10" t="s">
        <v>1120</v>
      </c>
      <c r="M1740" s="12">
        <v>45379</v>
      </c>
      <c r="N1740" s="10" t="s">
        <v>20</v>
      </c>
      <c r="O1740" s="10" t="s">
        <v>2057</v>
      </c>
      <c r="P1740" s="25" t="str">
        <f>IFERROR(
IF(OR(O1740="anulado",O1740="stand by"),CONCATENATE(O1740,": ",H1740),
IF(OR(YEAR(M1740)=2022,YEAR(M1740)=2023),CONCATENATE("Se activó en ",YEAR(M1740)),
IF(AND(OR(O1740="En proceso",O1740="facturando"),AND(J1740="-",M1740="")),"Por revisar",
IF(M1740="",IF(J1740="NUEVAS",CONCATENATE("Estado: ",O1740,", ",J1740),
IF(L1740=Meses!$A$3,"Por revisar",
IF(H1740="","Sin registro","En programación Frcst."))),"En programación")))),
"Error")</f>
        <v>En programación</v>
      </c>
      <c r="Q1740" s="9" t="str">
        <f t="shared" si="81"/>
        <v/>
      </c>
      <c r="R1740" s="25">
        <f>IF(P1740="En programación Frcst.",VLOOKUP(L1740,Meses!$A$1:$H$14,3+HLOOKUP(Cronograma!J1740,Meses!$D$1:$G$2,2,FALSE),FALSE),
IF(P1740="En programación",M1740,""))</f>
        <v>45379</v>
      </c>
      <c r="S1740" s="25" t="str">
        <f t="shared" si="83"/>
        <v>2024/3</v>
      </c>
      <c r="T1740" s="21">
        <f>IFERROR(
(VLOOKUP(MONTH(R1740),Meses!$B$3:$C$14,2,FALSE)-DAY(R1740))/VLOOKUP(MONTH(R1740),Meses!$B$3:$C$14,2,FALSE)*U1740,
"")</f>
        <v>1362.7741935483871</v>
      </c>
      <c r="U1740" s="22">
        <f t="shared" si="82"/>
        <v>14082</v>
      </c>
    </row>
    <row r="1741" spans="1:21" ht="31.8" hidden="1" thickBot="1" x14ac:dyDescent="0.6">
      <c r="A1741" s="10" t="s">
        <v>1231</v>
      </c>
      <c r="B1741" s="10" t="s">
        <v>2228</v>
      </c>
      <c r="C1741" s="12"/>
      <c r="D1741" s="10" t="s">
        <v>1207</v>
      </c>
      <c r="E1741" s="10" t="s">
        <v>14</v>
      </c>
      <c r="F1741" s="10">
        <v>1048</v>
      </c>
      <c r="G1741" s="10" t="s">
        <v>15</v>
      </c>
      <c r="H1741" s="10" t="s">
        <v>2917</v>
      </c>
      <c r="I1741" s="10" t="s">
        <v>66</v>
      </c>
      <c r="J1741" s="10" t="s">
        <v>292</v>
      </c>
      <c r="K1741" s="10" t="s">
        <v>1697</v>
      </c>
      <c r="L1741" s="10" t="s">
        <v>1120</v>
      </c>
      <c r="M1741" s="12">
        <v>45379</v>
      </c>
      <c r="N1741" s="10" t="s">
        <v>20</v>
      </c>
      <c r="O1741" s="10" t="s">
        <v>2057</v>
      </c>
      <c r="P1741" s="25" t="str">
        <f>IFERROR(
IF(OR(O1741="anulado",O1741="stand by"),CONCATENATE(O1741,": ",H1741),
IF(OR(YEAR(M1741)=2022,YEAR(M1741)=2023),CONCATENATE("Se activó en ",YEAR(M1741)),
IF(AND(OR(O1741="En proceso",O1741="facturando"),AND(J1741="-",M1741="")),"Por revisar",
IF(M1741="",IF(J1741="NUEVAS",CONCATENATE("Estado: ",O1741,", ",J1741),
IF(L1741=Meses!$A$3,"Por revisar",
IF(H1741="","Sin registro","En programación Frcst."))),"En programación")))),
"Error")</f>
        <v>En programación</v>
      </c>
      <c r="Q1741" s="9" t="str">
        <f t="shared" si="81"/>
        <v/>
      </c>
      <c r="R1741" s="25">
        <f>IF(P1741="En programación Frcst.",VLOOKUP(L1741,Meses!$A$1:$H$14,3+HLOOKUP(Cronograma!J1741,Meses!$D$1:$G$2,2,FALSE),FALSE),
IF(P1741="En programación",M1741,""))</f>
        <v>45379</v>
      </c>
      <c r="S1741" s="25" t="str">
        <f t="shared" si="83"/>
        <v>2024/3</v>
      </c>
      <c r="T1741" s="21">
        <f>IFERROR(
(VLOOKUP(MONTH(R1741),Meses!$B$3:$C$14,2,FALSE)-DAY(R1741))/VLOOKUP(MONTH(R1741),Meses!$B$3:$C$14,2,FALSE)*U1741,
"")</f>
        <v>101.41935483870968</v>
      </c>
      <c r="U1741" s="22">
        <f t="shared" si="82"/>
        <v>1048</v>
      </c>
    </row>
    <row r="1742" spans="1:21" ht="31.8" hidden="1" thickBot="1" x14ac:dyDescent="0.6">
      <c r="A1742" s="10" t="s">
        <v>1231</v>
      </c>
      <c r="B1742" s="10" t="s">
        <v>2229</v>
      </c>
      <c r="C1742" s="12"/>
      <c r="D1742" s="10" t="s">
        <v>1207</v>
      </c>
      <c r="E1742" s="10" t="s">
        <v>14</v>
      </c>
      <c r="F1742" s="10">
        <v>1428</v>
      </c>
      <c r="G1742" s="10" t="s">
        <v>15</v>
      </c>
      <c r="H1742" s="10" t="s">
        <v>2917</v>
      </c>
      <c r="I1742" s="10" t="s">
        <v>66</v>
      </c>
      <c r="J1742" s="10" t="s">
        <v>292</v>
      </c>
      <c r="K1742" s="10" t="s">
        <v>1697</v>
      </c>
      <c r="L1742" s="10" t="s">
        <v>1120</v>
      </c>
      <c r="M1742" s="12">
        <v>45379</v>
      </c>
      <c r="N1742" s="10" t="s">
        <v>20</v>
      </c>
      <c r="O1742" s="10" t="s">
        <v>2057</v>
      </c>
      <c r="P1742" s="25" t="str">
        <f>IFERROR(
IF(OR(O1742="anulado",O1742="stand by"),CONCATENATE(O1742,": ",H1742),
IF(OR(YEAR(M1742)=2022,YEAR(M1742)=2023),CONCATENATE("Se activó en ",YEAR(M1742)),
IF(AND(OR(O1742="En proceso",O1742="facturando"),AND(J1742="-",M1742="")),"Por revisar",
IF(M1742="",IF(J1742="NUEVAS",CONCATENATE("Estado: ",O1742,", ",J1742),
IF(L1742=Meses!$A$3,"Por revisar",
IF(H1742="","Sin registro","En programación Frcst."))),"En programación")))),
"Error")</f>
        <v>En programación</v>
      </c>
      <c r="Q1742" s="9" t="str">
        <f t="shared" si="81"/>
        <v/>
      </c>
      <c r="R1742" s="25">
        <f>IF(P1742="En programación Frcst.",VLOOKUP(L1742,Meses!$A$1:$H$14,3+HLOOKUP(Cronograma!J1742,Meses!$D$1:$G$2,2,FALSE),FALSE),
IF(P1742="En programación",M1742,""))</f>
        <v>45379</v>
      </c>
      <c r="S1742" s="25" t="str">
        <f t="shared" si="83"/>
        <v>2024/3</v>
      </c>
      <c r="T1742" s="21">
        <f>IFERROR(
(VLOOKUP(MONTH(R1742),Meses!$B$3:$C$14,2,FALSE)-DAY(R1742))/VLOOKUP(MONTH(R1742),Meses!$B$3:$C$14,2,FALSE)*U1742,
"")</f>
        <v>138.19354838709677</v>
      </c>
      <c r="U1742" s="22">
        <f t="shared" si="82"/>
        <v>1428</v>
      </c>
    </row>
    <row r="1743" spans="1:21" ht="31.8" hidden="1" thickBot="1" x14ac:dyDescent="0.6">
      <c r="A1743" s="10" t="s">
        <v>1231</v>
      </c>
      <c r="B1743" s="10" t="s">
        <v>2230</v>
      </c>
      <c r="C1743" s="12">
        <v>45351</v>
      </c>
      <c r="D1743" s="10" t="s">
        <v>14</v>
      </c>
      <c r="E1743" s="10" t="s">
        <v>14</v>
      </c>
      <c r="F1743" s="10">
        <v>13988</v>
      </c>
      <c r="G1743" s="10" t="s">
        <v>15</v>
      </c>
      <c r="H1743" s="10" t="s">
        <v>2406</v>
      </c>
      <c r="I1743" s="10" t="s">
        <v>18</v>
      </c>
      <c r="J1743" s="10" t="s">
        <v>282</v>
      </c>
      <c r="K1743" s="10" t="s">
        <v>1119</v>
      </c>
      <c r="L1743" s="10" t="s">
        <v>1120</v>
      </c>
      <c r="M1743" s="12"/>
      <c r="N1743" s="10" t="s">
        <v>20</v>
      </c>
      <c r="O1743" s="10" t="s">
        <v>2054</v>
      </c>
      <c r="P1743" s="25" t="str">
        <f>IFERROR(
IF(OR(O1743="anulado",O1743="stand by"),CONCATENATE(O1743,": ",H1743),
IF(OR(YEAR(M1743)=2022,YEAR(M1743)=2023),CONCATENATE("Se activó en ",YEAR(M1743)),
IF(AND(OR(O1743="En proceso",O1743="facturando"),AND(J1743="-",M1743="")),"Por revisar",
IF(M1743="",IF(J1743="NUEVAS",CONCATENATE("Estado: ",O1743,", ",J1743),
IF(L1743=Meses!$A$3,"Por revisar",
IF(H1743="","Sin registro","En programación Frcst."))),"En programación")))),
"Error")</f>
        <v>En programación Frcst.</v>
      </c>
      <c r="Q1743" s="9" t="str">
        <f t="shared" si="81"/>
        <v/>
      </c>
      <c r="R1743" s="25">
        <f>IF(P1743="En programación Frcst.",VLOOKUP(L1743,Meses!$A$1:$H$14,3+HLOOKUP(Cronograma!J1743,Meses!$D$1:$G$2,2,FALSE),FALSE),
IF(P1743="En programación",M1743,""))</f>
        <v>45358</v>
      </c>
      <c r="S1743" s="25" t="str">
        <f t="shared" si="83"/>
        <v>2024/3</v>
      </c>
      <c r="T1743" s="21">
        <f>IFERROR(
(VLOOKUP(MONTH(R1743),Meses!$B$3:$C$14,2,FALSE)-DAY(R1743))/VLOOKUP(MONTH(R1743),Meses!$B$3:$C$14,2,FALSE)*U1743,
"")</f>
        <v>10829.41935483871</v>
      </c>
      <c r="U1743" s="22">
        <f t="shared" si="82"/>
        <v>13988</v>
      </c>
    </row>
    <row r="1744" spans="1:21" ht="31.8" hidden="1" thickBot="1" x14ac:dyDescent="0.6">
      <c r="A1744" s="10" t="s">
        <v>1231</v>
      </c>
      <c r="B1744" s="10" t="s">
        <v>2231</v>
      </c>
      <c r="C1744" s="12"/>
      <c r="D1744" s="10" t="s">
        <v>1207</v>
      </c>
      <c r="E1744" s="10" t="s">
        <v>14</v>
      </c>
      <c r="F1744" s="10">
        <v>5079</v>
      </c>
      <c r="G1744" s="10" t="s">
        <v>15</v>
      </c>
      <c r="H1744" s="10" t="s">
        <v>2917</v>
      </c>
      <c r="I1744" s="10" t="s">
        <v>66</v>
      </c>
      <c r="J1744" s="10" t="s">
        <v>292</v>
      </c>
      <c r="K1744" s="10" t="s">
        <v>1697</v>
      </c>
      <c r="L1744" s="10" t="s">
        <v>1120</v>
      </c>
      <c r="M1744" s="12">
        <v>45379</v>
      </c>
      <c r="N1744" s="10" t="s">
        <v>20</v>
      </c>
      <c r="O1744" s="10" t="s">
        <v>2057</v>
      </c>
      <c r="P1744" s="25" t="str">
        <f>IFERROR(
IF(OR(O1744="anulado",O1744="stand by"),CONCATENATE(O1744,": ",H1744),
IF(OR(YEAR(M1744)=2022,YEAR(M1744)=2023),CONCATENATE("Se activó en ",YEAR(M1744)),
IF(AND(OR(O1744="En proceso",O1744="facturando"),AND(J1744="-",M1744="")),"Por revisar",
IF(M1744="",IF(J1744="NUEVAS",CONCATENATE("Estado: ",O1744,", ",J1744),
IF(L1744=Meses!$A$3,"Por revisar",
IF(H1744="","Sin registro","En programación Frcst."))),"En programación")))),
"Error")</f>
        <v>En programación</v>
      </c>
      <c r="Q1744" s="9" t="str">
        <f t="shared" si="81"/>
        <v/>
      </c>
      <c r="R1744" s="25">
        <f>IF(P1744="En programación Frcst.",VLOOKUP(L1744,Meses!$A$1:$H$14,3+HLOOKUP(Cronograma!J1744,Meses!$D$1:$G$2,2,FALSE),FALSE),
IF(P1744="En programación",M1744,""))</f>
        <v>45379</v>
      </c>
      <c r="S1744" s="25" t="str">
        <f t="shared" si="83"/>
        <v>2024/3</v>
      </c>
      <c r="T1744" s="21">
        <f>IFERROR(
(VLOOKUP(MONTH(R1744),Meses!$B$3:$C$14,2,FALSE)-DAY(R1744))/VLOOKUP(MONTH(R1744),Meses!$B$3:$C$14,2,FALSE)*U1744,
"")</f>
        <v>491.51612903225805</v>
      </c>
      <c r="U1744" s="22">
        <f t="shared" si="82"/>
        <v>5079</v>
      </c>
    </row>
    <row r="1745" spans="1:21" ht="47.4" hidden="1" thickBot="1" x14ac:dyDescent="0.6">
      <c r="A1745" s="10" t="s">
        <v>2232</v>
      </c>
      <c r="B1745" s="10" t="s">
        <v>2233</v>
      </c>
      <c r="C1745" s="12"/>
      <c r="D1745" s="10" t="s">
        <v>74</v>
      </c>
      <c r="E1745" s="10" t="s">
        <v>74</v>
      </c>
      <c r="F1745" s="10">
        <v>4423</v>
      </c>
      <c r="G1745" s="10" t="s">
        <v>15</v>
      </c>
      <c r="H1745" s="10" t="s">
        <v>2916</v>
      </c>
      <c r="I1745" s="10" t="s">
        <v>43</v>
      </c>
      <c r="J1745" s="10" t="s">
        <v>143</v>
      </c>
      <c r="K1745" s="10" t="s">
        <v>2895</v>
      </c>
      <c r="L1745" s="10" t="s">
        <v>2292</v>
      </c>
      <c r="M1745" s="12">
        <v>45400</v>
      </c>
      <c r="N1745" s="10" t="s">
        <v>15</v>
      </c>
      <c r="O1745" s="10" t="s">
        <v>2057</v>
      </c>
      <c r="P1745" s="25" t="str">
        <f>IFERROR(
IF(OR(O1745="anulado",O1745="stand by"),CONCATENATE(O1745,": ",H1745),
IF(OR(YEAR(M1745)=2022,YEAR(M1745)=2023),CONCATENATE("Se activó en ",YEAR(M1745)),
IF(AND(OR(O1745="En proceso",O1745="facturando"),AND(J1745="-",M1745="")),"Por revisar",
IF(M1745="",IF(J1745="NUEVAS",CONCATENATE("Estado: ",O1745,", ",J1745),
IF(L1745=Meses!$A$3,"Por revisar",
IF(H1745="","Sin registro","En programación Frcst."))),"En programación")))),
"Error")</f>
        <v>En programación</v>
      </c>
      <c r="Q1745" s="9" t="str">
        <f t="shared" si="81"/>
        <v/>
      </c>
      <c r="R1745" s="25">
        <f>IF(P1745="En programación Frcst.",VLOOKUP(L1745,Meses!$A$1:$H$14,3+HLOOKUP(Cronograma!J1745,Meses!$D$1:$G$2,2,FALSE),FALSE),
IF(P1745="En programación",M1745,""))</f>
        <v>45400</v>
      </c>
      <c r="S1745" s="25" t="str">
        <f t="shared" si="83"/>
        <v>2024/4</v>
      </c>
      <c r="T1745" s="21">
        <f>IFERROR(
(VLOOKUP(MONTH(R1745),Meses!$B$3:$C$14,2,FALSE)-DAY(R1745))/VLOOKUP(MONTH(R1745),Meses!$B$3:$C$14,2,FALSE)*U1745,
"")</f>
        <v>1769.2</v>
      </c>
      <c r="U1745" s="22">
        <f t="shared" si="82"/>
        <v>4423</v>
      </c>
    </row>
    <row r="1746" spans="1:21" ht="47.4" hidden="1" thickBot="1" x14ac:dyDescent="0.6">
      <c r="A1746" s="10" t="s">
        <v>2234</v>
      </c>
      <c r="B1746" s="10" t="s">
        <v>2235</v>
      </c>
      <c r="C1746" s="12"/>
      <c r="D1746" s="10" t="s">
        <v>44</v>
      </c>
      <c r="E1746" s="10" t="s">
        <v>44</v>
      </c>
      <c r="F1746" s="10">
        <v>7360</v>
      </c>
      <c r="G1746" s="10" t="s">
        <v>15</v>
      </c>
      <c r="H1746" s="10" t="s">
        <v>2917</v>
      </c>
      <c r="I1746" s="10" t="s">
        <v>43</v>
      </c>
      <c r="J1746" s="10" t="s">
        <v>143</v>
      </c>
      <c r="K1746" s="10" t="s">
        <v>2895</v>
      </c>
      <c r="L1746" s="10" t="s">
        <v>2292</v>
      </c>
      <c r="M1746" s="12">
        <v>45400</v>
      </c>
      <c r="N1746" s="10" t="s">
        <v>15</v>
      </c>
      <c r="O1746" s="10" t="s">
        <v>2057</v>
      </c>
      <c r="P1746" s="25" t="str">
        <f>IFERROR(
IF(OR(O1746="anulado",O1746="stand by"),CONCATENATE(O1746,": ",H1746),
IF(OR(YEAR(M1746)=2022,YEAR(M1746)=2023),CONCATENATE("Se activó en ",YEAR(M1746)),
IF(AND(OR(O1746="En proceso",O1746="facturando"),AND(J1746="-",M1746="")),"Por revisar",
IF(M1746="",IF(J1746="NUEVAS",CONCATENATE("Estado: ",O1746,", ",J1746),
IF(L1746=Meses!$A$3,"Por revisar",
IF(H1746="","Sin registro","En programación Frcst."))),"En programación")))),
"Error")</f>
        <v>En programación</v>
      </c>
      <c r="Q1746" s="9" t="str">
        <f t="shared" si="81"/>
        <v/>
      </c>
      <c r="R1746" s="25">
        <f>IF(P1746="En programación Frcst.",VLOOKUP(L1746,Meses!$A$1:$H$14,3+HLOOKUP(Cronograma!J1746,Meses!$D$1:$G$2,2,FALSE),FALSE),
IF(P1746="En programación",M1746,""))</f>
        <v>45400</v>
      </c>
      <c r="S1746" s="25" t="str">
        <f t="shared" si="83"/>
        <v>2024/4</v>
      </c>
      <c r="T1746" s="21">
        <f>IFERROR(
(VLOOKUP(MONTH(R1746),Meses!$B$3:$C$14,2,FALSE)-DAY(R1746))/VLOOKUP(MONTH(R1746),Meses!$B$3:$C$14,2,FALSE)*U1746,
"")</f>
        <v>2944</v>
      </c>
      <c r="U1746" s="22">
        <f t="shared" si="82"/>
        <v>7360</v>
      </c>
    </row>
    <row r="1747" spans="1:21" ht="31.8" hidden="1" thickBot="1" x14ac:dyDescent="0.6">
      <c r="A1747" s="10" t="s">
        <v>2236</v>
      </c>
      <c r="B1747" s="10" t="s">
        <v>2237</v>
      </c>
      <c r="C1747" s="12"/>
      <c r="D1747" s="10" t="s">
        <v>44</v>
      </c>
      <c r="E1747" s="10" t="s">
        <v>44</v>
      </c>
      <c r="F1747" s="10">
        <v>5284</v>
      </c>
      <c r="G1747" s="10" t="s">
        <v>15</v>
      </c>
      <c r="H1747" s="10" t="s">
        <v>2916</v>
      </c>
      <c r="I1747" s="10" t="s">
        <v>43</v>
      </c>
      <c r="J1747" s="10" t="s">
        <v>143</v>
      </c>
      <c r="K1747" s="10" t="s">
        <v>2895</v>
      </c>
      <c r="L1747" s="10" t="s">
        <v>2292</v>
      </c>
      <c r="M1747" s="12">
        <v>45400</v>
      </c>
      <c r="N1747" s="10" t="s">
        <v>15</v>
      </c>
      <c r="O1747" s="10" t="s">
        <v>2057</v>
      </c>
      <c r="P1747" s="25" t="str">
        <f>IFERROR(
IF(OR(O1747="anulado",O1747="stand by"),CONCATENATE(O1747,": ",H1747),
IF(OR(YEAR(M1747)=2022,YEAR(M1747)=2023),CONCATENATE("Se activó en ",YEAR(M1747)),
IF(AND(OR(O1747="En proceso",O1747="facturando"),AND(J1747="-",M1747="")),"Por revisar",
IF(M1747="",IF(J1747="NUEVAS",CONCATENATE("Estado: ",O1747,", ",J1747),
IF(L1747=Meses!$A$3,"Por revisar",
IF(H1747="","Sin registro","En programación Frcst."))),"En programación")))),
"Error")</f>
        <v>En programación</v>
      </c>
      <c r="Q1747" s="9" t="str">
        <f t="shared" si="81"/>
        <v/>
      </c>
      <c r="R1747" s="25">
        <f>IF(P1747="En programación Frcst.",VLOOKUP(L1747,Meses!$A$1:$H$14,3+HLOOKUP(Cronograma!J1747,Meses!$D$1:$G$2,2,FALSE),FALSE),
IF(P1747="En programación",M1747,""))</f>
        <v>45400</v>
      </c>
      <c r="S1747" s="25" t="str">
        <f t="shared" si="83"/>
        <v>2024/4</v>
      </c>
      <c r="T1747" s="21">
        <f>IFERROR(
(VLOOKUP(MONTH(R1747),Meses!$B$3:$C$14,2,FALSE)-DAY(R1747))/VLOOKUP(MONTH(R1747),Meses!$B$3:$C$14,2,FALSE)*U1747,
"")</f>
        <v>2113.6</v>
      </c>
      <c r="U1747" s="22">
        <f t="shared" si="82"/>
        <v>5284</v>
      </c>
    </row>
    <row r="1748" spans="1:21" ht="31.8" thickBot="1" x14ac:dyDescent="0.6">
      <c r="A1748" s="10" t="s">
        <v>2236</v>
      </c>
      <c r="B1748" s="10" t="s">
        <v>2238</v>
      </c>
      <c r="C1748" s="12"/>
      <c r="D1748" s="10" t="s">
        <v>44</v>
      </c>
      <c r="E1748" s="10" t="s">
        <v>44</v>
      </c>
      <c r="F1748" s="10">
        <v>10954</v>
      </c>
      <c r="G1748" s="10" t="s">
        <v>15</v>
      </c>
      <c r="H1748" s="10" t="s">
        <v>2921</v>
      </c>
      <c r="I1748" s="10" t="s">
        <v>43</v>
      </c>
      <c r="J1748" s="10" t="s">
        <v>282</v>
      </c>
      <c r="K1748" s="10" t="s">
        <v>3326</v>
      </c>
      <c r="L1748" s="10" t="s">
        <v>2293</v>
      </c>
      <c r="M1748" s="12">
        <v>45414</v>
      </c>
      <c r="N1748" s="10" t="s">
        <v>15</v>
      </c>
      <c r="O1748" s="10" t="s">
        <v>2057</v>
      </c>
      <c r="P1748" s="25" t="str">
        <f>IFERROR(
IF(OR(O1748="anulado",O1748="stand by"),CONCATENATE(O1748,": ",H1748),
IF(OR(YEAR(M1748)=2022,YEAR(M1748)=2023),CONCATENATE("Se activó en ",YEAR(M1748)),
IF(AND(OR(O1748="En proceso",O1748="facturando"),AND(J1748="-",M1748="")),"Por revisar",
IF(M1748="",IF(J1748="NUEVAS",CONCATENATE("Estado: ",O1748,", ",J1748),
IF(L1748=Meses!$A$3,"Por revisar",
IF(H1748="","Sin registro","En programación Frcst."))),"En programación")))),
"Error")</f>
        <v>En programación</v>
      </c>
      <c r="Q1748" s="9" t="str">
        <f t="shared" si="81"/>
        <v/>
      </c>
      <c r="R1748" s="25">
        <f>IF(P1748="En programación Frcst.",VLOOKUP(L1748,Meses!$A$1:$H$14,3+HLOOKUP(Cronograma!J1748,Meses!$D$1:$G$2,2,FALSE),FALSE),
IF(P1748="En programación",M1748,""))</f>
        <v>45414</v>
      </c>
      <c r="S1748" s="25" t="str">
        <f t="shared" si="83"/>
        <v>2024/5</v>
      </c>
      <c r="T1748" s="21">
        <f>IFERROR(
(VLOOKUP(MONTH(R1748),Meses!$B$3:$C$14,2,FALSE)-DAY(R1748))/VLOOKUP(MONTH(R1748),Meses!$B$3:$C$14,2,FALSE)*U1748,
"")</f>
        <v>10247.290322580644</v>
      </c>
      <c r="U1748" s="22">
        <f t="shared" si="82"/>
        <v>10954</v>
      </c>
    </row>
    <row r="1749" spans="1:21" ht="31.8" thickBot="1" x14ac:dyDescent="0.6">
      <c r="A1749" s="10" t="s">
        <v>2236</v>
      </c>
      <c r="B1749" s="10" t="s">
        <v>2239</v>
      </c>
      <c r="C1749" s="12"/>
      <c r="D1749" s="10" t="s">
        <v>44</v>
      </c>
      <c r="E1749" s="10" t="s">
        <v>44</v>
      </c>
      <c r="F1749" s="10">
        <v>1809</v>
      </c>
      <c r="G1749" s="10" t="s">
        <v>15</v>
      </c>
      <c r="H1749" s="10" t="s">
        <v>2921</v>
      </c>
      <c r="I1749" s="10" t="s">
        <v>43</v>
      </c>
      <c r="J1749" s="10" t="s">
        <v>282</v>
      </c>
      <c r="K1749" s="10" t="s">
        <v>3326</v>
      </c>
      <c r="L1749" s="10" t="s">
        <v>2293</v>
      </c>
      <c r="M1749" s="12">
        <v>45414</v>
      </c>
      <c r="N1749" s="10" t="s">
        <v>15</v>
      </c>
      <c r="O1749" s="10" t="s">
        <v>2057</v>
      </c>
      <c r="P1749" s="25" t="str">
        <f>IFERROR(
IF(OR(O1749="anulado",O1749="stand by"),CONCATENATE(O1749,": ",H1749),
IF(OR(YEAR(M1749)=2022,YEAR(M1749)=2023),CONCATENATE("Se activó en ",YEAR(M1749)),
IF(AND(OR(O1749="En proceso",O1749="facturando"),AND(J1749="-",M1749="")),"Por revisar",
IF(M1749="",IF(J1749="NUEVAS",CONCATENATE("Estado: ",O1749,", ",J1749),
IF(L1749=Meses!$A$3,"Por revisar",
IF(H1749="","Sin registro","En programación Frcst."))),"En programación")))),
"Error")</f>
        <v>En programación</v>
      </c>
      <c r="Q1749" s="9" t="str">
        <f t="shared" si="81"/>
        <v/>
      </c>
      <c r="R1749" s="25">
        <f>IF(P1749="En programación Frcst.",VLOOKUP(L1749,Meses!$A$1:$H$14,3+HLOOKUP(Cronograma!J1749,Meses!$D$1:$G$2,2,FALSE),FALSE),
IF(P1749="En programación",M1749,""))</f>
        <v>45414</v>
      </c>
      <c r="S1749" s="25" t="str">
        <f t="shared" si="83"/>
        <v>2024/5</v>
      </c>
      <c r="T1749" s="21">
        <f>IFERROR(
(VLOOKUP(MONTH(R1749),Meses!$B$3:$C$14,2,FALSE)-DAY(R1749))/VLOOKUP(MONTH(R1749),Meses!$B$3:$C$14,2,FALSE)*U1749,
"")</f>
        <v>1692.2903225806451</v>
      </c>
      <c r="U1749" s="22">
        <f t="shared" si="82"/>
        <v>1809</v>
      </c>
    </row>
    <row r="1750" spans="1:21" ht="31.8" hidden="1" thickBot="1" x14ac:dyDescent="0.6">
      <c r="A1750" s="10" t="s">
        <v>2236</v>
      </c>
      <c r="B1750" s="10" t="s">
        <v>2240</v>
      </c>
      <c r="C1750" s="12"/>
      <c r="D1750" s="10" t="s">
        <v>44</v>
      </c>
      <c r="E1750" s="10" t="s">
        <v>44</v>
      </c>
      <c r="F1750" s="10">
        <v>11499</v>
      </c>
      <c r="G1750" s="10" t="s">
        <v>15</v>
      </c>
      <c r="H1750" s="10" t="s">
        <v>2916</v>
      </c>
      <c r="I1750" s="10" t="s">
        <v>43</v>
      </c>
      <c r="J1750" s="10" t="s">
        <v>143</v>
      </c>
      <c r="K1750" s="10" t="s">
        <v>2895</v>
      </c>
      <c r="L1750" s="10" t="s">
        <v>2292</v>
      </c>
      <c r="M1750" s="12">
        <v>45400</v>
      </c>
      <c r="N1750" s="10" t="s">
        <v>15</v>
      </c>
      <c r="O1750" s="10" t="s">
        <v>2057</v>
      </c>
      <c r="P1750" s="25" t="str">
        <f>IFERROR(
IF(OR(O1750="anulado",O1750="stand by"),CONCATENATE(O1750,": ",H1750),
IF(OR(YEAR(M1750)=2022,YEAR(M1750)=2023),CONCATENATE("Se activó en ",YEAR(M1750)),
IF(AND(OR(O1750="En proceso",O1750="facturando"),AND(J1750="-",M1750="")),"Por revisar",
IF(M1750="",IF(J1750="NUEVAS",CONCATENATE("Estado: ",O1750,", ",J1750),
IF(L1750=Meses!$A$3,"Por revisar",
IF(H1750="","Sin registro","En programación Frcst."))),"En programación")))),
"Error")</f>
        <v>En programación</v>
      </c>
      <c r="Q1750" s="9" t="str">
        <f t="shared" si="81"/>
        <v/>
      </c>
      <c r="R1750" s="25">
        <f>IF(P1750="En programación Frcst.",VLOOKUP(L1750,Meses!$A$1:$H$14,3+HLOOKUP(Cronograma!J1750,Meses!$D$1:$G$2,2,FALSE),FALSE),
IF(P1750="En programación",M1750,""))</f>
        <v>45400</v>
      </c>
      <c r="S1750" s="25" t="str">
        <f t="shared" si="83"/>
        <v>2024/4</v>
      </c>
      <c r="T1750" s="21">
        <f>IFERROR(
(VLOOKUP(MONTH(R1750),Meses!$B$3:$C$14,2,FALSE)-DAY(R1750))/VLOOKUP(MONTH(R1750),Meses!$B$3:$C$14,2,FALSE)*U1750,
"")</f>
        <v>4599.6000000000004</v>
      </c>
      <c r="U1750" s="22">
        <f t="shared" si="82"/>
        <v>11499</v>
      </c>
    </row>
    <row r="1751" spans="1:21" ht="31.8" hidden="1" thickBot="1" x14ac:dyDescent="0.6">
      <c r="A1751" s="10" t="s">
        <v>2048</v>
      </c>
      <c r="B1751" s="10" t="s">
        <v>2241</v>
      </c>
      <c r="C1751" s="12"/>
      <c r="D1751" s="10" t="s">
        <v>74</v>
      </c>
      <c r="E1751" s="10" t="s">
        <v>74</v>
      </c>
      <c r="F1751" s="10">
        <v>1989</v>
      </c>
      <c r="G1751" s="10" t="s">
        <v>15</v>
      </c>
      <c r="H1751" s="10" t="s">
        <v>2917</v>
      </c>
      <c r="I1751" s="10" t="s">
        <v>43</v>
      </c>
      <c r="J1751" s="10" t="s">
        <v>143</v>
      </c>
      <c r="K1751" s="10" t="s">
        <v>2895</v>
      </c>
      <c r="L1751" s="10" t="s">
        <v>2292</v>
      </c>
      <c r="M1751" s="12">
        <v>45400</v>
      </c>
      <c r="N1751" s="10" t="s">
        <v>15</v>
      </c>
      <c r="O1751" s="10" t="s">
        <v>2057</v>
      </c>
      <c r="P1751" s="25" t="str">
        <f>IFERROR(
IF(OR(O1751="anulado",O1751="stand by"),CONCATENATE(O1751,": ",H1751),
IF(OR(YEAR(M1751)=2022,YEAR(M1751)=2023),CONCATENATE("Se activó en ",YEAR(M1751)),
IF(AND(OR(O1751="En proceso",O1751="facturando"),AND(J1751="-",M1751="")),"Por revisar",
IF(M1751="",IF(J1751="NUEVAS",CONCATENATE("Estado: ",O1751,", ",J1751),
IF(L1751=Meses!$A$3,"Por revisar",
IF(H1751="","Sin registro","En programación Frcst."))),"En programación")))),
"Error")</f>
        <v>En programación</v>
      </c>
      <c r="Q1751" s="9" t="str">
        <f t="shared" si="81"/>
        <v/>
      </c>
      <c r="R1751" s="25">
        <f>IF(P1751="En programación Frcst.",VLOOKUP(L1751,Meses!$A$1:$H$14,3+HLOOKUP(Cronograma!J1751,Meses!$D$1:$G$2,2,FALSE),FALSE),
IF(P1751="En programación",M1751,""))</f>
        <v>45400</v>
      </c>
      <c r="S1751" s="25" t="str">
        <f t="shared" si="83"/>
        <v>2024/4</v>
      </c>
      <c r="T1751" s="21">
        <f>IFERROR(
(VLOOKUP(MONTH(R1751),Meses!$B$3:$C$14,2,FALSE)-DAY(R1751))/VLOOKUP(MONTH(R1751),Meses!$B$3:$C$14,2,FALSE)*U1751,
"")</f>
        <v>795.6</v>
      </c>
      <c r="U1751" s="22">
        <f t="shared" si="82"/>
        <v>1989</v>
      </c>
    </row>
    <row r="1752" spans="1:21" ht="31.8" hidden="1" thickBot="1" x14ac:dyDescent="0.6">
      <c r="A1752" s="10" t="s">
        <v>2236</v>
      </c>
      <c r="B1752" s="10" t="s">
        <v>2242</v>
      </c>
      <c r="C1752" s="12"/>
      <c r="D1752" s="10" t="s">
        <v>44</v>
      </c>
      <c r="E1752" s="10" t="s">
        <v>44</v>
      </c>
      <c r="F1752" s="10">
        <v>1577</v>
      </c>
      <c r="G1752" s="10" t="s">
        <v>15</v>
      </c>
      <c r="H1752" s="10" t="s">
        <v>2916</v>
      </c>
      <c r="I1752" s="10" t="s">
        <v>43</v>
      </c>
      <c r="J1752" s="10" t="s">
        <v>143</v>
      </c>
      <c r="K1752" s="10" t="s">
        <v>2895</v>
      </c>
      <c r="L1752" s="10" t="s">
        <v>2292</v>
      </c>
      <c r="M1752" s="12">
        <v>45400</v>
      </c>
      <c r="N1752" s="10" t="s">
        <v>15</v>
      </c>
      <c r="O1752" s="10" t="s">
        <v>2057</v>
      </c>
      <c r="P1752" s="25" t="str">
        <f>IFERROR(
IF(OR(O1752="anulado",O1752="stand by"),CONCATENATE(O1752,": ",H1752),
IF(OR(YEAR(M1752)=2022,YEAR(M1752)=2023),CONCATENATE("Se activó en ",YEAR(M1752)),
IF(AND(OR(O1752="En proceso",O1752="facturando"),AND(J1752="-",M1752="")),"Por revisar",
IF(M1752="",IF(J1752="NUEVAS",CONCATENATE("Estado: ",O1752,", ",J1752),
IF(L1752=Meses!$A$3,"Por revisar",
IF(H1752="","Sin registro","En programación Frcst."))),"En programación")))),
"Error")</f>
        <v>En programación</v>
      </c>
      <c r="Q1752" s="9" t="str">
        <f t="shared" si="81"/>
        <v/>
      </c>
      <c r="R1752" s="25">
        <f>IF(P1752="En programación Frcst.",VLOOKUP(L1752,Meses!$A$1:$H$14,3+HLOOKUP(Cronograma!J1752,Meses!$D$1:$G$2,2,FALSE),FALSE),
IF(P1752="En programación",M1752,""))</f>
        <v>45400</v>
      </c>
      <c r="S1752" s="25" t="str">
        <f t="shared" si="83"/>
        <v>2024/4</v>
      </c>
      <c r="T1752" s="21">
        <f>IFERROR(
(VLOOKUP(MONTH(R1752),Meses!$B$3:$C$14,2,FALSE)-DAY(R1752))/VLOOKUP(MONTH(R1752),Meses!$B$3:$C$14,2,FALSE)*U1752,
"")</f>
        <v>630.80000000000007</v>
      </c>
      <c r="U1752" s="22">
        <f t="shared" si="82"/>
        <v>1577</v>
      </c>
    </row>
    <row r="1753" spans="1:21" ht="31.8" hidden="1" thickBot="1" x14ac:dyDescent="0.6">
      <c r="A1753" s="10" t="s">
        <v>2236</v>
      </c>
      <c r="B1753" s="10" t="s">
        <v>2243</v>
      </c>
      <c r="C1753" s="12"/>
      <c r="D1753" s="10" t="s">
        <v>44</v>
      </c>
      <c r="E1753" s="10" t="s">
        <v>44</v>
      </c>
      <c r="F1753" s="10">
        <v>13760</v>
      </c>
      <c r="G1753" s="10" t="s">
        <v>15</v>
      </c>
      <c r="H1753" s="10" t="s">
        <v>2916</v>
      </c>
      <c r="I1753" s="10" t="s">
        <v>43</v>
      </c>
      <c r="J1753" s="10" t="s">
        <v>143</v>
      </c>
      <c r="K1753" s="10" t="s">
        <v>2895</v>
      </c>
      <c r="L1753" s="10" t="s">
        <v>2292</v>
      </c>
      <c r="M1753" s="12">
        <v>45400</v>
      </c>
      <c r="N1753" s="10" t="s">
        <v>15</v>
      </c>
      <c r="O1753" s="10" t="s">
        <v>2057</v>
      </c>
      <c r="P1753" s="25" t="str">
        <f>IFERROR(
IF(OR(O1753="anulado",O1753="stand by"),CONCATENATE(O1753,": ",H1753),
IF(OR(YEAR(M1753)=2022,YEAR(M1753)=2023),CONCATENATE("Se activó en ",YEAR(M1753)),
IF(AND(OR(O1753="En proceso",O1753="facturando"),AND(J1753="-",M1753="")),"Por revisar",
IF(M1753="",IF(J1753="NUEVAS",CONCATENATE("Estado: ",O1753,", ",J1753),
IF(L1753=Meses!$A$3,"Por revisar",
IF(H1753="","Sin registro","En programación Frcst."))),"En programación")))),
"Error")</f>
        <v>En programación</v>
      </c>
      <c r="Q1753" s="9" t="str">
        <f t="shared" si="81"/>
        <v/>
      </c>
      <c r="R1753" s="25">
        <f>IF(P1753="En programación Frcst.",VLOOKUP(L1753,Meses!$A$1:$H$14,3+HLOOKUP(Cronograma!J1753,Meses!$D$1:$G$2,2,FALSE),FALSE),
IF(P1753="En programación",M1753,""))</f>
        <v>45400</v>
      </c>
      <c r="S1753" s="25" t="str">
        <f t="shared" si="83"/>
        <v>2024/4</v>
      </c>
      <c r="T1753" s="21">
        <f>IFERROR(
(VLOOKUP(MONTH(R1753),Meses!$B$3:$C$14,2,FALSE)-DAY(R1753))/VLOOKUP(MONTH(R1753),Meses!$B$3:$C$14,2,FALSE)*U1753,
"")</f>
        <v>5504</v>
      </c>
      <c r="U1753" s="22">
        <f t="shared" si="82"/>
        <v>13760</v>
      </c>
    </row>
    <row r="1754" spans="1:21" ht="31.8" thickBot="1" x14ac:dyDescent="0.6">
      <c r="A1754" s="10" t="s">
        <v>2236</v>
      </c>
      <c r="B1754" s="10" t="s">
        <v>2244</v>
      </c>
      <c r="C1754" s="12"/>
      <c r="D1754" s="10" t="s">
        <v>44</v>
      </c>
      <c r="E1754" s="10" t="s">
        <v>44</v>
      </c>
      <c r="F1754" s="10">
        <v>112</v>
      </c>
      <c r="G1754" s="10" t="s">
        <v>15</v>
      </c>
      <c r="H1754" s="10" t="s">
        <v>2921</v>
      </c>
      <c r="I1754" s="10" t="s">
        <v>43</v>
      </c>
      <c r="J1754" s="10" t="s">
        <v>282</v>
      </c>
      <c r="K1754" s="10" t="s">
        <v>3326</v>
      </c>
      <c r="L1754" s="10" t="s">
        <v>2293</v>
      </c>
      <c r="M1754" s="12">
        <v>45414</v>
      </c>
      <c r="N1754" s="10" t="s">
        <v>15</v>
      </c>
      <c r="O1754" s="10" t="s">
        <v>2057</v>
      </c>
      <c r="P1754" s="25" t="str">
        <f>IFERROR(
IF(OR(O1754="anulado",O1754="stand by"),CONCATENATE(O1754,": ",H1754),
IF(OR(YEAR(M1754)=2022,YEAR(M1754)=2023),CONCATENATE("Se activó en ",YEAR(M1754)),
IF(AND(OR(O1754="En proceso",O1754="facturando"),AND(J1754="-",M1754="")),"Por revisar",
IF(M1754="",IF(J1754="NUEVAS",CONCATENATE("Estado: ",O1754,", ",J1754),
IF(L1754=Meses!$A$3,"Por revisar",
IF(H1754="","Sin registro","En programación Frcst."))),"En programación")))),
"Error")</f>
        <v>En programación</v>
      </c>
      <c r="Q1754" s="9" t="str">
        <f t="shared" si="81"/>
        <v/>
      </c>
      <c r="R1754" s="25">
        <f>IF(P1754="En programación Frcst.",VLOOKUP(L1754,Meses!$A$1:$H$14,3+HLOOKUP(Cronograma!J1754,Meses!$D$1:$G$2,2,FALSE),FALSE),
IF(P1754="En programación",M1754,""))</f>
        <v>45414</v>
      </c>
      <c r="S1754" s="25" t="str">
        <f t="shared" si="83"/>
        <v>2024/5</v>
      </c>
      <c r="T1754" s="21">
        <f>IFERROR(
(VLOOKUP(MONTH(R1754),Meses!$B$3:$C$14,2,FALSE)-DAY(R1754))/VLOOKUP(MONTH(R1754),Meses!$B$3:$C$14,2,FALSE)*U1754,
"")</f>
        <v>104.77419354838709</v>
      </c>
      <c r="U1754" s="22">
        <f t="shared" si="82"/>
        <v>112</v>
      </c>
    </row>
    <row r="1755" spans="1:21" ht="31.8" hidden="1" thickBot="1" x14ac:dyDescent="0.6">
      <c r="A1755" s="10" t="s">
        <v>2236</v>
      </c>
      <c r="B1755" s="10" t="s">
        <v>2245</v>
      </c>
      <c r="C1755" s="12"/>
      <c r="D1755" s="10" t="s">
        <v>44</v>
      </c>
      <c r="E1755" s="10" t="s">
        <v>44</v>
      </c>
      <c r="F1755" s="10">
        <v>1004</v>
      </c>
      <c r="G1755" s="10" t="s">
        <v>15</v>
      </c>
      <c r="H1755" s="10" t="s">
        <v>2916</v>
      </c>
      <c r="I1755" s="10" t="s">
        <v>43</v>
      </c>
      <c r="J1755" s="10" t="s">
        <v>143</v>
      </c>
      <c r="K1755" s="10" t="s">
        <v>2895</v>
      </c>
      <c r="L1755" s="10" t="s">
        <v>2292</v>
      </c>
      <c r="M1755" s="12">
        <v>45400</v>
      </c>
      <c r="N1755" s="10" t="s">
        <v>15</v>
      </c>
      <c r="O1755" s="10" t="s">
        <v>2057</v>
      </c>
      <c r="P1755" s="25" t="str">
        <f>IFERROR(
IF(OR(O1755="anulado",O1755="stand by"),CONCATENATE(O1755,": ",H1755),
IF(OR(YEAR(M1755)=2022,YEAR(M1755)=2023),CONCATENATE("Se activó en ",YEAR(M1755)),
IF(AND(OR(O1755="En proceso",O1755="facturando"),AND(J1755="-",M1755="")),"Por revisar",
IF(M1755="",IF(J1755="NUEVAS",CONCATENATE("Estado: ",O1755,", ",J1755),
IF(L1755=Meses!$A$3,"Por revisar",
IF(H1755="","Sin registro","En programación Frcst."))),"En programación")))),
"Error")</f>
        <v>En programación</v>
      </c>
      <c r="Q1755" s="9" t="str">
        <f t="shared" si="81"/>
        <v/>
      </c>
      <c r="R1755" s="25">
        <f>IF(P1755="En programación Frcst.",VLOOKUP(L1755,Meses!$A$1:$H$14,3+HLOOKUP(Cronograma!J1755,Meses!$D$1:$G$2,2,FALSE),FALSE),
IF(P1755="En programación",M1755,""))</f>
        <v>45400</v>
      </c>
      <c r="S1755" s="25" t="str">
        <f t="shared" si="83"/>
        <v>2024/4</v>
      </c>
      <c r="T1755" s="21">
        <f>IFERROR(
(VLOOKUP(MONTH(R1755),Meses!$B$3:$C$14,2,FALSE)-DAY(R1755))/VLOOKUP(MONTH(R1755),Meses!$B$3:$C$14,2,FALSE)*U1755,
"")</f>
        <v>401.6</v>
      </c>
      <c r="U1755" s="22">
        <f t="shared" si="82"/>
        <v>1004</v>
      </c>
    </row>
    <row r="1756" spans="1:21" ht="47.4" hidden="1" thickBot="1" x14ac:dyDescent="0.6">
      <c r="A1756" s="10" t="s">
        <v>2246</v>
      </c>
      <c r="B1756" s="10" t="s">
        <v>2247</v>
      </c>
      <c r="C1756" s="12"/>
      <c r="D1756" s="10" t="s">
        <v>44</v>
      </c>
      <c r="E1756" s="10" t="s">
        <v>44</v>
      </c>
      <c r="F1756" s="10">
        <v>2769</v>
      </c>
      <c r="G1756" s="10" t="s">
        <v>15</v>
      </c>
      <c r="H1756" s="10" t="s">
        <v>2916</v>
      </c>
      <c r="I1756" s="10" t="s">
        <v>43</v>
      </c>
      <c r="J1756" s="10" t="s">
        <v>143</v>
      </c>
      <c r="K1756" s="10" t="s">
        <v>2895</v>
      </c>
      <c r="L1756" s="10" t="s">
        <v>2292</v>
      </c>
      <c r="M1756" s="12">
        <v>45400</v>
      </c>
      <c r="N1756" s="10" t="s">
        <v>15</v>
      </c>
      <c r="O1756" s="10" t="s">
        <v>2057</v>
      </c>
      <c r="P1756" s="25" t="str">
        <f>IFERROR(
IF(OR(O1756="anulado",O1756="stand by"),CONCATENATE(O1756,": ",H1756),
IF(OR(YEAR(M1756)=2022,YEAR(M1756)=2023),CONCATENATE("Se activó en ",YEAR(M1756)),
IF(AND(OR(O1756="En proceso",O1756="facturando"),AND(J1756="-",M1756="")),"Por revisar",
IF(M1756="",IF(J1756="NUEVAS",CONCATENATE("Estado: ",O1756,", ",J1756),
IF(L1756=Meses!$A$3,"Por revisar",
IF(H1756="","Sin registro","En programación Frcst."))),"En programación")))),
"Error")</f>
        <v>En programación</v>
      </c>
      <c r="Q1756" s="9" t="str">
        <f t="shared" si="81"/>
        <v/>
      </c>
      <c r="R1756" s="25">
        <f>IF(P1756="En programación Frcst.",VLOOKUP(L1756,Meses!$A$1:$H$14,3+HLOOKUP(Cronograma!J1756,Meses!$D$1:$G$2,2,FALSE),FALSE),
IF(P1756="En programación",M1756,""))</f>
        <v>45400</v>
      </c>
      <c r="S1756" s="25" t="str">
        <f t="shared" si="83"/>
        <v>2024/4</v>
      </c>
      <c r="T1756" s="21">
        <f>IFERROR(
(VLOOKUP(MONTH(R1756),Meses!$B$3:$C$14,2,FALSE)-DAY(R1756))/VLOOKUP(MONTH(R1756),Meses!$B$3:$C$14,2,FALSE)*U1756,
"")</f>
        <v>1107.6000000000001</v>
      </c>
      <c r="U1756" s="22">
        <f t="shared" si="82"/>
        <v>2769</v>
      </c>
    </row>
    <row r="1757" spans="1:21" ht="63" hidden="1" thickBot="1" x14ac:dyDescent="0.6">
      <c r="A1757" s="10" t="s">
        <v>2248</v>
      </c>
      <c r="B1757" s="10" t="s">
        <v>2249</v>
      </c>
      <c r="C1757" s="12"/>
      <c r="D1757" s="10" t="s">
        <v>74</v>
      </c>
      <c r="E1757" s="10" t="s">
        <v>74</v>
      </c>
      <c r="F1757" s="10">
        <v>10138</v>
      </c>
      <c r="G1757" s="10" t="s">
        <v>15</v>
      </c>
      <c r="H1757" s="10" t="s">
        <v>2916</v>
      </c>
      <c r="I1757" s="10" t="s">
        <v>43</v>
      </c>
      <c r="J1757" s="10" t="s">
        <v>143</v>
      </c>
      <c r="K1757" s="10" t="s">
        <v>2895</v>
      </c>
      <c r="L1757" s="10" t="s">
        <v>2292</v>
      </c>
      <c r="M1757" s="12">
        <v>45400</v>
      </c>
      <c r="N1757" s="10" t="s">
        <v>15</v>
      </c>
      <c r="O1757" s="10" t="s">
        <v>2057</v>
      </c>
      <c r="P1757" s="25" t="str">
        <f>IFERROR(
IF(OR(O1757="anulado",O1757="stand by"),CONCATENATE(O1757,": ",H1757),
IF(OR(YEAR(M1757)=2022,YEAR(M1757)=2023),CONCATENATE("Se activó en ",YEAR(M1757)),
IF(AND(OR(O1757="En proceso",O1757="facturando"),AND(J1757="-",M1757="")),"Por revisar",
IF(M1757="",IF(J1757="NUEVAS",CONCATENATE("Estado: ",O1757,", ",J1757),
IF(L1757=Meses!$A$3,"Por revisar",
IF(H1757="","Sin registro","En programación Frcst."))),"En programación")))),
"Error")</f>
        <v>En programación</v>
      </c>
      <c r="Q1757" s="9" t="str">
        <f t="shared" si="81"/>
        <v/>
      </c>
      <c r="R1757" s="25">
        <f>IF(P1757="En programación Frcst.",VLOOKUP(L1757,Meses!$A$1:$H$14,3+HLOOKUP(Cronograma!J1757,Meses!$D$1:$G$2,2,FALSE),FALSE),
IF(P1757="En programación",M1757,""))</f>
        <v>45400</v>
      </c>
      <c r="S1757" s="25" t="str">
        <f t="shared" si="83"/>
        <v>2024/4</v>
      </c>
      <c r="T1757" s="21">
        <f>IFERROR(
(VLOOKUP(MONTH(R1757),Meses!$B$3:$C$14,2,FALSE)-DAY(R1757))/VLOOKUP(MONTH(R1757),Meses!$B$3:$C$14,2,FALSE)*U1757,
"")</f>
        <v>4055.2000000000003</v>
      </c>
      <c r="U1757" s="22">
        <f t="shared" si="82"/>
        <v>10138</v>
      </c>
    </row>
    <row r="1758" spans="1:21" ht="47.4" thickBot="1" x14ac:dyDescent="0.6">
      <c r="A1758" s="10" t="s">
        <v>2246</v>
      </c>
      <c r="B1758" s="10" t="s">
        <v>2250</v>
      </c>
      <c r="C1758" s="12"/>
      <c r="D1758" s="10" t="s">
        <v>171</v>
      </c>
      <c r="E1758" s="10" t="s">
        <v>44</v>
      </c>
      <c r="F1758" s="10">
        <v>8116</v>
      </c>
      <c r="G1758" s="10" t="s">
        <v>15</v>
      </c>
      <c r="H1758" s="10" t="s">
        <v>2916</v>
      </c>
      <c r="I1758" s="10" t="s">
        <v>66</v>
      </c>
      <c r="J1758" s="10" t="s">
        <v>282</v>
      </c>
      <c r="K1758" s="10" t="s">
        <v>3326</v>
      </c>
      <c r="L1758" s="10" t="s">
        <v>2293</v>
      </c>
      <c r="M1758" s="12">
        <v>45414</v>
      </c>
      <c r="N1758" s="10" t="s">
        <v>15</v>
      </c>
      <c r="O1758" s="10" t="s">
        <v>2057</v>
      </c>
      <c r="P1758" s="25" t="str">
        <f>IFERROR(
IF(OR(O1758="anulado",O1758="stand by"),CONCATENATE(O1758,": ",H1758),
IF(OR(YEAR(M1758)=2022,YEAR(M1758)=2023),CONCATENATE("Se activó en ",YEAR(M1758)),
IF(AND(OR(O1758="En proceso",O1758="facturando"),AND(J1758="-",M1758="")),"Por revisar",
IF(M1758="",IF(J1758="NUEVAS",CONCATENATE("Estado: ",O1758,", ",J1758),
IF(L1758=Meses!$A$3,"Por revisar",
IF(H1758="","Sin registro","En programación Frcst."))),"En programación")))),
"Error")</f>
        <v>En programación</v>
      </c>
      <c r="Q1758" s="9" t="str">
        <f t="shared" si="81"/>
        <v/>
      </c>
      <c r="R1758" s="25">
        <f>IF(P1758="En programación Frcst.",VLOOKUP(L1758,Meses!$A$1:$H$14,3+HLOOKUP(Cronograma!J1758,Meses!$D$1:$G$2,2,FALSE),FALSE),
IF(P1758="En programación",M1758,""))</f>
        <v>45414</v>
      </c>
      <c r="S1758" s="25" t="str">
        <f t="shared" si="83"/>
        <v>2024/5</v>
      </c>
      <c r="T1758" s="21">
        <f>IFERROR(
(VLOOKUP(MONTH(R1758),Meses!$B$3:$C$14,2,FALSE)-DAY(R1758))/VLOOKUP(MONTH(R1758),Meses!$B$3:$C$14,2,FALSE)*U1758,
"")</f>
        <v>7592.3870967741932</v>
      </c>
      <c r="U1758" s="22">
        <f t="shared" si="82"/>
        <v>8116</v>
      </c>
    </row>
    <row r="1759" spans="1:21" ht="47.4" hidden="1" thickBot="1" x14ac:dyDescent="0.6">
      <c r="A1759" s="10" t="s">
        <v>2246</v>
      </c>
      <c r="B1759" s="10" t="s">
        <v>2251</v>
      </c>
      <c r="C1759" s="12"/>
      <c r="D1759" s="10" t="s">
        <v>44</v>
      </c>
      <c r="E1759" s="10" t="s">
        <v>44</v>
      </c>
      <c r="F1759" s="10">
        <v>4800</v>
      </c>
      <c r="G1759" s="10" t="s">
        <v>15</v>
      </c>
      <c r="H1759" s="10" t="s">
        <v>2917</v>
      </c>
      <c r="I1759" s="10" t="s">
        <v>43</v>
      </c>
      <c r="J1759" s="10" t="s">
        <v>143</v>
      </c>
      <c r="K1759" s="10" t="s">
        <v>2895</v>
      </c>
      <c r="L1759" s="10" t="s">
        <v>2292</v>
      </c>
      <c r="M1759" s="12">
        <v>45400</v>
      </c>
      <c r="N1759" s="10" t="s">
        <v>15</v>
      </c>
      <c r="O1759" s="10" t="s">
        <v>2057</v>
      </c>
      <c r="P1759" s="25" t="str">
        <f>IFERROR(
IF(OR(O1759="anulado",O1759="stand by"),CONCATENATE(O1759,": ",H1759),
IF(OR(YEAR(M1759)=2022,YEAR(M1759)=2023),CONCATENATE("Se activó en ",YEAR(M1759)),
IF(AND(OR(O1759="En proceso",O1759="facturando"),AND(J1759="-",M1759="")),"Por revisar",
IF(M1759="",IF(J1759="NUEVAS",CONCATENATE("Estado: ",O1759,", ",J1759),
IF(L1759=Meses!$A$3,"Por revisar",
IF(H1759="","Sin registro","En programación Frcst."))),"En programación")))),
"Error")</f>
        <v>En programación</v>
      </c>
      <c r="Q1759" s="9" t="str">
        <f t="shared" si="81"/>
        <v/>
      </c>
      <c r="R1759" s="25">
        <f>IF(P1759="En programación Frcst.",VLOOKUP(L1759,Meses!$A$1:$H$14,3+HLOOKUP(Cronograma!J1759,Meses!$D$1:$G$2,2,FALSE),FALSE),
IF(P1759="En programación",M1759,""))</f>
        <v>45400</v>
      </c>
      <c r="S1759" s="25" t="str">
        <f t="shared" si="83"/>
        <v>2024/4</v>
      </c>
      <c r="T1759" s="21">
        <f>IFERROR(
(VLOOKUP(MONTH(R1759),Meses!$B$3:$C$14,2,FALSE)-DAY(R1759))/VLOOKUP(MONTH(R1759),Meses!$B$3:$C$14,2,FALSE)*U1759,
"")</f>
        <v>1920</v>
      </c>
      <c r="U1759" s="22">
        <f t="shared" si="82"/>
        <v>4800</v>
      </c>
    </row>
    <row r="1760" spans="1:21" ht="31.8" hidden="1" thickBot="1" x14ac:dyDescent="0.6">
      <c r="A1760" s="10" t="s">
        <v>2252</v>
      </c>
      <c r="B1760" s="10" t="s">
        <v>2253</v>
      </c>
      <c r="C1760" s="12"/>
      <c r="D1760" s="10" t="s">
        <v>74</v>
      </c>
      <c r="E1760" s="10" t="s">
        <v>74</v>
      </c>
      <c r="F1760" s="10">
        <v>2960</v>
      </c>
      <c r="G1760" s="10" t="s">
        <v>15</v>
      </c>
      <c r="H1760" s="10" t="s">
        <v>2917</v>
      </c>
      <c r="I1760" s="10" t="s">
        <v>43</v>
      </c>
      <c r="J1760" s="10" t="s">
        <v>143</v>
      </c>
      <c r="K1760" s="10" t="s">
        <v>2895</v>
      </c>
      <c r="L1760" s="10" t="s">
        <v>2292</v>
      </c>
      <c r="M1760" s="12">
        <v>45400</v>
      </c>
      <c r="N1760" s="10" t="s">
        <v>15</v>
      </c>
      <c r="O1760" s="10" t="s">
        <v>2057</v>
      </c>
      <c r="P1760" s="25" t="str">
        <f>IFERROR(
IF(OR(O1760="anulado",O1760="stand by"),CONCATENATE(O1760,": ",H1760),
IF(OR(YEAR(M1760)=2022,YEAR(M1760)=2023),CONCATENATE("Se activó en ",YEAR(M1760)),
IF(AND(OR(O1760="En proceso",O1760="facturando"),AND(J1760="-",M1760="")),"Por revisar",
IF(M1760="",IF(J1760="NUEVAS",CONCATENATE("Estado: ",O1760,", ",J1760),
IF(L1760=Meses!$A$3,"Por revisar",
IF(H1760="","Sin registro","En programación Frcst."))),"En programación")))),
"Error")</f>
        <v>En programación</v>
      </c>
      <c r="Q1760" s="9" t="str">
        <f t="shared" si="81"/>
        <v/>
      </c>
      <c r="R1760" s="25">
        <f>IF(P1760="En programación Frcst.",VLOOKUP(L1760,Meses!$A$1:$H$14,3+HLOOKUP(Cronograma!J1760,Meses!$D$1:$G$2,2,FALSE),FALSE),
IF(P1760="En programación",M1760,""))</f>
        <v>45400</v>
      </c>
      <c r="S1760" s="25" t="str">
        <f t="shared" si="83"/>
        <v>2024/4</v>
      </c>
      <c r="T1760" s="21">
        <f>IFERROR(
(VLOOKUP(MONTH(R1760),Meses!$B$3:$C$14,2,FALSE)-DAY(R1760))/VLOOKUP(MONTH(R1760),Meses!$B$3:$C$14,2,FALSE)*U1760,
"")</f>
        <v>1184</v>
      </c>
      <c r="U1760" s="22">
        <f t="shared" si="82"/>
        <v>2960</v>
      </c>
    </row>
    <row r="1761" spans="1:21" ht="31.8" hidden="1" thickBot="1" x14ac:dyDescent="0.6">
      <c r="A1761" s="10" t="s">
        <v>2252</v>
      </c>
      <c r="B1761" s="10" t="s">
        <v>2254</v>
      </c>
      <c r="C1761" s="12"/>
      <c r="D1761" s="10" t="s">
        <v>657</v>
      </c>
      <c r="E1761" s="10" t="s">
        <v>657</v>
      </c>
      <c r="F1761" s="10">
        <v>648</v>
      </c>
      <c r="G1761" s="10" t="s">
        <v>15</v>
      </c>
      <c r="H1761" s="10" t="s">
        <v>2917</v>
      </c>
      <c r="I1761" s="10" t="s">
        <v>18</v>
      </c>
      <c r="J1761" s="10" t="s">
        <v>277</v>
      </c>
      <c r="K1761" s="10" t="s">
        <v>3327</v>
      </c>
      <c r="L1761" s="10" t="s">
        <v>2292</v>
      </c>
      <c r="M1761" s="12">
        <v>45400</v>
      </c>
      <c r="N1761" s="10" t="s">
        <v>15</v>
      </c>
      <c r="O1761" s="10" t="s">
        <v>2057</v>
      </c>
      <c r="P1761" s="25" t="str">
        <f>IFERROR(
IF(OR(O1761="anulado",O1761="stand by"),CONCATENATE(O1761,": ",H1761),
IF(OR(YEAR(M1761)=2022,YEAR(M1761)=2023),CONCATENATE("Se activó en ",YEAR(M1761)),
IF(AND(OR(O1761="En proceso",O1761="facturando"),AND(J1761="-",M1761="")),"Por revisar",
IF(M1761="",IF(J1761="NUEVAS",CONCATENATE("Estado: ",O1761,", ",J1761),
IF(L1761=Meses!$A$3,"Por revisar",
IF(H1761="","Sin registro","En programación Frcst."))),"En programación")))),
"Error")</f>
        <v>En programación</v>
      </c>
      <c r="Q1761" s="9" t="str">
        <f t="shared" si="81"/>
        <v/>
      </c>
      <c r="R1761" s="25">
        <f>IF(P1761="En programación Frcst.",VLOOKUP(L1761,Meses!$A$1:$H$14,3+HLOOKUP(Cronograma!J1761,Meses!$D$1:$G$2,2,FALSE),FALSE),
IF(P1761="En programación",M1761,""))</f>
        <v>45400</v>
      </c>
      <c r="S1761" s="25" t="str">
        <f t="shared" si="83"/>
        <v>2024/4</v>
      </c>
      <c r="T1761" s="21">
        <f>IFERROR(
(VLOOKUP(MONTH(R1761),Meses!$B$3:$C$14,2,FALSE)-DAY(R1761))/VLOOKUP(MONTH(R1761),Meses!$B$3:$C$14,2,FALSE)*U1761,
"")</f>
        <v>259.2</v>
      </c>
      <c r="U1761" s="22">
        <f t="shared" si="82"/>
        <v>648</v>
      </c>
    </row>
    <row r="1762" spans="1:21" ht="31.8" hidden="1" thickBot="1" x14ac:dyDescent="0.6">
      <c r="A1762" s="10" t="s">
        <v>2252</v>
      </c>
      <c r="B1762" s="10" t="s">
        <v>2255</v>
      </c>
      <c r="C1762" s="12"/>
      <c r="D1762" s="10" t="s">
        <v>41</v>
      </c>
      <c r="E1762" s="10" t="s">
        <v>41</v>
      </c>
      <c r="F1762" s="10">
        <v>5320</v>
      </c>
      <c r="G1762" s="10" t="s">
        <v>15</v>
      </c>
      <c r="H1762" s="10" t="s">
        <v>2917</v>
      </c>
      <c r="I1762" s="10" t="s">
        <v>43</v>
      </c>
      <c r="J1762" s="10" t="s">
        <v>143</v>
      </c>
      <c r="K1762" s="10" t="s">
        <v>2895</v>
      </c>
      <c r="L1762" s="10" t="s">
        <v>2292</v>
      </c>
      <c r="M1762" s="12">
        <v>45400</v>
      </c>
      <c r="N1762" s="10" t="s">
        <v>15</v>
      </c>
      <c r="O1762" s="10" t="s">
        <v>2057</v>
      </c>
      <c r="P1762" s="25" t="str">
        <f>IFERROR(
IF(OR(O1762="anulado",O1762="stand by"),CONCATENATE(O1762,": ",H1762),
IF(OR(YEAR(M1762)=2022,YEAR(M1762)=2023),CONCATENATE("Se activó en ",YEAR(M1762)),
IF(AND(OR(O1762="En proceso",O1762="facturando"),AND(J1762="-",M1762="")),"Por revisar",
IF(M1762="",IF(J1762="NUEVAS",CONCATENATE("Estado: ",O1762,", ",J1762),
IF(L1762=Meses!$A$3,"Por revisar",
IF(H1762="","Sin registro","En programación Frcst."))),"En programación")))),
"Error")</f>
        <v>En programación</v>
      </c>
      <c r="Q1762" s="9" t="str">
        <f t="shared" si="81"/>
        <v/>
      </c>
      <c r="R1762" s="25">
        <f>IF(P1762="En programación Frcst.",VLOOKUP(L1762,Meses!$A$1:$H$14,3+HLOOKUP(Cronograma!J1762,Meses!$D$1:$G$2,2,FALSE),FALSE),
IF(P1762="En programación",M1762,""))</f>
        <v>45400</v>
      </c>
      <c r="S1762" s="25" t="str">
        <f t="shared" si="83"/>
        <v>2024/4</v>
      </c>
      <c r="T1762" s="21">
        <f>IFERROR(
(VLOOKUP(MONTH(R1762),Meses!$B$3:$C$14,2,FALSE)-DAY(R1762))/VLOOKUP(MONTH(R1762),Meses!$B$3:$C$14,2,FALSE)*U1762,
"")</f>
        <v>2128</v>
      </c>
      <c r="U1762" s="22">
        <f t="shared" si="82"/>
        <v>5320</v>
      </c>
    </row>
    <row r="1763" spans="1:21" ht="31.8" hidden="1" thickBot="1" x14ac:dyDescent="0.6">
      <c r="A1763" s="10" t="s">
        <v>2252</v>
      </c>
      <c r="B1763" s="10" t="s">
        <v>2256</v>
      </c>
      <c r="C1763" s="12"/>
      <c r="D1763" s="10" t="s">
        <v>959</v>
      </c>
      <c r="E1763" s="10" t="s">
        <v>959</v>
      </c>
      <c r="F1763" s="10">
        <v>854</v>
      </c>
      <c r="G1763" s="10" t="s">
        <v>15</v>
      </c>
      <c r="H1763" s="10" t="s">
        <v>2917</v>
      </c>
      <c r="I1763" s="10" t="s">
        <v>43</v>
      </c>
      <c r="J1763" s="10" t="s">
        <v>143</v>
      </c>
      <c r="K1763" s="10" t="s">
        <v>2895</v>
      </c>
      <c r="L1763" s="10" t="s">
        <v>2292</v>
      </c>
      <c r="M1763" s="12">
        <v>45400</v>
      </c>
      <c r="N1763" s="10" t="s">
        <v>15</v>
      </c>
      <c r="O1763" s="10" t="s">
        <v>2057</v>
      </c>
      <c r="P1763" s="25" t="str">
        <f>IFERROR(
IF(OR(O1763="anulado",O1763="stand by"),CONCATENATE(O1763,": ",H1763),
IF(OR(YEAR(M1763)=2022,YEAR(M1763)=2023),CONCATENATE("Se activó en ",YEAR(M1763)),
IF(AND(OR(O1763="En proceso",O1763="facturando"),AND(J1763="-",M1763="")),"Por revisar",
IF(M1763="",IF(J1763="NUEVAS",CONCATENATE("Estado: ",O1763,", ",J1763),
IF(L1763=Meses!$A$3,"Por revisar",
IF(H1763="","Sin registro","En programación Frcst."))),"En programación")))),
"Error")</f>
        <v>En programación</v>
      </c>
      <c r="Q1763" s="9" t="str">
        <f t="shared" si="81"/>
        <v/>
      </c>
      <c r="R1763" s="25">
        <f>IF(P1763="En programación Frcst.",VLOOKUP(L1763,Meses!$A$1:$H$14,3+HLOOKUP(Cronograma!J1763,Meses!$D$1:$G$2,2,FALSE),FALSE),
IF(P1763="En programación",M1763,""))</f>
        <v>45400</v>
      </c>
      <c r="S1763" s="25" t="str">
        <f t="shared" si="83"/>
        <v>2024/4</v>
      </c>
      <c r="T1763" s="21">
        <f>IFERROR(
(VLOOKUP(MONTH(R1763),Meses!$B$3:$C$14,2,FALSE)-DAY(R1763))/VLOOKUP(MONTH(R1763),Meses!$B$3:$C$14,2,FALSE)*U1763,
"")</f>
        <v>341.6</v>
      </c>
      <c r="U1763" s="22">
        <f t="shared" si="82"/>
        <v>854</v>
      </c>
    </row>
    <row r="1764" spans="1:21" ht="31.8" hidden="1" thickBot="1" x14ac:dyDescent="0.6">
      <c r="A1764" s="10" t="s">
        <v>2252</v>
      </c>
      <c r="B1764" s="10" t="s">
        <v>2257</v>
      </c>
      <c r="C1764" s="12"/>
      <c r="D1764" s="10" t="s">
        <v>291</v>
      </c>
      <c r="E1764" s="10" t="s">
        <v>291</v>
      </c>
      <c r="F1764" s="10">
        <v>3036</v>
      </c>
      <c r="G1764" s="10" t="s">
        <v>15</v>
      </c>
      <c r="H1764" s="10" t="s">
        <v>2917</v>
      </c>
      <c r="I1764" s="10" t="s">
        <v>43</v>
      </c>
      <c r="J1764" s="10" t="s">
        <v>143</v>
      </c>
      <c r="K1764" s="10" t="s">
        <v>2895</v>
      </c>
      <c r="L1764" s="10" t="s">
        <v>2292</v>
      </c>
      <c r="M1764" s="12">
        <v>45400</v>
      </c>
      <c r="N1764" s="10" t="s">
        <v>15</v>
      </c>
      <c r="O1764" s="10" t="s">
        <v>2057</v>
      </c>
      <c r="P1764" s="25" t="str">
        <f>IFERROR(
IF(OR(O1764="anulado",O1764="stand by"),CONCATENATE(O1764,": ",H1764),
IF(OR(YEAR(M1764)=2022,YEAR(M1764)=2023),CONCATENATE("Se activó en ",YEAR(M1764)),
IF(AND(OR(O1764="En proceso",O1764="facturando"),AND(J1764="-",M1764="")),"Por revisar",
IF(M1764="",IF(J1764="NUEVAS",CONCATENATE("Estado: ",O1764,", ",J1764),
IF(L1764=Meses!$A$3,"Por revisar",
IF(H1764="","Sin registro","En programación Frcst."))),"En programación")))),
"Error")</f>
        <v>En programación</v>
      </c>
      <c r="Q1764" s="9" t="str">
        <f t="shared" si="81"/>
        <v/>
      </c>
      <c r="R1764" s="25">
        <f>IF(P1764="En programación Frcst.",VLOOKUP(L1764,Meses!$A$1:$H$14,3+HLOOKUP(Cronograma!J1764,Meses!$D$1:$G$2,2,FALSE),FALSE),
IF(P1764="En programación",M1764,""))</f>
        <v>45400</v>
      </c>
      <c r="S1764" s="25" t="str">
        <f t="shared" si="83"/>
        <v>2024/4</v>
      </c>
      <c r="T1764" s="21">
        <f>IFERROR(
(VLOOKUP(MONTH(R1764),Meses!$B$3:$C$14,2,FALSE)-DAY(R1764))/VLOOKUP(MONTH(R1764),Meses!$B$3:$C$14,2,FALSE)*U1764,
"")</f>
        <v>1214.4000000000001</v>
      </c>
      <c r="U1764" s="22">
        <f t="shared" si="82"/>
        <v>3036</v>
      </c>
    </row>
    <row r="1765" spans="1:21" ht="31.8" hidden="1" thickBot="1" x14ac:dyDescent="0.6">
      <c r="A1765" s="10" t="s">
        <v>2252</v>
      </c>
      <c r="B1765" s="10" t="s">
        <v>2258</v>
      </c>
      <c r="C1765" s="12"/>
      <c r="D1765" s="10" t="s">
        <v>188</v>
      </c>
      <c r="E1765" s="10" t="s">
        <v>188</v>
      </c>
      <c r="F1765" s="10">
        <v>216</v>
      </c>
      <c r="G1765" s="10" t="s">
        <v>15</v>
      </c>
      <c r="H1765" s="10" t="s">
        <v>2917</v>
      </c>
      <c r="I1765" s="10" t="s">
        <v>43</v>
      </c>
      <c r="J1765" s="10" t="s">
        <v>143</v>
      </c>
      <c r="K1765" s="10" t="s">
        <v>2895</v>
      </c>
      <c r="L1765" s="10" t="s">
        <v>2292</v>
      </c>
      <c r="M1765" s="12">
        <v>45400</v>
      </c>
      <c r="N1765" s="10" t="s">
        <v>15</v>
      </c>
      <c r="O1765" s="10" t="s">
        <v>2057</v>
      </c>
      <c r="P1765" s="25" t="str">
        <f>IFERROR(
IF(OR(O1765="anulado",O1765="stand by"),CONCATENATE(O1765,": ",H1765),
IF(OR(YEAR(M1765)=2022,YEAR(M1765)=2023),CONCATENATE("Se activó en ",YEAR(M1765)),
IF(AND(OR(O1765="En proceso",O1765="facturando"),AND(J1765="-",M1765="")),"Por revisar",
IF(M1765="",IF(J1765="NUEVAS",CONCATENATE("Estado: ",O1765,", ",J1765),
IF(L1765=Meses!$A$3,"Por revisar",
IF(H1765="","Sin registro","En programación Frcst."))),"En programación")))),
"Error")</f>
        <v>En programación</v>
      </c>
      <c r="Q1765" s="9" t="str">
        <f t="shared" si="81"/>
        <v/>
      </c>
      <c r="R1765" s="25">
        <f>IF(P1765="En programación Frcst.",VLOOKUP(L1765,Meses!$A$1:$H$14,3+HLOOKUP(Cronograma!J1765,Meses!$D$1:$G$2,2,FALSE),FALSE),
IF(P1765="En programación",M1765,""))</f>
        <v>45400</v>
      </c>
      <c r="S1765" s="25" t="str">
        <f t="shared" si="83"/>
        <v>2024/4</v>
      </c>
      <c r="T1765" s="21">
        <f>IFERROR(
(VLOOKUP(MONTH(R1765),Meses!$B$3:$C$14,2,FALSE)-DAY(R1765))/VLOOKUP(MONTH(R1765),Meses!$B$3:$C$14,2,FALSE)*U1765,
"")</f>
        <v>86.4</v>
      </c>
      <c r="U1765" s="22">
        <f t="shared" si="82"/>
        <v>216</v>
      </c>
    </row>
    <row r="1766" spans="1:21" ht="31.8" hidden="1" thickBot="1" x14ac:dyDescent="0.6">
      <c r="A1766" s="10" t="s">
        <v>2252</v>
      </c>
      <c r="B1766" s="10" t="s">
        <v>2259</v>
      </c>
      <c r="C1766" s="12"/>
      <c r="D1766" s="10" t="s">
        <v>289</v>
      </c>
      <c r="E1766" s="10" t="s">
        <v>289</v>
      </c>
      <c r="F1766" s="10">
        <v>2714</v>
      </c>
      <c r="G1766" s="10" t="s">
        <v>15</v>
      </c>
      <c r="H1766" s="10" t="s">
        <v>2917</v>
      </c>
      <c r="I1766" s="10" t="s">
        <v>18</v>
      </c>
      <c r="J1766" s="10" t="s">
        <v>143</v>
      </c>
      <c r="K1766" s="10" t="s">
        <v>2895</v>
      </c>
      <c r="L1766" s="10" t="s">
        <v>2292</v>
      </c>
      <c r="M1766" s="12">
        <v>45400</v>
      </c>
      <c r="N1766" s="10" t="s">
        <v>15</v>
      </c>
      <c r="O1766" s="10" t="s">
        <v>2057</v>
      </c>
      <c r="P1766" s="25" t="str">
        <f>IFERROR(
IF(OR(O1766="anulado",O1766="stand by"),CONCATENATE(O1766,": ",H1766),
IF(OR(YEAR(M1766)=2022,YEAR(M1766)=2023),CONCATENATE("Se activó en ",YEAR(M1766)),
IF(AND(OR(O1766="En proceso",O1766="facturando"),AND(J1766="-",M1766="")),"Por revisar",
IF(M1766="",IF(J1766="NUEVAS",CONCATENATE("Estado: ",O1766,", ",J1766),
IF(L1766=Meses!$A$3,"Por revisar",
IF(H1766="","Sin registro","En programación Frcst."))),"En programación")))),
"Error")</f>
        <v>En programación</v>
      </c>
      <c r="Q1766" s="9" t="str">
        <f t="shared" si="81"/>
        <v/>
      </c>
      <c r="R1766" s="25">
        <f>IF(P1766="En programación Frcst.",VLOOKUP(L1766,Meses!$A$1:$H$14,3+HLOOKUP(Cronograma!J1766,Meses!$D$1:$G$2,2,FALSE),FALSE),
IF(P1766="En programación",M1766,""))</f>
        <v>45400</v>
      </c>
      <c r="S1766" s="25" t="str">
        <f t="shared" si="83"/>
        <v>2024/4</v>
      </c>
      <c r="T1766" s="21">
        <f>IFERROR(
(VLOOKUP(MONTH(R1766),Meses!$B$3:$C$14,2,FALSE)-DAY(R1766))/VLOOKUP(MONTH(R1766),Meses!$B$3:$C$14,2,FALSE)*U1766,
"")</f>
        <v>1085.6000000000001</v>
      </c>
      <c r="U1766" s="22">
        <f t="shared" si="82"/>
        <v>2714</v>
      </c>
    </row>
    <row r="1767" spans="1:21" ht="31.8" hidden="1" thickBot="1" x14ac:dyDescent="0.6">
      <c r="A1767" s="10" t="s">
        <v>2252</v>
      </c>
      <c r="B1767" s="10" t="s">
        <v>2260</v>
      </c>
      <c r="C1767" s="12"/>
      <c r="D1767" s="10" t="s">
        <v>41</v>
      </c>
      <c r="E1767" s="10" t="s">
        <v>41</v>
      </c>
      <c r="F1767" s="10">
        <v>5200</v>
      </c>
      <c r="G1767" s="10" t="s">
        <v>15</v>
      </c>
      <c r="H1767" s="10" t="s">
        <v>2917</v>
      </c>
      <c r="I1767" s="10" t="s">
        <v>43</v>
      </c>
      <c r="J1767" s="10" t="s">
        <v>143</v>
      </c>
      <c r="K1767" s="10" t="s">
        <v>2895</v>
      </c>
      <c r="L1767" s="10" t="s">
        <v>2292</v>
      </c>
      <c r="M1767" s="12">
        <v>45400</v>
      </c>
      <c r="N1767" s="10" t="s">
        <v>15</v>
      </c>
      <c r="O1767" s="10" t="s">
        <v>2057</v>
      </c>
      <c r="P1767" s="25" t="str">
        <f>IFERROR(
IF(OR(O1767="anulado",O1767="stand by"),CONCATENATE(O1767,": ",H1767),
IF(OR(YEAR(M1767)=2022,YEAR(M1767)=2023),CONCATENATE("Se activó en ",YEAR(M1767)),
IF(AND(OR(O1767="En proceso",O1767="facturando"),AND(J1767="-",M1767="")),"Por revisar",
IF(M1767="",IF(J1767="NUEVAS",CONCATENATE("Estado: ",O1767,", ",J1767),
IF(L1767=Meses!$A$3,"Por revisar",
IF(H1767="","Sin registro","En programación Frcst."))),"En programación")))),
"Error")</f>
        <v>En programación</v>
      </c>
      <c r="Q1767" s="9" t="str">
        <f t="shared" si="81"/>
        <v/>
      </c>
      <c r="R1767" s="25">
        <f>IF(P1767="En programación Frcst.",VLOOKUP(L1767,Meses!$A$1:$H$14,3+HLOOKUP(Cronograma!J1767,Meses!$D$1:$G$2,2,FALSE),FALSE),
IF(P1767="En programación",M1767,""))</f>
        <v>45400</v>
      </c>
      <c r="S1767" s="25" t="str">
        <f t="shared" si="83"/>
        <v>2024/4</v>
      </c>
      <c r="T1767" s="21">
        <f>IFERROR(
(VLOOKUP(MONTH(R1767),Meses!$B$3:$C$14,2,FALSE)-DAY(R1767))/VLOOKUP(MONTH(R1767),Meses!$B$3:$C$14,2,FALSE)*U1767,
"")</f>
        <v>2080</v>
      </c>
      <c r="U1767" s="22">
        <f t="shared" si="82"/>
        <v>5200</v>
      </c>
    </row>
    <row r="1768" spans="1:21" ht="31.8" hidden="1" thickBot="1" x14ac:dyDescent="0.6">
      <c r="A1768" s="10" t="s">
        <v>2252</v>
      </c>
      <c r="B1768" s="10" t="s">
        <v>2261</v>
      </c>
      <c r="C1768" s="12"/>
      <c r="D1768" s="10" t="s">
        <v>23</v>
      </c>
      <c r="E1768" s="10" t="s">
        <v>23</v>
      </c>
      <c r="F1768" s="10">
        <v>11100</v>
      </c>
      <c r="G1768" s="10" t="s">
        <v>15</v>
      </c>
      <c r="H1768" s="10" t="s">
        <v>2917</v>
      </c>
      <c r="I1768" s="10" t="s">
        <v>43</v>
      </c>
      <c r="J1768" s="10" t="s">
        <v>143</v>
      </c>
      <c r="K1768" s="10" t="s">
        <v>2895</v>
      </c>
      <c r="L1768" s="10" t="s">
        <v>2292</v>
      </c>
      <c r="M1768" s="12">
        <v>45400</v>
      </c>
      <c r="N1768" s="10" t="s">
        <v>15</v>
      </c>
      <c r="O1768" s="10" t="s">
        <v>2057</v>
      </c>
      <c r="P1768" s="25" t="str">
        <f>IFERROR(
IF(OR(O1768="anulado",O1768="stand by"),CONCATENATE(O1768,": ",H1768),
IF(OR(YEAR(M1768)=2022,YEAR(M1768)=2023),CONCATENATE("Se activó en ",YEAR(M1768)),
IF(AND(OR(O1768="En proceso",O1768="facturando"),AND(J1768="-",M1768="")),"Por revisar",
IF(M1768="",IF(J1768="NUEVAS",CONCATENATE("Estado: ",O1768,", ",J1768),
IF(L1768=Meses!$A$3,"Por revisar",
IF(H1768="","Sin registro","En programación Frcst."))),"En programación")))),
"Error")</f>
        <v>En programación</v>
      </c>
      <c r="Q1768" s="9" t="str">
        <f t="shared" si="81"/>
        <v/>
      </c>
      <c r="R1768" s="25">
        <f>IF(P1768="En programación Frcst.",VLOOKUP(L1768,Meses!$A$1:$H$14,3+HLOOKUP(Cronograma!J1768,Meses!$D$1:$G$2,2,FALSE),FALSE),
IF(P1768="En programación",M1768,""))</f>
        <v>45400</v>
      </c>
      <c r="S1768" s="25" t="str">
        <f t="shared" si="83"/>
        <v>2024/4</v>
      </c>
      <c r="T1768" s="21">
        <f>IFERROR(
(VLOOKUP(MONTH(R1768),Meses!$B$3:$C$14,2,FALSE)-DAY(R1768))/VLOOKUP(MONTH(R1768),Meses!$B$3:$C$14,2,FALSE)*U1768,
"")</f>
        <v>4440</v>
      </c>
      <c r="U1768" s="22">
        <f t="shared" si="82"/>
        <v>11100</v>
      </c>
    </row>
    <row r="1769" spans="1:21" ht="31.8" hidden="1" thickBot="1" x14ac:dyDescent="0.6">
      <c r="A1769" s="10" t="s">
        <v>2252</v>
      </c>
      <c r="B1769" s="10" t="s">
        <v>2262</v>
      </c>
      <c r="C1769" s="12"/>
      <c r="D1769" s="10" t="s">
        <v>156</v>
      </c>
      <c r="E1769" s="10" t="s">
        <v>156</v>
      </c>
      <c r="F1769" s="10">
        <v>2660</v>
      </c>
      <c r="G1769" s="10" t="s">
        <v>15</v>
      </c>
      <c r="H1769" s="10" t="s">
        <v>2917</v>
      </c>
      <c r="I1769" s="10" t="s">
        <v>43</v>
      </c>
      <c r="J1769" s="10" t="s">
        <v>143</v>
      </c>
      <c r="K1769" s="10" t="s">
        <v>2895</v>
      </c>
      <c r="L1769" s="10" t="s">
        <v>2292</v>
      </c>
      <c r="M1769" s="12">
        <v>45400</v>
      </c>
      <c r="N1769" s="10" t="s">
        <v>15</v>
      </c>
      <c r="O1769" s="10" t="s">
        <v>2057</v>
      </c>
      <c r="P1769" s="25" t="str">
        <f>IFERROR(
IF(OR(O1769="anulado",O1769="stand by"),CONCATENATE(O1769,": ",H1769),
IF(OR(YEAR(M1769)=2022,YEAR(M1769)=2023),CONCATENATE("Se activó en ",YEAR(M1769)),
IF(AND(OR(O1769="En proceso",O1769="facturando"),AND(J1769="-",M1769="")),"Por revisar",
IF(M1769="",IF(J1769="NUEVAS",CONCATENATE("Estado: ",O1769,", ",J1769),
IF(L1769=Meses!$A$3,"Por revisar",
IF(H1769="","Sin registro","En programación Frcst."))),"En programación")))),
"Error")</f>
        <v>En programación</v>
      </c>
      <c r="Q1769" s="9" t="str">
        <f t="shared" si="81"/>
        <v/>
      </c>
      <c r="R1769" s="25">
        <f>IF(P1769="En programación Frcst.",VLOOKUP(L1769,Meses!$A$1:$H$14,3+HLOOKUP(Cronograma!J1769,Meses!$D$1:$G$2,2,FALSE),FALSE),
IF(P1769="En programación",M1769,""))</f>
        <v>45400</v>
      </c>
      <c r="S1769" s="25" t="str">
        <f t="shared" si="83"/>
        <v>2024/4</v>
      </c>
      <c r="T1769" s="21">
        <f>IFERROR(
(VLOOKUP(MONTH(R1769),Meses!$B$3:$C$14,2,FALSE)-DAY(R1769))/VLOOKUP(MONTH(R1769),Meses!$B$3:$C$14,2,FALSE)*U1769,
"")</f>
        <v>1064</v>
      </c>
      <c r="U1769" s="22">
        <f t="shared" si="82"/>
        <v>2660</v>
      </c>
    </row>
    <row r="1770" spans="1:21" ht="31.8" hidden="1" thickBot="1" x14ac:dyDescent="0.6">
      <c r="A1770" s="10" t="s">
        <v>2252</v>
      </c>
      <c r="B1770" s="10" t="s">
        <v>2263</v>
      </c>
      <c r="C1770" s="12"/>
      <c r="D1770" s="10" t="s">
        <v>14</v>
      </c>
      <c r="E1770" s="10" t="s">
        <v>14</v>
      </c>
      <c r="F1770" s="10">
        <v>3365</v>
      </c>
      <c r="G1770" s="10" t="s">
        <v>15</v>
      </c>
      <c r="H1770" s="10" t="s">
        <v>2917</v>
      </c>
      <c r="I1770" s="10" t="s">
        <v>18</v>
      </c>
      <c r="J1770" s="10" t="s">
        <v>277</v>
      </c>
      <c r="K1770" s="10" t="s">
        <v>3327</v>
      </c>
      <c r="L1770" s="10" t="s">
        <v>2292</v>
      </c>
      <c r="M1770" s="12">
        <v>45400</v>
      </c>
      <c r="N1770" s="10" t="s">
        <v>15</v>
      </c>
      <c r="O1770" s="10" t="s">
        <v>2057</v>
      </c>
      <c r="P1770" s="25" t="str">
        <f>IFERROR(
IF(OR(O1770="anulado",O1770="stand by"),CONCATENATE(O1770,": ",H1770),
IF(OR(YEAR(M1770)=2022,YEAR(M1770)=2023),CONCATENATE("Se activó en ",YEAR(M1770)),
IF(AND(OR(O1770="En proceso",O1770="facturando"),AND(J1770="-",M1770="")),"Por revisar",
IF(M1770="",IF(J1770="NUEVAS",CONCATENATE("Estado: ",O1770,", ",J1770),
IF(L1770=Meses!$A$3,"Por revisar",
IF(H1770="","Sin registro","En programación Frcst."))),"En programación")))),
"Error")</f>
        <v>En programación</v>
      </c>
      <c r="Q1770" s="9" t="str">
        <f t="shared" si="81"/>
        <v/>
      </c>
      <c r="R1770" s="25">
        <f>IF(P1770="En programación Frcst.",VLOOKUP(L1770,Meses!$A$1:$H$14,3+HLOOKUP(Cronograma!J1770,Meses!$D$1:$G$2,2,FALSE),FALSE),
IF(P1770="En programación",M1770,""))</f>
        <v>45400</v>
      </c>
      <c r="S1770" s="25" t="str">
        <f t="shared" si="83"/>
        <v>2024/4</v>
      </c>
      <c r="T1770" s="21">
        <f>IFERROR(
(VLOOKUP(MONTH(R1770),Meses!$B$3:$C$14,2,FALSE)-DAY(R1770))/VLOOKUP(MONTH(R1770),Meses!$B$3:$C$14,2,FALSE)*U1770,
"")</f>
        <v>1346</v>
      </c>
      <c r="U1770" s="22">
        <f t="shared" si="82"/>
        <v>3365</v>
      </c>
    </row>
    <row r="1771" spans="1:21" ht="31.8" hidden="1" thickBot="1" x14ac:dyDescent="0.6">
      <c r="A1771" s="10" t="s">
        <v>2252</v>
      </c>
      <c r="B1771" s="10" t="s">
        <v>2264</v>
      </c>
      <c r="C1771" s="12"/>
      <c r="D1771" s="10" t="s">
        <v>677</v>
      </c>
      <c r="E1771" s="10" t="s">
        <v>677</v>
      </c>
      <c r="F1771" s="10">
        <v>464</v>
      </c>
      <c r="G1771" s="10" t="s">
        <v>15</v>
      </c>
      <c r="H1771" s="10" t="s">
        <v>2917</v>
      </c>
      <c r="I1771" s="10" t="s">
        <v>43</v>
      </c>
      <c r="J1771" s="10" t="s">
        <v>143</v>
      </c>
      <c r="K1771" s="10" t="s">
        <v>2895</v>
      </c>
      <c r="L1771" s="10" t="s">
        <v>2292</v>
      </c>
      <c r="M1771" s="12">
        <v>45400</v>
      </c>
      <c r="N1771" s="10" t="s">
        <v>15</v>
      </c>
      <c r="O1771" s="10" t="s">
        <v>2057</v>
      </c>
      <c r="P1771" s="25" t="str">
        <f>IFERROR(
IF(OR(O1771="anulado",O1771="stand by"),CONCATENATE(O1771,": ",H1771),
IF(OR(YEAR(M1771)=2022,YEAR(M1771)=2023),CONCATENATE("Se activó en ",YEAR(M1771)),
IF(AND(OR(O1771="En proceso",O1771="facturando"),AND(J1771="-",M1771="")),"Por revisar",
IF(M1771="",IF(J1771="NUEVAS",CONCATENATE("Estado: ",O1771,", ",J1771),
IF(L1771=Meses!$A$3,"Por revisar",
IF(H1771="","Sin registro","En programación Frcst."))),"En programación")))),
"Error")</f>
        <v>En programación</v>
      </c>
      <c r="Q1771" s="9" t="str">
        <f t="shared" si="81"/>
        <v/>
      </c>
      <c r="R1771" s="25">
        <f>IF(P1771="En programación Frcst.",VLOOKUP(L1771,Meses!$A$1:$H$14,3+HLOOKUP(Cronograma!J1771,Meses!$D$1:$G$2,2,FALSE),FALSE),
IF(P1771="En programación",M1771,""))</f>
        <v>45400</v>
      </c>
      <c r="S1771" s="25" t="str">
        <f t="shared" si="83"/>
        <v>2024/4</v>
      </c>
      <c r="T1771" s="21">
        <f>IFERROR(
(VLOOKUP(MONTH(R1771),Meses!$B$3:$C$14,2,FALSE)-DAY(R1771))/VLOOKUP(MONTH(R1771),Meses!$B$3:$C$14,2,FALSE)*U1771,
"")</f>
        <v>185.60000000000002</v>
      </c>
      <c r="U1771" s="22">
        <f t="shared" si="82"/>
        <v>464</v>
      </c>
    </row>
    <row r="1772" spans="1:21" ht="31.8" hidden="1" thickBot="1" x14ac:dyDescent="0.6">
      <c r="A1772" s="10" t="s">
        <v>2252</v>
      </c>
      <c r="B1772" s="10" t="s">
        <v>2265</v>
      </c>
      <c r="C1772" s="12"/>
      <c r="D1772" s="10" t="s">
        <v>287</v>
      </c>
      <c r="E1772" s="10" t="s">
        <v>287</v>
      </c>
      <c r="F1772" s="10">
        <v>4450</v>
      </c>
      <c r="G1772" s="10" t="s">
        <v>15</v>
      </c>
      <c r="H1772" s="10" t="s">
        <v>2917</v>
      </c>
      <c r="I1772" s="10" t="s">
        <v>43</v>
      </c>
      <c r="J1772" s="10" t="s">
        <v>143</v>
      </c>
      <c r="K1772" s="10" t="s">
        <v>2895</v>
      </c>
      <c r="L1772" s="10" t="s">
        <v>2292</v>
      </c>
      <c r="M1772" s="12">
        <v>45400</v>
      </c>
      <c r="N1772" s="10" t="s">
        <v>15</v>
      </c>
      <c r="O1772" s="10" t="s">
        <v>2057</v>
      </c>
      <c r="P1772" s="25" t="str">
        <f>IFERROR(
IF(OR(O1772="anulado",O1772="stand by"),CONCATENATE(O1772,": ",H1772),
IF(OR(YEAR(M1772)=2022,YEAR(M1772)=2023),CONCATENATE("Se activó en ",YEAR(M1772)),
IF(AND(OR(O1772="En proceso",O1772="facturando"),AND(J1772="-",M1772="")),"Por revisar",
IF(M1772="",IF(J1772="NUEVAS",CONCATENATE("Estado: ",O1772,", ",J1772),
IF(L1772=Meses!$A$3,"Por revisar",
IF(H1772="","Sin registro","En programación Frcst."))),"En programación")))),
"Error")</f>
        <v>En programación</v>
      </c>
      <c r="Q1772" s="9" t="str">
        <f t="shared" si="81"/>
        <v/>
      </c>
      <c r="R1772" s="25">
        <f>IF(P1772="En programación Frcst.",VLOOKUP(L1772,Meses!$A$1:$H$14,3+HLOOKUP(Cronograma!J1772,Meses!$D$1:$G$2,2,FALSE),FALSE),
IF(P1772="En programación",M1772,""))</f>
        <v>45400</v>
      </c>
      <c r="S1772" s="25" t="str">
        <f t="shared" si="83"/>
        <v>2024/4</v>
      </c>
      <c r="T1772" s="21">
        <f>IFERROR(
(VLOOKUP(MONTH(R1772),Meses!$B$3:$C$14,2,FALSE)-DAY(R1772))/VLOOKUP(MONTH(R1772),Meses!$B$3:$C$14,2,FALSE)*U1772,
"")</f>
        <v>1780</v>
      </c>
      <c r="U1772" s="22">
        <f t="shared" si="82"/>
        <v>4450</v>
      </c>
    </row>
    <row r="1773" spans="1:21" ht="31.8" hidden="1" thickBot="1" x14ac:dyDescent="0.6">
      <c r="A1773" s="10" t="s">
        <v>2252</v>
      </c>
      <c r="B1773" s="10" t="s">
        <v>2266</v>
      </c>
      <c r="C1773" s="12"/>
      <c r="D1773" s="10" t="s">
        <v>188</v>
      </c>
      <c r="E1773" s="10" t="s">
        <v>188</v>
      </c>
      <c r="F1773" s="10">
        <v>3760</v>
      </c>
      <c r="G1773" s="10" t="s">
        <v>15</v>
      </c>
      <c r="H1773" s="10" t="s">
        <v>2917</v>
      </c>
      <c r="I1773" s="10" t="s">
        <v>43</v>
      </c>
      <c r="J1773" s="10" t="s">
        <v>143</v>
      </c>
      <c r="K1773" s="10" t="s">
        <v>2895</v>
      </c>
      <c r="L1773" s="10" t="s">
        <v>2292</v>
      </c>
      <c r="M1773" s="12">
        <v>45400</v>
      </c>
      <c r="N1773" s="10" t="s">
        <v>15</v>
      </c>
      <c r="O1773" s="10" t="s">
        <v>2057</v>
      </c>
      <c r="P1773" s="25" t="str">
        <f>IFERROR(
IF(OR(O1773="anulado",O1773="stand by"),CONCATENATE(O1773,": ",H1773),
IF(OR(YEAR(M1773)=2022,YEAR(M1773)=2023),CONCATENATE("Se activó en ",YEAR(M1773)),
IF(AND(OR(O1773="En proceso",O1773="facturando"),AND(J1773="-",M1773="")),"Por revisar",
IF(M1773="",IF(J1773="NUEVAS",CONCATENATE("Estado: ",O1773,", ",J1773),
IF(L1773=Meses!$A$3,"Por revisar",
IF(H1773="","Sin registro","En programación Frcst."))),"En programación")))),
"Error")</f>
        <v>En programación</v>
      </c>
      <c r="Q1773" s="9" t="str">
        <f t="shared" si="81"/>
        <v/>
      </c>
      <c r="R1773" s="25">
        <f>IF(P1773="En programación Frcst.",VLOOKUP(L1773,Meses!$A$1:$H$14,3+HLOOKUP(Cronograma!J1773,Meses!$D$1:$G$2,2,FALSE),FALSE),
IF(P1773="En programación",M1773,""))</f>
        <v>45400</v>
      </c>
      <c r="S1773" s="25" t="str">
        <f t="shared" si="83"/>
        <v>2024/4</v>
      </c>
      <c r="T1773" s="21">
        <f>IFERROR(
(VLOOKUP(MONTH(R1773),Meses!$B$3:$C$14,2,FALSE)-DAY(R1773))/VLOOKUP(MONTH(R1773),Meses!$B$3:$C$14,2,FALSE)*U1773,
"")</f>
        <v>1504</v>
      </c>
      <c r="U1773" s="22">
        <f t="shared" si="82"/>
        <v>3760</v>
      </c>
    </row>
    <row r="1774" spans="1:21" ht="63" hidden="1" thickBot="1" x14ac:dyDescent="0.6">
      <c r="A1774" s="10" t="s">
        <v>2267</v>
      </c>
      <c r="B1774" s="10" t="s">
        <v>2268</v>
      </c>
      <c r="C1774" s="12"/>
      <c r="D1774" s="10" t="s">
        <v>74</v>
      </c>
      <c r="E1774" s="10" t="s">
        <v>74</v>
      </c>
      <c r="F1774" s="10">
        <v>6560</v>
      </c>
      <c r="G1774" s="10" t="s">
        <v>15</v>
      </c>
      <c r="H1774" s="10" t="s">
        <v>2916</v>
      </c>
      <c r="I1774" s="10" t="s">
        <v>43</v>
      </c>
      <c r="J1774" s="10" t="s">
        <v>143</v>
      </c>
      <c r="K1774" s="10" t="s">
        <v>2895</v>
      </c>
      <c r="L1774" s="10" t="s">
        <v>2292</v>
      </c>
      <c r="M1774" s="12">
        <v>45400</v>
      </c>
      <c r="N1774" s="10" t="s">
        <v>15</v>
      </c>
      <c r="O1774" s="10" t="s">
        <v>2057</v>
      </c>
      <c r="P1774" s="25" t="str">
        <f>IFERROR(
IF(OR(O1774="anulado",O1774="stand by"),CONCATENATE(O1774,": ",H1774),
IF(OR(YEAR(M1774)=2022,YEAR(M1774)=2023),CONCATENATE("Se activó en ",YEAR(M1774)),
IF(AND(OR(O1774="En proceso",O1774="facturando"),AND(J1774="-",M1774="")),"Por revisar",
IF(M1774="",IF(J1774="NUEVAS",CONCATENATE("Estado: ",O1774,", ",J1774),
IF(L1774=Meses!$A$3,"Por revisar",
IF(H1774="","Sin registro","En programación Frcst."))),"En programación")))),
"Error")</f>
        <v>En programación</v>
      </c>
      <c r="Q1774" s="9" t="str">
        <f t="shared" si="81"/>
        <v/>
      </c>
      <c r="R1774" s="25">
        <f>IF(P1774="En programación Frcst.",VLOOKUP(L1774,Meses!$A$1:$H$14,3+HLOOKUP(Cronograma!J1774,Meses!$D$1:$G$2,2,FALSE),FALSE),
IF(P1774="En programación",M1774,""))</f>
        <v>45400</v>
      </c>
      <c r="S1774" s="25" t="str">
        <f t="shared" si="83"/>
        <v>2024/4</v>
      </c>
      <c r="T1774" s="21">
        <f>IFERROR(
(VLOOKUP(MONTH(R1774),Meses!$B$3:$C$14,2,FALSE)-DAY(R1774))/VLOOKUP(MONTH(R1774),Meses!$B$3:$C$14,2,FALSE)*U1774,
"")</f>
        <v>2624</v>
      </c>
      <c r="U1774" s="22">
        <f t="shared" si="82"/>
        <v>6560</v>
      </c>
    </row>
    <row r="1775" spans="1:21" ht="31.8" thickBot="1" x14ac:dyDescent="0.6">
      <c r="A1775" s="10" t="s">
        <v>2269</v>
      </c>
      <c r="B1775" s="10" t="s">
        <v>2270</v>
      </c>
      <c r="C1775" s="12"/>
      <c r="D1775" s="10" t="s">
        <v>654</v>
      </c>
      <c r="E1775" s="10" t="s">
        <v>14</v>
      </c>
      <c r="F1775" s="10">
        <v>3000</v>
      </c>
      <c r="G1775" s="10" t="s">
        <v>15</v>
      </c>
      <c r="H1775" s="10" t="s">
        <v>2916</v>
      </c>
      <c r="I1775" s="10" t="s">
        <v>66</v>
      </c>
      <c r="J1775" s="10" t="s">
        <v>282</v>
      </c>
      <c r="K1775" s="10" t="s">
        <v>3326</v>
      </c>
      <c r="L1775" s="10" t="s">
        <v>2293</v>
      </c>
      <c r="M1775" s="12">
        <v>45414</v>
      </c>
      <c r="N1775" s="10" t="s">
        <v>15</v>
      </c>
      <c r="O1775" s="10" t="s">
        <v>2057</v>
      </c>
      <c r="P1775" s="25" t="str">
        <f>IFERROR(
IF(OR(O1775="anulado",O1775="stand by"),CONCATENATE(O1775,": ",H1775),
IF(OR(YEAR(M1775)=2022,YEAR(M1775)=2023),CONCATENATE("Se activó en ",YEAR(M1775)),
IF(AND(OR(O1775="En proceso",O1775="facturando"),AND(J1775="-",M1775="")),"Por revisar",
IF(M1775="",IF(J1775="NUEVAS",CONCATENATE("Estado: ",O1775,", ",J1775),
IF(L1775=Meses!$A$3,"Por revisar",
IF(H1775="","Sin registro","En programación Frcst."))),"En programación")))),
"Error")</f>
        <v>En programación</v>
      </c>
      <c r="Q1775" s="9" t="str">
        <f t="shared" si="81"/>
        <v/>
      </c>
      <c r="R1775" s="25">
        <f>IF(P1775="En programación Frcst.",VLOOKUP(L1775,Meses!$A$1:$H$14,3+HLOOKUP(Cronograma!J1775,Meses!$D$1:$G$2,2,FALSE),FALSE),
IF(P1775="En programación",M1775,""))</f>
        <v>45414</v>
      </c>
      <c r="S1775" s="25" t="str">
        <f t="shared" si="83"/>
        <v>2024/5</v>
      </c>
      <c r="T1775" s="21">
        <f>IFERROR(
(VLOOKUP(MONTH(R1775),Meses!$B$3:$C$14,2,FALSE)-DAY(R1775))/VLOOKUP(MONTH(R1775),Meses!$B$3:$C$14,2,FALSE)*U1775,
"")</f>
        <v>2806.4516129032259</v>
      </c>
      <c r="U1775" s="22">
        <f t="shared" si="82"/>
        <v>3000</v>
      </c>
    </row>
    <row r="1776" spans="1:21" ht="63" hidden="1" thickBot="1" x14ac:dyDescent="0.6">
      <c r="A1776" s="10" t="s">
        <v>2271</v>
      </c>
      <c r="B1776" s="10" t="s">
        <v>2272</v>
      </c>
      <c r="C1776" s="12"/>
      <c r="D1776" s="10" t="s">
        <v>74</v>
      </c>
      <c r="E1776" s="10" t="s">
        <v>74</v>
      </c>
      <c r="F1776" s="10">
        <v>3994</v>
      </c>
      <c r="G1776" s="10" t="s">
        <v>15</v>
      </c>
      <c r="H1776" s="10" t="s">
        <v>2916</v>
      </c>
      <c r="I1776" s="10" t="s">
        <v>43</v>
      </c>
      <c r="J1776" s="10" t="s">
        <v>143</v>
      </c>
      <c r="K1776" s="10" t="s">
        <v>2895</v>
      </c>
      <c r="L1776" s="10" t="s">
        <v>2292</v>
      </c>
      <c r="M1776" s="12">
        <v>45400</v>
      </c>
      <c r="N1776" s="10" t="s">
        <v>15</v>
      </c>
      <c r="O1776" s="10" t="s">
        <v>2057</v>
      </c>
      <c r="P1776" s="25" t="str">
        <f>IFERROR(
IF(OR(O1776="anulado",O1776="stand by"),CONCATENATE(O1776,": ",H1776),
IF(OR(YEAR(M1776)=2022,YEAR(M1776)=2023),CONCATENATE("Se activó en ",YEAR(M1776)),
IF(AND(OR(O1776="En proceso",O1776="facturando"),AND(J1776="-",M1776="")),"Por revisar",
IF(M1776="",IF(J1776="NUEVAS",CONCATENATE("Estado: ",O1776,", ",J1776),
IF(L1776=Meses!$A$3,"Por revisar",
IF(H1776="","Sin registro","En programación Frcst."))),"En programación")))),
"Error")</f>
        <v>En programación</v>
      </c>
      <c r="Q1776" s="9" t="str">
        <f t="shared" si="81"/>
        <v/>
      </c>
      <c r="R1776" s="25">
        <f>IF(P1776="En programación Frcst.",VLOOKUP(L1776,Meses!$A$1:$H$14,3+HLOOKUP(Cronograma!J1776,Meses!$D$1:$G$2,2,FALSE),FALSE),
IF(P1776="En programación",M1776,""))</f>
        <v>45400</v>
      </c>
      <c r="S1776" s="25" t="str">
        <f t="shared" si="83"/>
        <v>2024/4</v>
      </c>
      <c r="T1776" s="21">
        <f>IFERROR(
(VLOOKUP(MONTH(R1776),Meses!$B$3:$C$14,2,FALSE)-DAY(R1776))/VLOOKUP(MONTH(R1776),Meses!$B$3:$C$14,2,FALSE)*U1776,
"")</f>
        <v>1597.6000000000001</v>
      </c>
      <c r="U1776" s="22">
        <f t="shared" si="82"/>
        <v>3994</v>
      </c>
    </row>
    <row r="1777" spans="1:21" ht="63" hidden="1" thickBot="1" x14ac:dyDescent="0.6">
      <c r="A1777" s="10" t="s">
        <v>2273</v>
      </c>
      <c r="B1777" s="10" t="s">
        <v>2274</v>
      </c>
      <c r="C1777" s="12"/>
      <c r="D1777" s="10" t="s">
        <v>74</v>
      </c>
      <c r="E1777" s="10" t="s">
        <v>74</v>
      </c>
      <c r="F1777" s="10">
        <v>1899</v>
      </c>
      <c r="G1777" s="10" t="s">
        <v>15</v>
      </c>
      <c r="H1777" s="10" t="s">
        <v>2917</v>
      </c>
      <c r="I1777" s="10" t="s">
        <v>43</v>
      </c>
      <c r="J1777" s="10" t="s">
        <v>143</v>
      </c>
      <c r="K1777" s="10" t="s">
        <v>2895</v>
      </c>
      <c r="L1777" s="10" t="s">
        <v>2292</v>
      </c>
      <c r="M1777" s="12">
        <v>45400</v>
      </c>
      <c r="N1777" s="10" t="s">
        <v>15</v>
      </c>
      <c r="O1777" s="10" t="s">
        <v>2057</v>
      </c>
      <c r="P1777" s="25" t="str">
        <f>IFERROR(
IF(OR(O1777="anulado",O1777="stand by"),CONCATENATE(O1777,": ",H1777),
IF(OR(YEAR(M1777)=2022,YEAR(M1777)=2023),CONCATENATE("Se activó en ",YEAR(M1777)),
IF(AND(OR(O1777="En proceso",O1777="facturando"),AND(J1777="-",M1777="")),"Por revisar",
IF(M1777="",IF(J1777="NUEVAS",CONCATENATE("Estado: ",O1777,", ",J1777),
IF(L1777=Meses!$A$3,"Por revisar",
IF(H1777="","Sin registro","En programación Frcst."))),"En programación")))),
"Error")</f>
        <v>En programación</v>
      </c>
      <c r="Q1777" s="9" t="str">
        <f t="shared" si="81"/>
        <v/>
      </c>
      <c r="R1777" s="25">
        <f>IF(P1777="En programación Frcst.",VLOOKUP(L1777,Meses!$A$1:$H$14,3+HLOOKUP(Cronograma!J1777,Meses!$D$1:$G$2,2,FALSE),FALSE),
IF(P1777="En programación",M1777,""))</f>
        <v>45400</v>
      </c>
      <c r="S1777" s="25" t="str">
        <f t="shared" si="83"/>
        <v>2024/4</v>
      </c>
      <c r="T1777" s="21">
        <f>IFERROR(
(VLOOKUP(MONTH(R1777),Meses!$B$3:$C$14,2,FALSE)-DAY(R1777))/VLOOKUP(MONTH(R1777),Meses!$B$3:$C$14,2,FALSE)*U1777,
"")</f>
        <v>759.6</v>
      </c>
      <c r="U1777" s="22">
        <f t="shared" si="82"/>
        <v>1899</v>
      </c>
    </row>
    <row r="1778" spans="1:21" ht="63" hidden="1" thickBot="1" x14ac:dyDescent="0.6">
      <c r="A1778" s="10" t="s">
        <v>2273</v>
      </c>
      <c r="B1778" s="10" t="s">
        <v>2275</v>
      </c>
      <c r="C1778" s="12"/>
      <c r="D1778" s="10" t="s">
        <v>74</v>
      </c>
      <c r="E1778" s="10" t="s">
        <v>74</v>
      </c>
      <c r="F1778" s="10">
        <v>3988</v>
      </c>
      <c r="G1778" s="10" t="s">
        <v>15</v>
      </c>
      <c r="H1778" s="10" t="s">
        <v>2917</v>
      </c>
      <c r="I1778" s="10" t="s">
        <v>43</v>
      </c>
      <c r="J1778" s="10" t="s">
        <v>143</v>
      </c>
      <c r="K1778" s="10" t="s">
        <v>2895</v>
      </c>
      <c r="L1778" s="10" t="s">
        <v>2292</v>
      </c>
      <c r="M1778" s="12">
        <v>45400</v>
      </c>
      <c r="N1778" s="10" t="s">
        <v>15</v>
      </c>
      <c r="O1778" s="10" t="s">
        <v>2057</v>
      </c>
      <c r="P1778" s="25" t="str">
        <f>IFERROR(
IF(OR(O1778="anulado",O1778="stand by"),CONCATENATE(O1778,": ",H1778),
IF(OR(YEAR(M1778)=2022,YEAR(M1778)=2023),CONCATENATE("Se activó en ",YEAR(M1778)),
IF(AND(OR(O1778="En proceso",O1778="facturando"),AND(J1778="-",M1778="")),"Por revisar",
IF(M1778="",IF(J1778="NUEVAS",CONCATENATE("Estado: ",O1778,", ",J1778),
IF(L1778=Meses!$A$3,"Por revisar",
IF(H1778="","Sin registro","En programación Frcst."))),"En programación")))),
"Error")</f>
        <v>En programación</v>
      </c>
      <c r="Q1778" s="9" t="str">
        <f t="shared" si="81"/>
        <v/>
      </c>
      <c r="R1778" s="25">
        <f>IF(P1778="En programación Frcst.",VLOOKUP(L1778,Meses!$A$1:$H$14,3+HLOOKUP(Cronograma!J1778,Meses!$D$1:$G$2,2,FALSE),FALSE),
IF(P1778="En programación",M1778,""))</f>
        <v>45400</v>
      </c>
      <c r="S1778" s="25" t="str">
        <f t="shared" si="83"/>
        <v>2024/4</v>
      </c>
      <c r="T1778" s="21">
        <f>IFERROR(
(VLOOKUP(MONTH(R1778),Meses!$B$3:$C$14,2,FALSE)-DAY(R1778))/VLOOKUP(MONTH(R1778),Meses!$B$3:$C$14,2,FALSE)*U1778,
"")</f>
        <v>1595.2</v>
      </c>
      <c r="U1778" s="22">
        <f t="shared" si="82"/>
        <v>3988</v>
      </c>
    </row>
    <row r="1779" spans="1:21" ht="31.8" thickBot="1" x14ac:dyDescent="0.6">
      <c r="A1779" s="10" t="s">
        <v>2269</v>
      </c>
      <c r="B1779" s="10" t="s">
        <v>2276</v>
      </c>
      <c r="C1779" s="12"/>
      <c r="D1779" s="10" t="s">
        <v>654</v>
      </c>
      <c r="E1779" s="10" t="s">
        <v>14</v>
      </c>
      <c r="F1779" s="10">
        <v>11000</v>
      </c>
      <c r="G1779" s="10" t="s">
        <v>15</v>
      </c>
      <c r="H1779" s="10" t="s">
        <v>2916</v>
      </c>
      <c r="I1779" s="10" t="s">
        <v>66</v>
      </c>
      <c r="J1779" s="10" t="s">
        <v>282</v>
      </c>
      <c r="K1779" s="10" t="s">
        <v>3326</v>
      </c>
      <c r="L1779" s="10" t="s">
        <v>2293</v>
      </c>
      <c r="M1779" s="12">
        <v>45414</v>
      </c>
      <c r="N1779" s="10" t="s">
        <v>15</v>
      </c>
      <c r="O1779" s="10" t="s">
        <v>2057</v>
      </c>
      <c r="P1779" s="25" t="str">
        <f>IFERROR(
IF(OR(O1779="anulado",O1779="stand by"),CONCATENATE(O1779,": ",H1779),
IF(OR(YEAR(M1779)=2022,YEAR(M1779)=2023),CONCATENATE("Se activó en ",YEAR(M1779)),
IF(AND(OR(O1779="En proceso",O1779="facturando"),AND(J1779="-",M1779="")),"Por revisar",
IF(M1779="",IF(J1779="NUEVAS",CONCATENATE("Estado: ",O1779,", ",J1779),
IF(L1779=Meses!$A$3,"Por revisar",
IF(H1779="","Sin registro","En programación Frcst."))),"En programación")))),
"Error")</f>
        <v>En programación</v>
      </c>
      <c r="Q1779" s="9" t="str">
        <f t="shared" si="81"/>
        <v/>
      </c>
      <c r="R1779" s="25">
        <f>IF(P1779="En programación Frcst.",VLOOKUP(L1779,Meses!$A$1:$H$14,3+HLOOKUP(Cronograma!J1779,Meses!$D$1:$G$2,2,FALSE),FALSE),
IF(P1779="En programación",M1779,""))</f>
        <v>45414</v>
      </c>
      <c r="S1779" s="25" t="str">
        <f t="shared" si="83"/>
        <v>2024/5</v>
      </c>
      <c r="T1779" s="21">
        <f>IFERROR(
(VLOOKUP(MONTH(R1779),Meses!$B$3:$C$14,2,FALSE)-DAY(R1779))/VLOOKUP(MONTH(R1779),Meses!$B$3:$C$14,2,FALSE)*U1779,
"")</f>
        <v>10290.322580645161</v>
      </c>
      <c r="U1779" s="22">
        <f t="shared" si="82"/>
        <v>11000</v>
      </c>
    </row>
    <row r="1780" spans="1:21" ht="31.8" thickBot="1" x14ac:dyDescent="0.6">
      <c r="A1780" s="10" t="s">
        <v>2269</v>
      </c>
      <c r="B1780" s="10" t="s">
        <v>2277</v>
      </c>
      <c r="C1780" s="12"/>
      <c r="D1780" s="10" t="s">
        <v>654</v>
      </c>
      <c r="E1780" s="10" t="s">
        <v>14</v>
      </c>
      <c r="F1780" s="10">
        <v>6500</v>
      </c>
      <c r="G1780" s="10" t="s">
        <v>15</v>
      </c>
      <c r="H1780" s="10" t="s">
        <v>2916</v>
      </c>
      <c r="I1780" s="10" t="s">
        <v>66</v>
      </c>
      <c r="J1780" s="10" t="s">
        <v>282</v>
      </c>
      <c r="K1780" s="10" t="s">
        <v>3326</v>
      </c>
      <c r="L1780" s="10" t="s">
        <v>2293</v>
      </c>
      <c r="M1780" s="12">
        <v>45414</v>
      </c>
      <c r="N1780" s="10" t="s">
        <v>15</v>
      </c>
      <c r="O1780" s="10" t="s">
        <v>2057</v>
      </c>
      <c r="P1780" s="25" t="str">
        <f>IFERROR(
IF(OR(O1780="anulado",O1780="stand by"),CONCATENATE(O1780,": ",H1780),
IF(OR(YEAR(M1780)=2022,YEAR(M1780)=2023),CONCATENATE("Se activó en ",YEAR(M1780)),
IF(AND(OR(O1780="En proceso",O1780="facturando"),AND(J1780="-",M1780="")),"Por revisar",
IF(M1780="",IF(J1780="NUEVAS",CONCATENATE("Estado: ",O1780,", ",J1780),
IF(L1780=Meses!$A$3,"Por revisar",
IF(H1780="","Sin registro","En programación Frcst."))),"En programación")))),
"Error")</f>
        <v>En programación</v>
      </c>
      <c r="Q1780" s="9" t="str">
        <f t="shared" si="81"/>
        <v/>
      </c>
      <c r="R1780" s="25">
        <f>IF(P1780="En programación Frcst.",VLOOKUP(L1780,Meses!$A$1:$H$14,3+HLOOKUP(Cronograma!J1780,Meses!$D$1:$G$2,2,FALSE),FALSE),
IF(P1780="En programación",M1780,""))</f>
        <v>45414</v>
      </c>
      <c r="S1780" s="25" t="str">
        <f t="shared" si="83"/>
        <v>2024/5</v>
      </c>
      <c r="T1780" s="21">
        <f>IFERROR(
(VLOOKUP(MONTH(R1780),Meses!$B$3:$C$14,2,FALSE)-DAY(R1780))/VLOOKUP(MONTH(R1780),Meses!$B$3:$C$14,2,FALSE)*U1780,
"")</f>
        <v>6080.645161290322</v>
      </c>
      <c r="U1780" s="22">
        <f t="shared" si="82"/>
        <v>6500</v>
      </c>
    </row>
    <row r="1781" spans="1:21" ht="31.8" thickBot="1" x14ac:dyDescent="0.6">
      <c r="A1781" s="10" t="s">
        <v>2278</v>
      </c>
      <c r="B1781" s="10" t="s">
        <v>2279</v>
      </c>
      <c r="C1781" s="12"/>
      <c r="D1781" s="10" t="s">
        <v>654</v>
      </c>
      <c r="E1781" s="10" t="s">
        <v>14</v>
      </c>
      <c r="F1781" s="10">
        <v>18230</v>
      </c>
      <c r="G1781" s="10" t="s">
        <v>15</v>
      </c>
      <c r="H1781" s="10" t="s">
        <v>2916</v>
      </c>
      <c r="I1781" s="10" t="s">
        <v>66</v>
      </c>
      <c r="J1781" s="10" t="s">
        <v>282</v>
      </c>
      <c r="K1781" s="10" t="s">
        <v>3326</v>
      </c>
      <c r="L1781" s="10" t="s">
        <v>2293</v>
      </c>
      <c r="M1781" s="12">
        <v>45414</v>
      </c>
      <c r="N1781" s="10" t="s">
        <v>15</v>
      </c>
      <c r="O1781" s="10" t="s">
        <v>2057</v>
      </c>
      <c r="P1781" s="25" t="str">
        <f>IFERROR(
IF(OR(O1781="anulado",O1781="stand by"),CONCATENATE(O1781,": ",H1781),
IF(OR(YEAR(M1781)=2022,YEAR(M1781)=2023),CONCATENATE("Se activó en ",YEAR(M1781)),
IF(AND(OR(O1781="En proceso",O1781="facturando"),AND(J1781="-",M1781="")),"Por revisar",
IF(M1781="",IF(J1781="NUEVAS",CONCATENATE("Estado: ",O1781,", ",J1781),
IF(L1781=Meses!$A$3,"Por revisar",
IF(H1781="","Sin registro","En programación Frcst."))),"En programación")))),
"Error")</f>
        <v>En programación</v>
      </c>
      <c r="Q1781" s="9" t="str">
        <f t="shared" si="81"/>
        <v/>
      </c>
      <c r="R1781" s="25">
        <f>IF(P1781="En programación Frcst.",VLOOKUP(L1781,Meses!$A$1:$H$14,3+HLOOKUP(Cronograma!J1781,Meses!$D$1:$G$2,2,FALSE),FALSE),
IF(P1781="En programación",M1781,""))</f>
        <v>45414</v>
      </c>
      <c r="S1781" s="25" t="str">
        <f t="shared" si="83"/>
        <v>2024/5</v>
      </c>
      <c r="T1781" s="21">
        <f>IFERROR(
(VLOOKUP(MONTH(R1781),Meses!$B$3:$C$14,2,FALSE)-DAY(R1781))/VLOOKUP(MONTH(R1781),Meses!$B$3:$C$14,2,FALSE)*U1781,
"")</f>
        <v>17053.870967741936</v>
      </c>
      <c r="U1781" s="22">
        <f t="shared" si="82"/>
        <v>18230</v>
      </c>
    </row>
    <row r="1782" spans="1:21" ht="63" hidden="1" thickBot="1" x14ac:dyDescent="0.6">
      <c r="A1782" s="10" t="s">
        <v>2280</v>
      </c>
      <c r="B1782" s="10" t="s">
        <v>2281</v>
      </c>
      <c r="C1782" s="12"/>
      <c r="D1782" s="10" t="s">
        <v>14</v>
      </c>
      <c r="E1782" s="10" t="s">
        <v>14</v>
      </c>
      <c r="F1782" s="10">
        <v>1500</v>
      </c>
      <c r="G1782" s="10" t="s">
        <v>15</v>
      </c>
      <c r="H1782" s="10" t="s">
        <v>2916</v>
      </c>
      <c r="I1782" s="10" t="s">
        <v>18</v>
      </c>
      <c r="J1782" s="10" t="s">
        <v>277</v>
      </c>
      <c r="K1782" s="10" t="s">
        <v>3327</v>
      </c>
      <c r="L1782" s="10" t="s">
        <v>2292</v>
      </c>
      <c r="M1782" s="12">
        <v>45400</v>
      </c>
      <c r="N1782" s="10" t="s">
        <v>15</v>
      </c>
      <c r="O1782" s="10" t="s">
        <v>2057</v>
      </c>
      <c r="P1782" s="25" t="str">
        <f>IFERROR(
IF(OR(O1782="anulado",O1782="stand by"),CONCATENATE(O1782,": ",H1782),
IF(OR(YEAR(M1782)=2022,YEAR(M1782)=2023),CONCATENATE("Se activó en ",YEAR(M1782)),
IF(AND(OR(O1782="En proceso",O1782="facturando"),AND(J1782="-",M1782="")),"Por revisar",
IF(M1782="",IF(J1782="NUEVAS",CONCATENATE("Estado: ",O1782,", ",J1782),
IF(L1782=Meses!$A$3,"Por revisar",
IF(H1782="","Sin registro","En programación Frcst."))),"En programación")))),
"Error")</f>
        <v>En programación</v>
      </c>
      <c r="Q1782" s="9" t="str">
        <f t="shared" si="81"/>
        <v/>
      </c>
      <c r="R1782" s="25">
        <f>IF(P1782="En programación Frcst.",VLOOKUP(L1782,Meses!$A$1:$H$14,3+HLOOKUP(Cronograma!J1782,Meses!$D$1:$G$2,2,FALSE),FALSE),
IF(P1782="En programación",M1782,""))</f>
        <v>45400</v>
      </c>
      <c r="S1782" s="25" t="str">
        <f t="shared" si="83"/>
        <v>2024/4</v>
      </c>
      <c r="T1782" s="21">
        <f>IFERROR(
(VLOOKUP(MONTH(R1782),Meses!$B$3:$C$14,2,FALSE)-DAY(R1782))/VLOOKUP(MONTH(R1782),Meses!$B$3:$C$14,2,FALSE)*U1782,
"")</f>
        <v>600</v>
      </c>
      <c r="U1782" s="22">
        <f t="shared" si="82"/>
        <v>1500</v>
      </c>
    </row>
    <row r="1783" spans="1:21" ht="31.8" thickBot="1" x14ac:dyDescent="0.6">
      <c r="A1783" s="10" t="s">
        <v>2282</v>
      </c>
      <c r="B1783" s="10" t="s">
        <v>2283</v>
      </c>
      <c r="C1783" s="12"/>
      <c r="D1783" s="10" t="s">
        <v>1207</v>
      </c>
      <c r="E1783" s="10" t="s">
        <v>23</v>
      </c>
      <c r="F1783" s="10">
        <v>20000</v>
      </c>
      <c r="G1783" s="10" t="s">
        <v>15</v>
      </c>
      <c r="H1783" s="10" t="s">
        <v>2916</v>
      </c>
      <c r="I1783" s="10" t="s">
        <v>66</v>
      </c>
      <c r="J1783" s="10" t="s">
        <v>282</v>
      </c>
      <c r="K1783" s="10" t="s">
        <v>3326</v>
      </c>
      <c r="L1783" s="10" t="s">
        <v>2293</v>
      </c>
      <c r="M1783" s="12">
        <v>45414</v>
      </c>
      <c r="N1783" s="10" t="s">
        <v>15</v>
      </c>
      <c r="O1783" s="10" t="s">
        <v>2057</v>
      </c>
      <c r="P1783" s="25" t="str">
        <f>IFERROR(
IF(OR(O1783="anulado",O1783="stand by"),CONCATENATE(O1783,": ",H1783),
IF(OR(YEAR(M1783)=2022,YEAR(M1783)=2023),CONCATENATE("Se activó en ",YEAR(M1783)),
IF(AND(OR(O1783="En proceso",O1783="facturando"),AND(J1783="-",M1783="")),"Por revisar",
IF(M1783="",IF(J1783="NUEVAS",CONCATENATE("Estado: ",O1783,", ",J1783),
IF(L1783=Meses!$A$3,"Por revisar",
IF(H1783="","Sin registro","En programación Frcst."))),"En programación")))),
"Error")</f>
        <v>En programación</v>
      </c>
      <c r="Q1783" s="9" t="str">
        <f t="shared" si="81"/>
        <v/>
      </c>
      <c r="R1783" s="25">
        <f>IF(P1783="En programación Frcst.",VLOOKUP(L1783,Meses!$A$1:$H$14,3+HLOOKUP(Cronograma!J1783,Meses!$D$1:$G$2,2,FALSE),FALSE),
IF(P1783="En programación",M1783,""))</f>
        <v>45414</v>
      </c>
      <c r="S1783" s="25" t="str">
        <f t="shared" si="83"/>
        <v>2024/5</v>
      </c>
      <c r="T1783" s="21">
        <f>IFERROR(
(VLOOKUP(MONTH(R1783),Meses!$B$3:$C$14,2,FALSE)-DAY(R1783))/VLOOKUP(MONTH(R1783),Meses!$B$3:$C$14,2,FALSE)*U1783,
"")</f>
        <v>18709.677419354837</v>
      </c>
      <c r="U1783" s="22">
        <f t="shared" si="82"/>
        <v>20000</v>
      </c>
    </row>
    <row r="1784" spans="1:21" ht="63" hidden="1" thickBot="1" x14ac:dyDescent="0.6">
      <c r="A1784" s="10" t="s">
        <v>2280</v>
      </c>
      <c r="B1784" s="10" t="s">
        <v>2284</v>
      </c>
      <c r="C1784" s="12"/>
      <c r="D1784" s="10" t="s">
        <v>14</v>
      </c>
      <c r="E1784" s="10" t="s">
        <v>14</v>
      </c>
      <c r="F1784" s="10">
        <v>132314</v>
      </c>
      <c r="G1784" s="10" t="s">
        <v>15</v>
      </c>
      <c r="H1784" s="10" t="s">
        <v>2916</v>
      </c>
      <c r="I1784" s="10" t="s">
        <v>18</v>
      </c>
      <c r="J1784" s="10" t="s">
        <v>277</v>
      </c>
      <c r="K1784" s="10" t="s">
        <v>3327</v>
      </c>
      <c r="L1784" s="10" t="s">
        <v>2292</v>
      </c>
      <c r="M1784" s="12">
        <v>45400</v>
      </c>
      <c r="N1784" s="10" t="s">
        <v>15</v>
      </c>
      <c r="O1784" s="10" t="s">
        <v>2057</v>
      </c>
      <c r="P1784" s="25" t="str">
        <f>IFERROR(
IF(OR(O1784="anulado",O1784="stand by"),CONCATENATE(O1784,": ",H1784),
IF(OR(YEAR(M1784)=2022,YEAR(M1784)=2023),CONCATENATE("Se activó en ",YEAR(M1784)),
IF(AND(OR(O1784="En proceso",O1784="facturando"),AND(J1784="-",M1784="")),"Por revisar",
IF(M1784="",IF(J1784="NUEVAS",CONCATENATE("Estado: ",O1784,", ",J1784),
IF(L1784=Meses!$A$3,"Por revisar",
IF(H1784="","Sin registro","En programación Frcst."))),"En programación")))),
"Error")</f>
        <v>En programación</v>
      </c>
      <c r="Q1784" s="9" t="str">
        <f t="shared" si="81"/>
        <v/>
      </c>
      <c r="R1784" s="25">
        <f>IF(P1784="En programación Frcst.",VLOOKUP(L1784,Meses!$A$1:$H$14,3+HLOOKUP(Cronograma!J1784,Meses!$D$1:$G$2,2,FALSE),FALSE),
IF(P1784="En programación",M1784,""))</f>
        <v>45400</v>
      </c>
      <c r="S1784" s="25" t="str">
        <f t="shared" si="83"/>
        <v>2024/4</v>
      </c>
      <c r="T1784" s="21">
        <f>IFERROR(
(VLOOKUP(MONTH(R1784),Meses!$B$3:$C$14,2,FALSE)-DAY(R1784))/VLOOKUP(MONTH(R1784),Meses!$B$3:$C$14,2,FALSE)*U1784,
"")</f>
        <v>52925.600000000006</v>
      </c>
      <c r="U1784" s="22">
        <f t="shared" si="82"/>
        <v>132314</v>
      </c>
    </row>
    <row r="1785" spans="1:21" ht="63" hidden="1" thickBot="1" x14ac:dyDescent="0.6">
      <c r="A1785" s="10" t="s">
        <v>2285</v>
      </c>
      <c r="B1785" s="10" t="s">
        <v>2286</v>
      </c>
      <c r="C1785" s="12"/>
      <c r="D1785" s="10" t="s">
        <v>74</v>
      </c>
      <c r="E1785" s="10" t="s">
        <v>74</v>
      </c>
      <c r="F1785" s="10">
        <v>4100</v>
      </c>
      <c r="G1785" s="10" t="s">
        <v>15</v>
      </c>
      <c r="H1785" s="10" t="s">
        <v>2916</v>
      </c>
      <c r="I1785" s="10" t="s">
        <v>43</v>
      </c>
      <c r="J1785" s="10" t="s">
        <v>143</v>
      </c>
      <c r="K1785" s="10" t="s">
        <v>2895</v>
      </c>
      <c r="L1785" s="10" t="s">
        <v>2292</v>
      </c>
      <c r="M1785" s="12">
        <v>45400</v>
      </c>
      <c r="N1785" s="10" t="s">
        <v>15</v>
      </c>
      <c r="O1785" s="10" t="s">
        <v>2057</v>
      </c>
      <c r="P1785" s="25" t="str">
        <f>IFERROR(
IF(OR(O1785="anulado",O1785="stand by"),CONCATENATE(O1785,": ",H1785),
IF(OR(YEAR(M1785)=2022,YEAR(M1785)=2023),CONCATENATE("Se activó en ",YEAR(M1785)),
IF(AND(OR(O1785="En proceso",O1785="facturando"),AND(J1785="-",M1785="")),"Por revisar",
IF(M1785="",IF(J1785="NUEVAS",CONCATENATE("Estado: ",O1785,", ",J1785),
IF(L1785=Meses!$A$3,"Por revisar",
IF(H1785="","Sin registro","En programación Frcst."))),"En programación")))),
"Error")</f>
        <v>En programación</v>
      </c>
      <c r="Q1785" s="9" t="str">
        <f t="shared" si="81"/>
        <v/>
      </c>
      <c r="R1785" s="25">
        <f>IF(P1785="En programación Frcst.",VLOOKUP(L1785,Meses!$A$1:$H$14,3+HLOOKUP(Cronograma!J1785,Meses!$D$1:$G$2,2,FALSE),FALSE),
IF(P1785="En programación",M1785,""))</f>
        <v>45400</v>
      </c>
      <c r="S1785" s="25" t="str">
        <f t="shared" si="83"/>
        <v>2024/4</v>
      </c>
      <c r="T1785" s="21">
        <f>IFERROR(
(VLOOKUP(MONTH(R1785),Meses!$B$3:$C$14,2,FALSE)-DAY(R1785))/VLOOKUP(MONTH(R1785),Meses!$B$3:$C$14,2,FALSE)*U1785,
"")</f>
        <v>1640</v>
      </c>
      <c r="U1785" s="22">
        <f t="shared" si="82"/>
        <v>4100</v>
      </c>
    </row>
    <row r="1786" spans="1:21" ht="63" hidden="1" thickBot="1" x14ac:dyDescent="0.6">
      <c r="A1786" s="10" t="s">
        <v>2285</v>
      </c>
      <c r="B1786" s="10" t="s">
        <v>2287</v>
      </c>
      <c r="C1786" s="12"/>
      <c r="D1786" s="10" t="s">
        <v>74</v>
      </c>
      <c r="E1786" s="10" t="s">
        <v>74</v>
      </c>
      <c r="F1786" s="10">
        <v>5954</v>
      </c>
      <c r="G1786" s="10" t="s">
        <v>15</v>
      </c>
      <c r="H1786" s="10" t="s">
        <v>2917</v>
      </c>
      <c r="I1786" s="10" t="s">
        <v>43</v>
      </c>
      <c r="J1786" s="10" t="s">
        <v>143</v>
      </c>
      <c r="K1786" s="10" t="s">
        <v>2895</v>
      </c>
      <c r="L1786" s="10" t="s">
        <v>2292</v>
      </c>
      <c r="M1786" s="12">
        <v>45400</v>
      </c>
      <c r="N1786" s="10" t="s">
        <v>15</v>
      </c>
      <c r="O1786" s="10" t="s">
        <v>2057</v>
      </c>
      <c r="P1786" s="25" t="str">
        <f>IFERROR(
IF(OR(O1786="anulado",O1786="stand by"),CONCATENATE(O1786,": ",H1786),
IF(OR(YEAR(M1786)=2022,YEAR(M1786)=2023),CONCATENATE("Se activó en ",YEAR(M1786)),
IF(AND(OR(O1786="En proceso",O1786="facturando"),AND(J1786="-",M1786="")),"Por revisar",
IF(M1786="",IF(J1786="NUEVAS",CONCATENATE("Estado: ",O1786,", ",J1786),
IF(L1786=Meses!$A$3,"Por revisar",
IF(H1786="","Sin registro","En programación Frcst."))),"En programación")))),
"Error")</f>
        <v>En programación</v>
      </c>
      <c r="Q1786" s="9" t="str">
        <f t="shared" si="81"/>
        <v/>
      </c>
      <c r="R1786" s="25">
        <f>IF(P1786="En programación Frcst.",VLOOKUP(L1786,Meses!$A$1:$H$14,3+HLOOKUP(Cronograma!J1786,Meses!$D$1:$G$2,2,FALSE),FALSE),
IF(P1786="En programación",M1786,""))</f>
        <v>45400</v>
      </c>
      <c r="S1786" s="25" t="str">
        <f t="shared" si="83"/>
        <v>2024/4</v>
      </c>
      <c r="T1786" s="21">
        <f>IFERROR(
(VLOOKUP(MONTH(R1786),Meses!$B$3:$C$14,2,FALSE)-DAY(R1786))/VLOOKUP(MONTH(R1786),Meses!$B$3:$C$14,2,FALSE)*U1786,
"")</f>
        <v>2381.6</v>
      </c>
      <c r="U1786" s="22">
        <f t="shared" si="82"/>
        <v>5954</v>
      </c>
    </row>
    <row r="1787" spans="1:21" ht="31.8" hidden="1" thickBot="1" x14ac:dyDescent="0.6">
      <c r="A1787" s="10" t="s">
        <v>2288</v>
      </c>
      <c r="B1787" s="10" t="s">
        <v>2289</v>
      </c>
      <c r="C1787" s="12"/>
      <c r="D1787" s="10" t="s">
        <v>74</v>
      </c>
      <c r="E1787" s="10" t="s">
        <v>74</v>
      </c>
      <c r="F1787" s="10">
        <v>7004</v>
      </c>
      <c r="G1787" s="10" t="s">
        <v>15</v>
      </c>
      <c r="H1787" s="10" t="s">
        <v>2916</v>
      </c>
      <c r="I1787" s="10" t="s">
        <v>43</v>
      </c>
      <c r="J1787" s="10" t="s">
        <v>143</v>
      </c>
      <c r="K1787" s="10" t="s">
        <v>2895</v>
      </c>
      <c r="L1787" s="10" t="s">
        <v>2292</v>
      </c>
      <c r="M1787" s="12">
        <v>45400</v>
      </c>
      <c r="N1787" s="10" t="s">
        <v>15</v>
      </c>
      <c r="O1787" s="10" t="s">
        <v>2057</v>
      </c>
      <c r="P1787" s="25" t="str">
        <f>IFERROR(
IF(OR(O1787="anulado",O1787="stand by"),CONCATENATE(O1787,": ",H1787),
IF(OR(YEAR(M1787)=2022,YEAR(M1787)=2023),CONCATENATE("Se activó en ",YEAR(M1787)),
IF(AND(OR(O1787="En proceso",O1787="facturando"),AND(J1787="-",M1787="")),"Por revisar",
IF(M1787="",IF(J1787="NUEVAS",CONCATENATE("Estado: ",O1787,", ",J1787),
IF(L1787=Meses!$A$3,"Por revisar",
IF(H1787="","Sin registro","En programación Frcst."))),"En programación")))),
"Error")</f>
        <v>En programación</v>
      </c>
      <c r="Q1787" s="9" t="str">
        <f t="shared" si="81"/>
        <v/>
      </c>
      <c r="R1787" s="25">
        <f>IF(P1787="En programación Frcst.",VLOOKUP(L1787,Meses!$A$1:$H$14,3+HLOOKUP(Cronograma!J1787,Meses!$D$1:$G$2,2,FALSE),FALSE),
IF(P1787="En programación",M1787,""))</f>
        <v>45400</v>
      </c>
      <c r="S1787" s="25" t="str">
        <f t="shared" si="83"/>
        <v>2024/4</v>
      </c>
      <c r="T1787" s="21">
        <f>IFERROR(
(VLOOKUP(MONTH(R1787),Meses!$B$3:$C$14,2,FALSE)-DAY(R1787))/VLOOKUP(MONTH(R1787),Meses!$B$3:$C$14,2,FALSE)*U1787,
"")</f>
        <v>2801.6000000000004</v>
      </c>
      <c r="U1787" s="22">
        <f t="shared" si="82"/>
        <v>7004</v>
      </c>
    </row>
    <row r="1788" spans="1:21" ht="47.4" hidden="1" thickBot="1" x14ac:dyDescent="0.6">
      <c r="A1788" s="10" t="s">
        <v>2347</v>
      </c>
      <c r="B1788" s="10" t="s">
        <v>2348</v>
      </c>
      <c r="C1788" s="12"/>
      <c r="D1788" s="10" t="s">
        <v>677</v>
      </c>
      <c r="E1788" s="10" t="s">
        <v>677</v>
      </c>
      <c r="F1788" s="10">
        <v>5860</v>
      </c>
      <c r="G1788" s="10" t="s">
        <v>15</v>
      </c>
      <c r="H1788" s="10" t="s">
        <v>2917</v>
      </c>
      <c r="I1788" s="10" t="s">
        <v>43</v>
      </c>
      <c r="J1788" s="10" t="s">
        <v>143</v>
      </c>
      <c r="K1788" s="10" t="s">
        <v>2895</v>
      </c>
      <c r="L1788" s="10" t="s">
        <v>2292</v>
      </c>
      <c r="M1788" s="12">
        <v>45400</v>
      </c>
      <c r="N1788" s="10" t="s">
        <v>15</v>
      </c>
      <c r="O1788" s="10" t="s">
        <v>2057</v>
      </c>
      <c r="P1788" s="25" t="str">
        <f>IFERROR(
IF(OR(O1788="anulado",O1788="stand by"),CONCATENATE(O1788,": ",H1788),
IF(OR(YEAR(M1788)=2022,YEAR(M1788)=2023),CONCATENATE("Se activó en ",YEAR(M1788)),
IF(AND(OR(O1788="En proceso",O1788="facturando"),AND(J1788="-",M1788="")),"Por revisar",
IF(M1788="",IF(J1788="NUEVAS",CONCATENATE("Estado: ",O1788,", ",J1788),
IF(L1788=Meses!$A$3,"Por revisar",
IF(H1788="","Sin registro","En programación Frcst."))),"En programación")))),
"Error")</f>
        <v>En programación</v>
      </c>
      <c r="Q1788" s="9" t="str">
        <f t="shared" si="81"/>
        <v/>
      </c>
      <c r="R1788" s="25">
        <f>IF(P1788="En programación Frcst.",VLOOKUP(L1788,Meses!$A$1:$H$14,3+HLOOKUP(Cronograma!J1788,Meses!$D$1:$G$2,2,FALSE),FALSE),
IF(P1788="En programación",M1788,""))</f>
        <v>45400</v>
      </c>
      <c r="S1788" s="25" t="str">
        <f t="shared" si="83"/>
        <v>2024/4</v>
      </c>
      <c r="T1788" s="21">
        <f>IFERROR(
(VLOOKUP(MONTH(R1788),Meses!$B$3:$C$14,2,FALSE)-DAY(R1788))/VLOOKUP(MONTH(R1788),Meses!$B$3:$C$14,2,FALSE)*U1788,
"")</f>
        <v>2344</v>
      </c>
      <c r="U1788" s="22">
        <f t="shared" si="82"/>
        <v>5860</v>
      </c>
    </row>
    <row r="1789" spans="1:21" ht="47.4" hidden="1" thickBot="1" x14ac:dyDescent="0.6">
      <c r="A1789" s="10" t="s">
        <v>2347</v>
      </c>
      <c r="B1789" s="10" t="s">
        <v>2349</v>
      </c>
      <c r="C1789" s="12"/>
      <c r="D1789" s="10" t="s">
        <v>233</v>
      </c>
      <c r="E1789" s="10" t="s">
        <v>233</v>
      </c>
      <c r="F1789" s="10">
        <v>5520</v>
      </c>
      <c r="G1789" s="10" t="s">
        <v>15</v>
      </c>
      <c r="H1789" s="10" t="s">
        <v>2917</v>
      </c>
      <c r="I1789" s="10" t="s">
        <v>18</v>
      </c>
      <c r="J1789" s="10" t="s">
        <v>143</v>
      </c>
      <c r="K1789" s="10" t="s">
        <v>2895</v>
      </c>
      <c r="L1789" s="10" t="s">
        <v>2292</v>
      </c>
      <c r="M1789" s="12">
        <v>45400</v>
      </c>
      <c r="N1789" s="10" t="s">
        <v>15</v>
      </c>
      <c r="O1789" s="10" t="s">
        <v>2057</v>
      </c>
      <c r="P1789" s="25" t="str">
        <f>IFERROR(
IF(OR(O1789="anulado",O1789="stand by"),CONCATENATE(O1789,": ",H1789),
IF(OR(YEAR(M1789)=2022,YEAR(M1789)=2023),CONCATENATE("Se activó en ",YEAR(M1789)),
IF(AND(OR(O1789="En proceso",O1789="facturando"),AND(J1789="-",M1789="")),"Por revisar",
IF(M1789="",IF(J1789="NUEVAS",CONCATENATE("Estado: ",O1789,", ",J1789),
IF(L1789=Meses!$A$3,"Por revisar",
IF(H1789="","Sin registro","En programación Frcst."))),"En programación")))),
"Error")</f>
        <v>En programación</v>
      </c>
      <c r="Q1789" s="9" t="str">
        <f t="shared" si="81"/>
        <v/>
      </c>
      <c r="R1789" s="25">
        <f>IF(P1789="En programación Frcst.",VLOOKUP(L1789,Meses!$A$1:$H$14,3+HLOOKUP(Cronograma!J1789,Meses!$D$1:$G$2,2,FALSE),FALSE),
IF(P1789="En programación",M1789,""))</f>
        <v>45400</v>
      </c>
      <c r="S1789" s="25" t="str">
        <f t="shared" si="83"/>
        <v>2024/4</v>
      </c>
      <c r="T1789" s="21">
        <f>IFERROR(
(VLOOKUP(MONTH(R1789),Meses!$B$3:$C$14,2,FALSE)-DAY(R1789))/VLOOKUP(MONTH(R1789),Meses!$B$3:$C$14,2,FALSE)*U1789,
"")</f>
        <v>2208</v>
      </c>
      <c r="U1789" s="22">
        <f t="shared" si="82"/>
        <v>5520</v>
      </c>
    </row>
    <row r="1790" spans="1:21" ht="47.4" hidden="1" thickBot="1" x14ac:dyDescent="0.6">
      <c r="A1790" s="10" t="s">
        <v>2347</v>
      </c>
      <c r="B1790" s="10" t="s">
        <v>2350</v>
      </c>
      <c r="C1790" s="12"/>
      <c r="D1790" s="10" t="s">
        <v>74</v>
      </c>
      <c r="E1790" s="10" t="s">
        <v>74</v>
      </c>
      <c r="F1790" s="10">
        <v>11385</v>
      </c>
      <c r="G1790" s="10" t="s">
        <v>15</v>
      </c>
      <c r="H1790" s="10" t="s">
        <v>2917</v>
      </c>
      <c r="I1790" s="10" t="s">
        <v>43</v>
      </c>
      <c r="J1790" s="10" t="s">
        <v>143</v>
      </c>
      <c r="K1790" s="10" t="s">
        <v>2895</v>
      </c>
      <c r="L1790" s="10" t="s">
        <v>2292</v>
      </c>
      <c r="M1790" s="12">
        <v>45400</v>
      </c>
      <c r="N1790" s="10" t="s">
        <v>15</v>
      </c>
      <c r="O1790" s="10" t="s">
        <v>2057</v>
      </c>
      <c r="P1790" s="25" t="str">
        <f>IFERROR(
IF(OR(O1790="anulado",O1790="stand by"),CONCATENATE(O1790,": ",H1790),
IF(OR(YEAR(M1790)=2022,YEAR(M1790)=2023),CONCATENATE("Se activó en ",YEAR(M1790)),
IF(AND(OR(O1790="En proceso",O1790="facturando"),AND(J1790="-",M1790="")),"Por revisar",
IF(M1790="",IF(J1790="NUEVAS",CONCATENATE("Estado: ",O1790,", ",J1790),
IF(L1790=Meses!$A$3,"Por revisar",
IF(H1790="","Sin registro","En programación Frcst."))),"En programación")))),
"Error")</f>
        <v>En programación</v>
      </c>
      <c r="Q1790" s="9" t="str">
        <f t="shared" si="81"/>
        <v/>
      </c>
      <c r="R1790" s="25">
        <f>IF(P1790="En programación Frcst.",VLOOKUP(L1790,Meses!$A$1:$H$14,3+HLOOKUP(Cronograma!J1790,Meses!$D$1:$G$2,2,FALSE),FALSE),
IF(P1790="En programación",M1790,""))</f>
        <v>45400</v>
      </c>
      <c r="S1790" s="25" t="str">
        <f t="shared" si="83"/>
        <v>2024/4</v>
      </c>
      <c r="T1790" s="21">
        <f>IFERROR(
(VLOOKUP(MONTH(R1790),Meses!$B$3:$C$14,2,FALSE)-DAY(R1790))/VLOOKUP(MONTH(R1790),Meses!$B$3:$C$14,2,FALSE)*U1790,
"")</f>
        <v>4554</v>
      </c>
      <c r="U1790" s="22">
        <f t="shared" si="82"/>
        <v>11385</v>
      </c>
    </row>
    <row r="1791" spans="1:21" ht="47.4" thickBot="1" x14ac:dyDescent="0.6">
      <c r="A1791" s="10" t="s">
        <v>2347</v>
      </c>
      <c r="B1791" s="10" t="s">
        <v>2351</v>
      </c>
      <c r="C1791" s="12"/>
      <c r="D1791" s="10" t="s">
        <v>654</v>
      </c>
      <c r="E1791" s="10" t="s">
        <v>23</v>
      </c>
      <c r="F1791" s="10">
        <v>2252</v>
      </c>
      <c r="G1791" s="10" t="s">
        <v>15</v>
      </c>
      <c r="H1791" s="10" t="s">
        <v>2917</v>
      </c>
      <c r="I1791" s="10" t="s">
        <v>66</v>
      </c>
      <c r="J1791" s="10" t="s">
        <v>282</v>
      </c>
      <c r="K1791" s="10" t="s">
        <v>3326</v>
      </c>
      <c r="L1791" s="10" t="s">
        <v>2293</v>
      </c>
      <c r="M1791" s="12">
        <v>45414</v>
      </c>
      <c r="N1791" s="10" t="s">
        <v>15</v>
      </c>
      <c r="O1791" s="10" t="s">
        <v>2057</v>
      </c>
      <c r="P1791" s="25" t="str">
        <f>IFERROR(
IF(OR(O1791="anulado",O1791="stand by"),CONCATENATE(O1791,": ",H1791),
IF(OR(YEAR(M1791)=2022,YEAR(M1791)=2023),CONCATENATE("Se activó en ",YEAR(M1791)),
IF(AND(OR(O1791="En proceso",O1791="facturando"),AND(J1791="-",M1791="")),"Por revisar",
IF(M1791="",IF(J1791="NUEVAS",CONCATENATE("Estado: ",O1791,", ",J1791),
IF(L1791=Meses!$A$3,"Por revisar",
IF(H1791="","Sin registro","En programación Frcst."))),"En programación")))),
"Error")</f>
        <v>En programación</v>
      </c>
      <c r="Q1791" s="9" t="str">
        <f t="shared" si="81"/>
        <v/>
      </c>
      <c r="R1791" s="25">
        <f>IF(P1791="En programación Frcst.",VLOOKUP(L1791,Meses!$A$1:$H$14,3+HLOOKUP(Cronograma!J1791,Meses!$D$1:$G$2,2,FALSE),FALSE),
IF(P1791="En programación",M1791,""))</f>
        <v>45414</v>
      </c>
      <c r="S1791" s="25" t="str">
        <f t="shared" si="83"/>
        <v>2024/5</v>
      </c>
      <c r="T1791" s="21">
        <f>IFERROR(
(VLOOKUP(MONTH(R1791),Meses!$B$3:$C$14,2,FALSE)-DAY(R1791))/VLOOKUP(MONTH(R1791),Meses!$B$3:$C$14,2,FALSE)*U1791,
"")</f>
        <v>2106.7096774193546</v>
      </c>
      <c r="U1791" s="22">
        <f t="shared" si="82"/>
        <v>2252</v>
      </c>
    </row>
    <row r="1792" spans="1:21" ht="47.4" thickBot="1" x14ac:dyDescent="0.6">
      <c r="A1792" s="10" t="s">
        <v>2347</v>
      </c>
      <c r="B1792" s="10" t="s">
        <v>2352</v>
      </c>
      <c r="C1792" s="12"/>
      <c r="D1792" s="10" t="s">
        <v>1207</v>
      </c>
      <c r="E1792" s="10" t="s">
        <v>23</v>
      </c>
      <c r="F1792" s="10">
        <v>3617</v>
      </c>
      <c r="G1792" s="10" t="s">
        <v>15</v>
      </c>
      <c r="H1792" s="10" t="s">
        <v>2917</v>
      </c>
      <c r="I1792" s="10" t="s">
        <v>66</v>
      </c>
      <c r="J1792" s="10" t="s">
        <v>282</v>
      </c>
      <c r="K1792" s="10" t="s">
        <v>3326</v>
      </c>
      <c r="L1792" s="10" t="s">
        <v>2293</v>
      </c>
      <c r="M1792" s="12">
        <v>45414</v>
      </c>
      <c r="N1792" s="10" t="s">
        <v>15</v>
      </c>
      <c r="O1792" s="10" t="s">
        <v>2057</v>
      </c>
      <c r="P1792" s="25" t="str">
        <f>IFERROR(
IF(OR(O1792="anulado",O1792="stand by"),CONCATENATE(O1792,": ",H1792),
IF(OR(YEAR(M1792)=2022,YEAR(M1792)=2023),CONCATENATE("Se activó en ",YEAR(M1792)),
IF(AND(OR(O1792="En proceso",O1792="facturando"),AND(J1792="-",M1792="")),"Por revisar",
IF(M1792="",IF(J1792="NUEVAS",CONCATENATE("Estado: ",O1792,", ",J1792),
IF(L1792=Meses!$A$3,"Por revisar",
IF(H1792="","Sin registro","En programación Frcst."))),"En programación")))),
"Error")</f>
        <v>En programación</v>
      </c>
      <c r="Q1792" s="9" t="str">
        <f t="shared" si="81"/>
        <v/>
      </c>
      <c r="R1792" s="25">
        <f>IF(P1792="En programación Frcst.",VLOOKUP(L1792,Meses!$A$1:$H$14,3+HLOOKUP(Cronograma!J1792,Meses!$D$1:$G$2,2,FALSE),FALSE),
IF(P1792="En programación",M1792,""))</f>
        <v>45414</v>
      </c>
      <c r="S1792" s="25" t="str">
        <f t="shared" si="83"/>
        <v>2024/5</v>
      </c>
      <c r="T1792" s="21">
        <f>IFERROR(
(VLOOKUP(MONTH(R1792),Meses!$B$3:$C$14,2,FALSE)-DAY(R1792))/VLOOKUP(MONTH(R1792),Meses!$B$3:$C$14,2,FALSE)*U1792,
"")</f>
        <v>3383.6451612903224</v>
      </c>
      <c r="U1792" s="22">
        <f t="shared" si="82"/>
        <v>3617</v>
      </c>
    </row>
    <row r="1793" spans="1:21" ht="47.4" thickBot="1" x14ac:dyDescent="0.6">
      <c r="A1793" s="10" t="s">
        <v>2347</v>
      </c>
      <c r="B1793" s="10" t="s">
        <v>2353</v>
      </c>
      <c r="C1793" s="12"/>
      <c r="D1793" s="10" t="s">
        <v>654</v>
      </c>
      <c r="E1793" s="10" t="s">
        <v>23</v>
      </c>
      <c r="F1793" s="10">
        <v>2440</v>
      </c>
      <c r="G1793" s="10" t="s">
        <v>15</v>
      </c>
      <c r="H1793" s="10" t="s">
        <v>2917</v>
      </c>
      <c r="I1793" s="10" t="s">
        <v>66</v>
      </c>
      <c r="J1793" s="10" t="s">
        <v>282</v>
      </c>
      <c r="K1793" s="10" t="s">
        <v>3326</v>
      </c>
      <c r="L1793" s="10" t="s">
        <v>2293</v>
      </c>
      <c r="M1793" s="12">
        <v>45414</v>
      </c>
      <c r="N1793" s="10" t="s">
        <v>15</v>
      </c>
      <c r="O1793" s="10" t="s">
        <v>2057</v>
      </c>
      <c r="P1793" s="25" t="str">
        <f>IFERROR(
IF(OR(O1793="anulado",O1793="stand by"),CONCATENATE(O1793,": ",H1793),
IF(OR(YEAR(M1793)=2022,YEAR(M1793)=2023),CONCATENATE("Se activó en ",YEAR(M1793)),
IF(AND(OR(O1793="En proceso",O1793="facturando"),AND(J1793="-",M1793="")),"Por revisar",
IF(M1793="",IF(J1793="NUEVAS",CONCATENATE("Estado: ",O1793,", ",J1793),
IF(L1793=Meses!$A$3,"Por revisar",
IF(H1793="","Sin registro","En programación Frcst."))),"En programación")))),
"Error")</f>
        <v>En programación</v>
      </c>
      <c r="Q1793" s="9" t="str">
        <f t="shared" si="81"/>
        <v/>
      </c>
      <c r="R1793" s="25">
        <f>IF(P1793="En programación Frcst.",VLOOKUP(L1793,Meses!$A$1:$H$14,3+HLOOKUP(Cronograma!J1793,Meses!$D$1:$G$2,2,FALSE),FALSE),
IF(P1793="En programación",M1793,""))</f>
        <v>45414</v>
      </c>
      <c r="S1793" s="25" t="str">
        <f t="shared" si="83"/>
        <v>2024/5</v>
      </c>
      <c r="T1793" s="21">
        <f>IFERROR(
(VLOOKUP(MONTH(R1793),Meses!$B$3:$C$14,2,FALSE)-DAY(R1793))/VLOOKUP(MONTH(R1793),Meses!$B$3:$C$14,2,FALSE)*U1793,
"")</f>
        <v>2282.5806451612902</v>
      </c>
      <c r="U1793" s="22">
        <f t="shared" si="82"/>
        <v>2440</v>
      </c>
    </row>
    <row r="1794" spans="1:21" ht="47.4" hidden="1" thickBot="1" x14ac:dyDescent="0.6">
      <c r="A1794" s="10" t="s">
        <v>2347</v>
      </c>
      <c r="B1794" s="10" t="s">
        <v>2354</v>
      </c>
      <c r="C1794" s="12"/>
      <c r="D1794" s="10" t="s">
        <v>74</v>
      </c>
      <c r="E1794" s="10" t="s">
        <v>74</v>
      </c>
      <c r="F1794" s="10">
        <v>10967</v>
      </c>
      <c r="G1794" s="10" t="s">
        <v>15</v>
      </c>
      <c r="H1794" s="10" t="s">
        <v>2916</v>
      </c>
      <c r="I1794" s="10" t="s">
        <v>43</v>
      </c>
      <c r="J1794" s="10" t="s">
        <v>143</v>
      </c>
      <c r="K1794" s="10" t="s">
        <v>2895</v>
      </c>
      <c r="L1794" s="10" t="s">
        <v>2292</v>
      </c>
      <c r="M1794" s="12">
        <v>45400</v>
      </c>
      <c r="N1794" s="10" t="s">
        <v>15</v>
      </c>
      <c r="O1794" s="10" t="s">
        <v>2057</v>
      </c>
      <c r="P1794" s="25" t="str">
        <f>IFERROR(
IF(OR(O1794="anulado",O1794="stand by"),CONCATENATE(O1794,": ",H1794),
IF(OR(YEAR(M1794)=2022,YEAR(M1794)=2023),CONCATENATE("Se activó en ",YEAR(M1794)),
IF(AND(OR(O1794="En proceso",O1794="facturando"),AND(J1794="-",M1794="")),"Por revisar",
IF(M1794="",IF(J1794="NUEVAS",CONCATENATE("Estado: ",O1794,", ",J1794),
IF(L1794=Meses!$A$3,"Por revisar",
IF(H1794="","Sin registro","En programación Frcst."))),"En programación")))),
"Error")</f>
        <v>En programación</v>
      </c>
      <c r="Q1794" s="9" t="str">
        <f t="shared" ref="Q1794:Q1857" si="84">IF(P1794="Por revisar",CONCATENATE("programación de act. ",N1794,", estado: ",O1794,", Comercializador: ",D1794,", Etapa: ",H1794),"")</f>
        <v/>
      </c>
      <c r="R1794" s="25">
        <f>IF(P1794="En programación Frcst.",VLOOKUP(L1794,Meses!$A$1:$H$14,3+HLOOKUP(Cronograma!J1794,Meses!$D$1:$G$2,2,FALSE),FALSE),
IF(P1794="En programación",M1794,""))</f>
        <v>45400</v>
      </c>
      <c r="S1794" s="25" t="str">
        <f t="shared" si="83"/>
        <v>2024/4</v>
      </c>
      <c r="T1794" s="21">
        <f>IFERROR(
(VLOOKUP(MONTH(R1794),Meses!$B$3:$C$14,2,FALSE)-DAY(R1794))/VLOOKUP(MONTH(R1794),Meses!$B$3:$C$14,2,FALSE)*U1794,
"")</f>
        <v>4386.8</v>
      </c>
      <c r="U1794" s="22">
        <f t="shared" ref="U1794:U1857" si="85">F1794</f>
        <v>10967</v>
      </c>
    </row>
    <row r="1795" spans="1:21" ht="47.4" hidden="1" thickBot="1" x14ac:dyDescent="0.6">
      <c r="A1795" s="10" t="s">
        <v>2347</v>
      </c>
      <c r="B1795" s="10" t="s">
        <v>2355</v>
      </c>
      <c r="C1795" s="12"/>
      <c r="D1795" s="10" t="s">
        <v>188</v>
      </c>
      <c r="E1795" s="10" t="s">
        <v>188</v>
      </c>
      <c r="F1795" s="10">
        <v>2056</v>
      </c>
      <c r="G1795" s="10" t="s">
        <v>15</v>
      </c>
      <c r="H1795" s="10" t="s">
        <v>2917</v>
      </c>
      <c r="I1795" s="10" t="s">
        <v>43</v>
      </c>
      <c r="J1795" s="10" t="s">
        <v>143</v>
      </c>
      <c r="K1795" s="10" t="s">
        <v>2895</v>
      </c>
      <c r="L1795" s="10" t="s">
        <v>2292</v>
      </c>
      <c r="M1795" s="12">
        <v>45400</v>
      </c>
      <c r="N1795" s="10" t="s">
        <v>15</v>
      </c>
      <c r="O1795" s="10" t="s">
        <v>2057</v>
      </c>
      <c r="P1795" s="25" t="str">
        <f>IFERROR(
IF(OR(O1795="anulado",O1795="stand by"),CONCATENATE(O1795,": ",H1795),
IF(OR(YEAR(M1795)=2022,YEAR(M1795)=2023),CONCATENATE("Se activó en ",YEAR(M1795)),
IF(AND(OR(O1795="En proceso",O1795="facturando"),AND(J1795="-",M1795="")),"Por revisar",
IF(M1795="",IF(J1795="NUEVAS",CONCATENATE("Estado: ",O1795,", ",J1795),
IF(L1795=Meses!$A$3,"Por revisar",
IF(H1795="","Sin registro","En programación Frcst."))),"En programación")))),
"Error")</f>
        <v>En programación</v>
      </c>
      <c r="Q1795" s="9" t="str">
        <f t="shared" si="84"/>
        <v/>
      </c>
      <c r="R1795" s="25">
        <f>IF(P1795="En programación Frcst.",VLOOKUP(L1795,Meses!$A$1:$H$14,3+HLOOKUP(Cronograma!J1795,Meses!$D$1:$G$2,2,FALSE),FALSE),
IF(P1795="En programación",M1795,""))</f>
        <v>45400</v>
      </c>
      <c r="S1795" s="25" t="str">
        <f t="shared" ref="S1795:S1796" si="86">IFERROR(CONCATENATE(YEAR(R1795),"/",MONTH(R1795)),"")</f>
        <v>2024/4</v>
      </c>
      <c r="T1795" s="21">
        <f>IFERROR(
(VLOOKUP(MONTH(R1795),Meses!$B$3:$C$14,2,FALSE)-DAY(R1795))/VLOOKUP(MONTH(R1795),Meses!$B$3:$C$14,2,FALSE)*U1795,
"")</f>
        <v>822.40000000000009</v>
      </c>
      <c r="U1795" s="22">
        <f t="shared" si="85"/>
        <v>2056</v>
      </c>
    </row>
    <row r="1796" spans="1:21" ht="47.4" hidden="1" thickBot="1" x14ac:dyDescent="0.6">
      <c r="A1796" s="10" t="s">
        <v>2347</v>
      </c>
      <c r="B1796" s="10" t="s">
        <v>2356</v>
      </c>
      <c r="C1796" s="12"/>
      <c r="D1796" s="10" t="s">
        <v>44</v>
      </c>
      <c r="E1796" s="10" t="s">
        <v>44</v>
      </c>
      <c r="F1796" s="10">
        <v>7500</v>
      </c>
      <c r="G1796" s="10" t="s">
        <v>15</v>
      </c>
      <c r="H1796" s="10" t="s">
        <v>2916</v>
      </c>
      <c r="I1796" s="10" t="s">
        <v>43</v>
      </c>
      <c r="J1796" s="10" t="s">
        <v>143</v>
      </c>
      <c r="K1796" s="10" t="s">
        <v>2895</v>
      </c>
      <c r="L1796" s="10" t="s">
        <v>2292</v>
      </c>
      <c r="M1796" s="12">
        <v>45400</v>
      </c>
      <c r="N1796" s="10" t="s">
        <v>15</v>
      </c>
      <c r="O1796" s="10" t="s">
        <v>2057</v>
      </c>
      <c r="P1796" s="25" t="str">
        <f>IFERROR(
IF(OR(O1796="anulado",O1796="stand by"),CONCATENATE(O1796,": ",H1796),
IF(OR(YEAR(M1796)=2022,YEAR(M1796)=2023),CONCATENATE("Se activó en ",YEAR(M1796)),
IF(AND(OR(O1796="En proceso",O1796="facturando"),AND(J1796="-",M1796="")),"Por revisar",
IF(M1796="",IF(J1796="NUEVAS",CONCATENATE("Estado: ",O1796,", ",J1796),
IF(L1796=Meses!$A$3,"Por revisar",
IF(H1796="","Sin registro","En programación Frcst."))),"En programación")))),
"Error")</f>
        <v>En programación</v>
      </c>
      <c r="Q1796" s="9" t="str">
        <f t="shared" si="84"/>
        <v/>
      </c>
      <c r="R1796" s="25">
        <f>IF(P1796="En programación Frcst.",VLOOKUP(L1796,Meses!$A$1:$H$14,3+HLOOKUP(Cronograma!J1796,Meses!$D$1:$G$2,2,FALSE),FALSE),
IF(P1796="En programación",M1796,""))</f>
        <v>45400</v>
      </c>
      <c r="S1796" s="25" t="str">
        <f t="shared" si="86"/>
        <v>2024/4</v>
      </c>
      <c r="T1796" s="21">
        <f>IFERROR(
(VLOOKUP(MONTH(R1796),Meses!$B$3:$C$14,2,FALSE)-DAY(R1796))/VLOOKUP(MONTH(R1796),Meses!$B$3:$C$14,2,FALSE)*U1796,
"")</f>
        <v>3000</v>
      </c>
      <c r="U1796" s="22">
        <f t="shared" si="85"/>
        <v>7500</v>
      </c>
    </row>
    <row r="1797" spans="1:21" ht="47.4" hidden="1" thickBot="1" x14ac:dyDescent="0.6">
      <c r="A1797" s="10" t="s">
        <v>2347</v>
      </c>
      <c r="B1797" s="10" t="s">
        <v>2357</v>
      </c>
      <c r="C1797" s="12"/>
      <c r="D1797" s="10" t="s">
        <v>44</v>
      </c>
      <c r="E1797" s="10" t="s">
        <v>44</v>
      </c>
      <c r="F1797" s="10">
        <v>1961</v>
      </c>
      <c r="G1797" s="10" t="s">
        <v>15</v>
      </c>
      <c r="H1797" s="10" t="s">
        <v>2916</v>
      </c>
      <c r="I1797" s="10" t="s">
        <v>43</v>
      </c>
      <c r="J1797" s="10" t="s">
        <v>143</v>
      </c>
      <c r="K1797" s="10" t="s">
        <v>2895</v>
      </c>
      <c r="L1797" s="10" t="s">
        <v>2292</v>
      </c>
      <c r="M1797" s="12">
        <v>45400</v>
      </c>
      <c r="N1797" s="10" t="s">
        <v>15</v>
      </c>
      <c r="O1797" s="10" t="s">
        <v>2057</v>
      </c>
      <c r="P1797" s="25" t="str">
        <f>IFERROR(
IF(OR(O1797="anulado",O1797="stand by"),CONCATENATE(O1797,": ",H1797),
IF(OR(YEAR(M1797)=2022,YEAR(M1797)=2023),CONCATENATE("Se activó en ",YEAR(M1797)),
IF(AND(OR(O1797="En proceso",O1797="facturando"),AND(J1797="-",M1797="")),"Por revisar",
IF(M1797="",IF(J1797="NUEVAS",CONCATENATE("Estado: ",O1797,", ",J1797),
IF(L1797=Meses!$A$3,"Por revisar",
IF(H1797="","Sin registro","En programación Frcst."))),"En programación")))),
"Error")</f>
        <v>En programación</v>
      </c>
      <c r="Q1797" s="9" t="str">
        <f t="shared" si="84"/>
        <v/>
      </c>
      <c r="R1797" s="25">
        <f>IF(P1797="En programación Frcst.",VLOOKUP(L1797,Meses!$A$1:$H$14,3+HLOOKUP(Cronograma!J1797,Meses!$D$1:$G$2,2,FALSE),FALSE),
IF(P1797="En programación",M1797,""))</f>
        <v>45400</v>
      </c>
      <c r="S1797" s="25" t="str">
        <f t="shared" ref="S1797:S1850" si="87">IFERROR(CONCATENATE(YEAR(R1797),"/",MONTH(R1797)),"")</f>
        <v>2024/4</v>
      </c>
      <c r="T1797" s="21">
        <f>IFERROR(
(VLOOKUP(MONTH(R1797),Meses!$B$3:$C$14,2,FALSE)-DAY(R1797))/VLOOKUP(MONTH(R1797),Meses!$B$3:$C$14,2,FALSE)*U1797,
"")</f>
        <v>784.40000000000009</v>
      </c>
      <c r="U1797" s="22">
        <f t="shared" si="85"/>
        <v>1961</v>
      </c>
    </row>
    <row r="1798" spans="1:21" ht="47.4" hidden="1" thickBot="1" x14ac:dyDescent="0.6">
      <c r="A1798" s="10" t="s">
        <v>2347</v>
      </c>
      <c r="B1798" s="10" t="s">
        <v>2358</v>
      </c>
      <c r="C1798" s="12"/>
      <c r="D1798" s="10" t="s">
        <v>44</v>
      </c>
      <c r="E1798" s="10" t="s">
        <v>44</v>
      </c>
      <c r="F1798" s="10">
        <v>3054</v>
      </c>
      <c r="G1798" s="10" t="s">
        <v>15</v>
      </c>
      <c r="H1798" s="10" t="s">
        <v>2916</v>
      </c>
      <c r="I1798" s="10" t="s">
        <v>43</v>
      </c>
      <c r="J1798" s="10" t="s">
        <v>143</v>
      </c>
      <c r="K1798" s="10" t="s">
        <v>2895</v>
      </c>
      <c r="L1798" s="10" t="s">
        <v>2292</v>
      </c>
      <c r="M1798" s="12">
        <v>45400</v>
      </c>
      <c r="N1798" s="10" t="s">
        <v>15</v>
      </c>
      <c r="O1798" s="10" t="s">
        <v>2057</v>
      </c>
      <c r="P1798" s="25" t="str">
        <f>IFERROR(
IF(OR(O1798="anulado",O1798="stand by"),CONCATENATE(O1798,": ",H1798),
IF(OR(YEAR(M1798)=2022,YEAR(M1798)=2023),CONCATENATE("Se activó en ",YEAR(M1798)),
IF(AND(OR(O1798="En proceso",O1798="facturando"),AND(J1798="-",M1798="")),"Por revisar",
IF(M1798="",IF(J1798="NUEVAS",CONCATENATE("Estado: ",O1798,", ",J1798),
IF(L1798=Meses!$A$3,"Por revisar",
IF(H1798="","Sin registro","En programación Frcst."))),"En programación")))),
"Error")</f>
        <v>En programación</v>
      </c>
      <c r="Q1798" s="9" t="str">
        <f t="shared" si="84"/>
        <v/>
      </c>
      <c r="R1798" s="25">
        <f>IF(P1798="En programación Frcst.",VLOOKUP(L1798,Meses!$A$1:$H$14,3+HLOOKUP(Cronograma!J1798,Meses!$D$1:$G$2,2,FALSE),FALSE),
IF(P1798="En programación",M1798,""))</f>
        <v>45400</v>
      </c>
      <c r="S1798" s="25" t="str">
        <f t="shared" si="87"/>
        <v>2024/4</v>
      </c>
      <c r="T1798" s="21">
        <f>IFERROR(
(VLOOKUP(MONTH(R1798),Meses!$B$3:$C$14,2,FALSE)-DAY(R1798))/VLOOKUP(MONTH(R1798),Meses!$B$3:$C$14,2,FALSE)*U1798,
"")</f>
        <v>1221.6000000000001</v>
      </c>
      <c r="U1798" s="22">
        <f t="shared" si="85"/>
        <v>3054</v>
      </c>
    </row>
    <row r="1799" spans="1:21" ht="47.4" thickBot="1" x14ac:dyDescent="0.6">
      <c r="A1799" s="10" t="s">
        <v>2347</v>
      </c>
      <c r="B1799" s="10" t="s">
        <v>2359</v>
      </c>
      <c r="C1799" s="12"/>
      <c r="D1799" s="10" t="s">
        <v>171</v>
      </c>
      <c r="E1799" s="10" t="s">
        <v>23</v>
      </c>
      <c r="F1799" s="10">
        <v>6947</v>
      </c>
      <c r="G1799" s="10" t="s">
        <v>15</v>
      </c>
      <c r="H1799" s="10" t="s">
        <v>2917</v>
      </c>
      <c r="I1799" s="10" t="s">
        <v>66</v>
      </c>
      <c r="J1799" s="10" t="s">
        <v>282</v>
      </c>
      <c r="K1799" s="10" t="s">
        <v>3326</v>
      </c>
      <c r="L1799" s="10" t="s">
        <v>2293</v>
      </c>
      <c r="M1799" s="12">
        <v>45414</v>
      </c>
      <c r="N1799" s="10" t="s">
        <v>15</v>
      </c>
      <c r="O1799" s="10" t="s">
        <v>2057</v>
      </c>
      <c r="P1799" s="25" t="str">
        <f>IFERROR(
IF(OR(O1799="anulado",O1799="stand by"),CONCATENATE(O1799,": ",H1799),
IF(OR(YEAR(M1799)=2022,YEAR(M1799)=2023),CONCATENATE("Se activó en ",YEAR(M1799)),
IF(AND(OR(O1799="En proceso",O1799="facturando"),AND(J1799="-",M1799="")),"Por revisar",
IF(M1799="",IF(J1799="NUEVAS",CONCATENATE("Estado: ",O1799,", ",J1799),
IF(L1799=Meses!$A$3,"Por revisar",
IF(H1799="","Sin registro","En programación Frcst."))),"En programación")))),
"Error")</f>
        <v>En programación</v>
      </c>
      <c r="Q1799" s="9" t="str">
        <f t="shared" si="84"/>
        <v/>
      </c>
      <c r="R1799" s="25">
        <f>IF(P1799="En programación Frcst.",VLOOKUP(L1799,Meses!$A$1:$H$14,3+HLOOKUP(Cronograma!J1799,Meses!$D$1:$G$2,2,FALSE),FALSE),
IF(P1799="En programación",M1799,""))</f>
        <v>45414</v>
      </c>
      <c r="S1799" s="25" t="str">
        <f t="shared" si="87"/>
        <v>2024/5</v>
      </c>
      <c r="T1799" s="21">
        <f>IFERROR(
(VLOOKUP(MONTH(R1799),Meses!$B$3:$C$14,2,FALSE)-DAY(R1799))/VLOOKUP(MONTH(R1799),Meses!$B$3:$C$14,2,FALSE)*U1799,
"")</f>
        <v>6498.8064516129025</v>
      </c>
      <c r="U1799" s="22">
        <f t="shared" si="85"/>
        <v>6947</v>
      </c>
    </row>
    <row r="1800" spans="1:21" ht="47.4" hidden="1" thickBot="1" x14ac:dyDescent="0.6">
      <c r="A1800" s="10" t="s">
        <v>2347</v>
      </c>
      <c r="B1800" s="10" t="s">
        <v>2360</v>
      </c>
      <c r="C1800" s="12"/>
      <c r="D1800" s="10" t="s">
        <v>74</v>
      </c>
      <c r="E1800" s="10" t="s">
        <v>74</v>
      </c>
      <c r="F1800" s="10">
        <v>5943</v>
      </c>
      <c r="G1800" s="10" t="s">
        <v>15</v>
      </c>
      <c r="H1800" s="10" t="s">
        <v>2917</v>
      </c>
      <c r="I1800" s="10" t="s">
        <v>43</v>
      </c>
      <c r="J1800" s="10" t="s">
        <v>143</v>
      </c>
      <c r="K1800" s="10" t="s">
        <v>2895</v>
      </c>
      <c r="L1800" s="10" t="s">
        <v>2292</v>
      </c>
      <c r="M1800" s="12">
        <v>45400</v>
      </c>
      <c r="N1800" s="10" t="s">
        <v>15</v>
      </c>
      <c r="O1800" s="10" t="s">
        <v>2057</v>
      </c>
      <c r="P1800" s="25" t="str">
        <f>IFERROR(
IF(OR(O1800="anulado",O1800="stand by"),CONCATENATE(O1800,": ",H1800),
IF(OR(YEAR(M1800)=2022,YEAR(M1800)=2023),CONCATENATE("Se activó en ",YEAR(M1800)),
IF(AND(OR(O1800="En proceso",O1800="facturando"),AND(J1800="-",M1800="")),"Por revisar",
IF(M1800="",IF(J1800="NUEVAS",CONCATENATE("Estado: ",O1800,", ",J1800),
IF(L1800=Meses!$A$3,"Por revisar",
IF(H1800="","Sin registro","En programación Frcst."))),"En programación")))),
"Error")</f>
        <v>En programación</v>
      </c>
      <c r="Q1800" s="9" t="str">
        <f t="shared" si="84"/>
        <v/>
      </c>
      <c r="R1800" s="25">
        <f>IF(P1800="En programación Frcst.",VLOOKUP(L1800,Meses!$A$1:$H$14,3+HLOOKUP(Cronograma!J1800,Meses!$D$1:$G$2,2,FALSE),FALSE),
IF(P1800="En programación",M1800,""))</f>
        <v>45400</v>
      </c>
      <c r="S1800" s="25" t="str">
        <f t="shared" si="87"/>
        <v>2024/4</v>
      </c>
      <c r="T1800" s="21">
        <f>IFERROR(
(VLOOKUP(MONTH(R1800),Meses!$B$3:$C$14,2,FALSE)-DAY(R1800))/VLOOKUP(MONTH(R1800),Meses!$B$3:$C$14,2,FALSE)*U1800,
"")</f>
        <v>2377.2000000000003</v>
      </c>
      <c r="U1800" s="22">
        <f t="shared" si="85"/>
        <v>5943</v>
      </c>
    </row>
    <row r="1801" spans="1:21" ht="47.4" hidden="1" thickBot="1" x14ac:dyDescent="0.6">
      <c r="A1801" s="10" t="s">
        <v>2347</v>
      </c>
      <c r="B1801" s="10" t="s">
        <v>2361</v>
      </c>
      <c r="C1801" s="12"/>
      <c r="D1801" s="10" t="s">
        <v>188</v>
      </c>
      <c r="E1801" s="10" t="s">
        <v>188</v>
      </c>
      <c r="F1801" s="10">
        <v>3559</v>
      </c>
      <c r="G1801" s="10" t="s">
        <v>15</v>
      </c>
      <c r="H1801" s="10" t="s">
        <v>2917</v>
      </c>
      <c r="I1801" s="10" t="s">
        <v>43</v>
      </c>
      <c r="J1801" s="10" t="s">
        <v>143</v>
      </c>
      <c r="K1801" s="10" t="s">
        <v>2895</v>
      </c>
      <c r="L1801" s="10" t="s">
        <v>2292</v>
      </c>
      <c r="M1801" s="12">
        <v>45400</v>
      </c>
      <c r="N1801" s="10" t="s">
        <v>15</v>
      </c>
      <c r="O1801" s="10" t="s">
        <v>2057</v>
      </c>
      <c r="P1801" s="25" t="str">
        <f>IFERROR(
IF(OR(O1801="anulado",O1801="stand by"),CONCATENATE(O1801,": ",H1801),
IF(OR(YEAR(M1801)=2022,YEAR(M1801)=2023),CONCATENATE("Se activó en ",YEAR(M1801)),
IF(AND(OR(O1801="En proceso",O1801="facturando"),AND(J1801="-",M1801="")),"Por revisar",
IF(M1801="",IF(J1801="NUEVAS",CONCATENATE("Estado: ",O1801,", ",J1801),
IF(L1801=Meses!$A$3,"Por revisar",
IF(H1801="","Sin registro","En programación Frcst."))),"En programación")))),
"Error")</f>
        <v>En programación</v>
      </c>
      <c r="Q1801" s="9" t="str">
        <f t="shared" si="84"/>
        <v/>
      </c>
      <c r="R1801" s="25">
        <f>IF(P1801="En programación Frcst.",VLOOKUP(L1801,Meses!$A$1:$H$14,3+HLOOKUP(Cronograma!J1801,Meses!$D$1:$G$2,2,FALSE),FALSE),
IF(P1801="En programación",M1801,""))</f>
        <v>45400</v>
      </c>
      <c r="S1801" s="25" t="str">
        <f t="shared" si="87"/>
        <v>2024/4</v>
      </c>
      <c r="T1801" s="21">
        <f>IFERROR(
(VLOOKUP(MONTH(R1801),Meses!$B$3:$C$14,2,FALSE)-DAY(R1801))/VLOOKUP(MONTH(R1801),Meses!$B$3:$C$14,2,FALSE)*U1801,
"")</f>
        <v>1423.6000000000001</v>
      </c>
      <c r="U1801" s="22">
        <f t="shared" si="85"/>
        <v>3559</v>
      </c>
    </row>
    <row r="1802" spans="1:21" ht="47.4" thickBot="1" x14ac:dyDescent="0.6">
      <c r="A1802" s="10" t="s">
        <v>2347</v>
      </c>
      <c r="B1802" s="10" t="s">
        <v>2362</v>
      </c>
      <c r="C1802" s="12"/>
      <c r="D1802" s="10" t="s">
        <v>171</v>
      </c>
      <c r="E1802" s="10" t="s">
        <v>14</v>
      </c>
      <c r="F1802" s="10">
        <v>3338</v>
      </c>
      <c r="G1802" s="10" t="s">
        <v>15</v>
      </c>
      <c r="H1802" s="10" t="s">
        <v>2917</v>
      </c>
      <c r="I1802" s="10" t="s">
        <v>66</v>
      </c>
      <c r="J1802" s="10" t="s">
        <v>282</v>
      </c>
      <c r="K1802" s="10" t="s">
        <v>3326</v>
      </c>
      <c r="L1802" s="10" t="s">
        <v>2293</v>
      </c>
      <c r="M1802" s="12">
        <v>45414</v>
      </c>
      <c r="N1802" s="10" t="s">
        <v>15</v>
      </c>
      <c r="O1802" s="10" t="s">
        <v>2057</v>
      </c>
      <c r="P1802" s="25" t="str">
        <f>IFERROR(
IF(OR(O1802="anulado",O1802="stand by"),CONCATENATE(O1802,": ",H1802),
IF(OR(YEAR(M1802)=2022,YEAR(M1802)=2023),CONCATENATE("Se activó en ",YEAR(M1802)),
IF(AND(OR(O1802="En proceso",O1802="facturando"),AND(J1802="-",M1802="")),"Por revisar",
IF(M1802="",IF(J1802="NUEVAS",CONCATENATE("Estado: ",O1802,", ",J1802),
IF(L1802=Meses!$A$3,"Por revisar",
IF(H1802="","Sin registro","En programación Frcst."))),"En programación")))),
"Error")</f>
        <v>En programación</v>
      </c>
      <c r="Q1802" s="9" t="str">
        <f t="shared" si="84"/>
        <v/>
      </c>
      <c r="R1802" s="25">
        <f>IF(P1802="En programación Frcst.",VLOOKUP(L1802,Meses!$A$1:$H$14,3+HLOOKUP(Cronograma!J1802,Meses!$D$1:$G$2,2,FALSE),FALSE),
IF(P1802="En programación",M1802,""))</f>
        <v>45414</v>
      </c>
      <c r="S1802" s="25" t="str">
        <f t="shared" si="87"/>
        <v>2024/5</v>
      </c>
      <c r="T1802" s="21">
        <f>IFERROR(
(VLOOKUP(MONTH(R1802),Meses!$B$3:$C$14,2,FALSE)-DAY(R1802))/VLOOKUP(MONTH(R1802),Meses!$B$3:$C$14,2,FALSE)*U1802,
"")</f>
        <v>3122.6451612903224</v>
      </c>
      <c r="U1802" s="22">
        <f t="shared" si="85"/>
        <v>3338</v>
      </c>
    </row>
    <row r="1803" spans="1:21" ht="47.4" hidden="1" thickBot="1" x14ac:dyDescent="0.6">
      <c r="A1803" s="10" t="s">
        <v>2347</v>
      </c>
      <c r="B1803" s="10" t="s">
        <v>2363</v>
      </c>
      <c r="C1803" s="12"/>
      <c r="D1803" s="10" t="s">
        <v>233</v>
      </c>
      <c r="E1803" s="10" t="s">
        <v>233</v>
      </c>
      <c r="F1803" s="10">
        <v>2081</v>
      </c>
      <c r="G1803" s="10" t="s">
        <v>15</v>
      </c>
      <c r="H1803" s="10" t="s">
        <v>2917</v>
      </c>
      <c r="I1803" s="10" t="s">
        <v>18</v>
      </c>
      <c r="J1803" s="10" t="s">
        <v>143</v>
      </c>
      <c r="K1803" s="10" t="s">
        <v>2895</v>
      </c>
      <c r="L1803" s="10" t="s">
        <v>2292</v>
      </c>
      <c r="M1803" s="12">
        <v>45400</v>
      </c>
      <c r="N1803" s="10" t="s">
        <v>15</v>
      </c>
      <c r="O1803" s="10" t="s">
        <v>2057</v>
      </c>
      <c r="P1803" s="25" t="str">
        <f>IFERROR(
IF(OR(O1803="anulado",O1803="stand by"),CONCATENATE(O1803,": ",H1803),
IF(OR(YEAR(M1803)=2022,YEAR(M1803)=2023),CONCATENATE("Se activó en ",YEAR(M1803)),
IF(AND(OR(O1803="En proceso",O1803="facturando"),AND(J1803="-",M1803="")),"Por revisar",
IF(M1803="",IF(J1803="NUEVAS",CONCATENATE("Estado: ",O1803,", ",J1803),
IF(L1803=Meses!$A$3,"Por revisar",
IF(H1803="","Sin registro","En programación Frcst."))),"En programación")))),
"Error")</f>
        <v>En programación</v>
      </c>
      <c r="Q1803" s="9" t="str">
        <f t="shared" si="84"/>
        <v/>
      </c>
      <c r="R1803" s="25">
        <f>IF(P1803="En programación Frcst.",VLOOKUP(L1803,Meses!$A$1:$H$14,3+HLOOKUP(Cronograma!J1803,Meses!$D$1:$G$2,2,FALSE),FALSE),
IF(P1803="En programación",M1803,""))</f>
        <v>45400</v>
      </c>
      <c r="S1803" s="25" t="str">
        <f t="shared" si="87"/>
        <v>2024/4</v>
      </c>
      <c r="T1803" s="21">
        <f>IFERROR(
(VLOOKUP(MONTH(R1803),Meses!$B$3:$C$14,2,FALSE)-DAY(R1803))/VLOOKUP(MONTH(R1803),Meses!$B$3:$C$14,2,FALSE)*U1803,
"")</f>
        <v>832.40000000000009</v>
      </c>
      <c r="U1803" s="22">
        <f t="shared" si="85"/>
        <v>2081</v>
      </c>
    </row>
    <row r="1804" spans="1:21" ht="47.4" thickBot="1" x14ac:dyDescent="0.6">
      <c r="A1804" s="10" t="s">
        <v>2347</v>
      </c>
      <c r="B1804" s="10" t="s">
        <v>2364</v>
      </c>
      <c r="C1804" s="12"/>
      <c r="D1804" s="10" t="s">
        <v>171</v>
      </c>
      <c r="E1804" s="10" t="s">
        <v>14</v>
      </c>
      <c r="F1804" s="10">
        <v>13856</v>
      </c>
      <c r="G1804" s="10" t="s">
        <v>15</v>
      </c>
      <c r="H1804" s="10" t="s">
        <v>2917</v>
      </c>
      <c r="I1804" s="10" t="s">
        <v>66</v>
      </c>
      <c r="J1804" s="10" t="s">
        <v>282</v>
      </c>
      <c r="K1804" s="10" t="s">
        <v>3326</v>
      </c>
      <c r="L1804" s="10" t="s">
        <v>2293</v>
      </c>
      <c r="M1804" s="12">
        <v>45414</v>
      </c>
      <c r="N1804" s="10" t="s">
        <v>15</v>
      </c>
      <c r="O1804" s="10" t="s">
        <v>2057</v>
      </c>
      <c r="P1804" s="25" t="str">
        <f>IFERROR(
IF(OR(O1804="anulado",O1804="stand by"),CONCATENATE(O1804,": ",H1804),
IF(OR(YEAR(M1804)=2022,YEAR(M1804)=2023),CONCATENATE("Se activó en ",YEAR(M1804)),
IF(AND(OR(O1804="En proceso",O1804="facturando"),AND(J1804="-",M1804="")),"Por revisar",
IF(M1804="",IF(J1804="NUEVAS",CONCATENATE("Estado: ",O1804,", ",J1804),
IF(L1804=Meses!$A$3,"Por revisar",
IF(H1804="","Sin registro","En programación Frcst."))),"En programación")))),
"Error")</f>
        <v>En programación</v>
      </c>
      <c r="Q1804" s="9" t="str">
        <f t="shared" si="84"/>
        <v/>
      </c>
      <c r="R1804" s="25">
        <f>IF(P1804="En programación Frcst.",VLOOKUP(L1804,Meses!$A$1:$H$14,3+HLOOKUP(Cronograma!J1804,Meses!$D$1:$G$2,2,FALSE),FALSE),
IF(P1804="En programación",M1804,""))</f>
        <v>45414</v>
      </c>
      <c r="S1804" s="25" t="str">
        <f t="shared" si="87"/>
        <v>2024/5</v>
      </c>
      <c r="T1804" s="21">
        <f>IFERROR(
(VLOOKUP(MONTH(R1804),Meses!$B$3:$C$14,2,FALSE)-DAY(R1804))/VLOOKUP(MONTH(R1804),Meses!$B$3:$C$14,2,FALSE)*U1804,
"")</f>
        <v>12962.064516129032</v>
      </c>
      <c r="U1804" s="22">
        <f t="shared" si="85"/>
        <v>13856</v>
      </c>
    </row>
    <row r="1805" spans="1:21" ht="47.4" hidden="1" thickBot="1" x14ac:dyDescent="0.6">
      <c r="A1805" s="10" t="s">
        <v>2347</v>
      </c>
      <c r="B1805" s="10" t="s">
        <v>2365</v>
      </c>
      <c r="C1805" s="12"/>
      <c r="D1805" s="10" t="s">
        <v>298</v>
      </c>
      <c r="E1805" s="10" t="s">
        <v>298</v>
      </c>
      <c r="F1805" s="10">
        <v>4359</v>
      </c>
      <c r="G1805" s="10" t="s">
        <v>15</v>
      </c>
      <c r="H1805" s="10" t="s">
        <v>2917</v>
      </c>
      <c r="I1805" s="10" t="s">
        <v>43</v>
      </c>
      <c r="J1805" s="10" t="s">
        <v>143</v>
      </c>
      <c r="K1805" s="10" t="s">
        <v>2895</v>
      </c>
      <c r="L1805" s="10" t="s">
        <v>2292</v>
      </c>
      <c r="M1805" s="12">
        <v>45400</v>
      </c>
      <c r="N1805" s="10" t="s">
        <v>15</v>
      </c>
      <c r="O1805" s="10" t="s">
        <v>2057</v>
      </c>
      <c r="P1805" s="25" t="str">
        <f>IFERROR(
IF(OR(O1805="anulado",O1805="stand by"),CONCATENATE(O1805,": ",H1805),
IF(OR(YEAR(M1805)=2022,YEAR(M1805)=2023),CONCATENATE("Se activó en ",YEAR(M1805)),
IF(AND(OR(O1805="En proceso",O1805="facturando"),AND(J1805="-",M1805="")),"Por revisar",
IF(M1805="",IF(J1805="NUEVAS",CONCATENATE("Estado: ",O1805,", ",J1805),
IF(L1805=Meses!$A$3,"Por revisar",
IF(H1805="","Sin registro","En programación Frcst."))),"En programación")))),
"Error")</f>
        <v>En programación</v>
      </c>
      <c r="Q1805" s="9" t="str">
        <f t="shared" si="84"/>
        <v/>
      </c>
      <c r="R1805" s="25">
        <f>IF(P1805="En programación Frcst.",VLOOKUP(L1805,Meses!$A$1:$H$14,3+HLOOKUP(Cronograma!J1805,Meses!$D$1:$G$2,2,FALSE),FALSE),
IF(P1805="En programación",M1805,""))</f>
        <v>45400</v>
      </c>
      <c r="S1805" s="25" t="str">
        <f t="shared" si="87"/>
        <v>2024/4</v>
      </c>
      <c r="T1805" s="21">
        <f>IFERROR(
(VLOOKUP(MONTH(R1805),Meses!$B$3:$C$14,2,FALSE)-DAY(R1805))/VLOOKUP(MONTH(R1805),Meses!$B$3:$C$14,2,FALSE)*U1805,
"")</f>
        <v>1743.6000000000001</v>
      </c>
      <c r="U1805" s="22">
        <f t="shared" si="85"/>
        <v>4359</v>
      </c>
    </row>
    <row r="1806" spans="1:21" ht="47.4" hidden="1" thickBot="1" x14ac:dyDescent="0.6">
      <c r="A1806" s="10" t="s">
        <v>2347</v>
      </c>
      <c r="B1806" s="10" t="s">
        <v>2366</v>
      </c>
      <c r="C1806" s="12"/>
      <c r="D1806" s="10" t="s">
        <v>74</v>
      </c>
      <c r="E1806" s="10" t="s">
        <v>74</v>
      </c>
      <c r="F1806" s="10">
        <v>1970</v>
      </c>
      <c r="G1806" s="10" t="s">
        <v>15</v>
      </c>
      <c r="H1806" s="10" t="s">
        <v>2916</v>
      </c>
      <c r="I1806" s="10" t="s">
        <v>43</v>
      </c>
      <c r="J1806" s="10" t="s">
        <v>143</v>
      </c>
      <c r="K1806" s="10" t="s">
        <v>2895</v>
      </c>
      <c r="L1806" s="10" t="s">
        <v>2292</v>
      </c>
      <c r="M1806" s="12">
        <v>45400</v>
      </c>
      <c r="N1806" s="10" t="s">
        <v>15</v>
      </c>
      <c r="O1806" s="10" t="s">
        <v>2057</v>
      </c>
      <c r="P1806" s="25" t="str">
        <f>IFERROR(
IF(OR(O1806="anulado",O1806="stand by"),CONCATENATE(O1806,": ",H1806),
IF(OR(YEAR(M1806)=2022,YEAR(M1806)=2023),CONCATENATE("Se activó en ",YEAR(M1806)),
IF(AND(OR(O1806="En proceso",O1806="facturando"),AND(J1806="-",M1806="")),"Por revisar",
IF(M1806="",IF(J1806="NUEVAS",CONCATENATE("Estado: ",O1806,", ",J1806),
IF(L1806=Meses!$A$3,"Por revisar",
IF(H1806="","Sin registro","En programación Frcst."))),"En programación")))),
"Error")</f>
        <v>En programación</v>
      </c>
      <c r="Q1806" s="9" t="str">
        <f t="shared" si="84"/>
        <v/>
      </c>
      <c r="R1806" s="25">
        <f>IF(P1806="En programación Frcst.",VLOOKUP(L1806,Meses!$A$1:$H$14,3+HLOOKUP(Cronograma!J1806,Meses!$D$1:$G$2,2,FALSE),FALSE),
IF(P1806="En programación",M1806,""))</f>
        <v>45400</v>
      </c>
      <c r="S1806" s="25" t="str">
        <f t="shared" si="87"/>
        <v>2024/4</v>
      </c>
      <c r="T1806" s="21">
        <f>IFERROR(
(VLOOKUP(MONTH(R1806),Meses!$B$3:$C$14,2,FALSE)-DAY(R1806))/VLOOKUP(MONTH(R1806),Meses!$B$3:$C$14,2,FALSE)*U1806,
"")</f>
        <v>788</v>
      </c>
      <c r="U1806" s="22">
        <f t="shared" si="85"/>
        <v>1970</v>
      </c>
    </row>
    <row r="1807" spans="1:21" ht="47.4" hidden="1" thickBot="1" x14ac:dyDescent="0.6">
      <c r="A1807" s="10" t="s">
        <v>2347</v>
      </c>
      <c r="B1807" s="10" t="s">
        <v>2367</v>
      </c>
      <c r="C1807" s="12"/>
      <c r="D1807" s="10" t="s">
        <v>14</v>
      </c>
      <c r="E1807" s="10" t="s">
        <v>14</v>
      </c>
      <c r="F1807" s="10">
        <v>1835</v>
      </c>
      <c r="G1807" s="10" t="s">
        <v>15</v>
      </c>
      <c r="H1807" s="10" t="s">
        <v>2917</v>
      </c>
      <c r="I1807" s="10" t="s">
        <v>18</v>
      </c>
      <c r="J1807" s="10" t="s">
        <v>277</v>
      </c>
      <c r="K1807" s="10" t="s">
        <v>3327</v>
      </c>
      <c r="L1807" s="10" t="s">
        <v>2292</v>
      </c>
      <c r="M1807" s="12">
        <v>45400</v>
      </c>
      <c r="N1807" s="10" t="s">
        <v>15</v>
      </c>
      <c r="O1807" s="10" t="s">
        <v>2057</v>
      </c>
      <c r="P1807" s="25" t="str">
        <f>IFERROR(
IF(OR(O1807="anulado",O1807="stand by"),CONCATENATE(O1807,": ",H1807),
IF(OR(YEAR(M1807)=2022,YEAR(M1807)=2023),CONCATENATE("Se activó en ",YEAR(M1807)),
IF(AND(OR(O1807="En proceso",O1807="facturando"),AND(J1807="-",M1807="")),"Por revisar",
IF(M1807="",IF(J1807="NUEVAS",CONCATENATE("Estado: ",O1807,", ",J1807),
IF(L1807=Meses!$A$3,"Por revisar",
IF(H1807="","Sin registro","En programación Frcst."))),"En programación")))),
"Error")</f>
        <v>En programación</v>
      </c>
      <c r="Q1807" s="9" t="str">
        <f t="shared" si="84"/>
        <v/>
      </c>
      <c r="R1807" s="25">
        <f>IF(P1807="En programación Frcst.",VLOOKUP(L1807,Meses!$A$1:$H$14,3+HLOOKUP(Cronograma!J1807,Meses!$D$1:$G$2,2,FALSE),FALSE),
IF(P1807="En programación",M1807,""))</f>
        <v>45400</v>
      </c>
      <c r="S1807" s="25" t="str">
        <f t="shared" si="87"/>
        <v>2024/4</v>
      </c>
      <c r="T1807" s="21">
        <f>IFERROR(
(VLOOKUP(MONTH(R1807),Meses!$B$3:$C$14,2,FALSE)-DAY(R1807))/VLOOKUP(MONTH(R1807),Meses!$B$3:$C$14,2,FALSE)*U1807,
"")</f>
        <v>734</v>
      </c>
      <c r="U1807" s="22">
        <f t="shared" si="85"/>
        <v>1835</v>
      </c>
    </row>
    <row r="1808" spans="1:21" ht="47.4" thickBot="1" x14ac:dyDescent="0.6">
      <c r="A1808" s="10" t="s">
        <v>2347</v>
      </c>
      <c r="B1808" s="10" t="s">
        <v>2368</v>
      </c>
      <c r="C1808" s="12"/>
      <c r="D1808" s="10" t="s">
        <v>171</v>
      </c>
      <c r="E1808" s="10" t="s">
        <v>14</v>
      </c>
      <c r="F1808" s="10">
        <v>886</v>
      </c>
      <c r="G1808" s="10" t="s">
        <v>15</v>
      </c>
      <c r="H1808" s="10" t="s">
        <v>2917</v>
      </c>
      <c r="I1808" s="10" t="s">
        <v>66</v>
      </c>
      <c r="J1808" s="10" t="s">
        <v>282</v>
      </c>
      <c r="K1808" s="10" t="s">
        <v>3326</v>
      </c>
      <c r="L1808" s="10" t="s">
        <v>2293</v>
      </c>
      <c r="M1808" s="12">
        <v>45414</v>
      </c>
      <c r="N1808" s="10" t="s">
        <v>15</v>
      </c>
      <c r="O1808" s="10" t="s">
        <v>2057</v>
      </c>
      <c r="P1808" s="25" t="str">
        <f>IFERROR(
IF(OR(O1808="anulado",O1808="stand by"),CONCATENATE(O1808,": ",H1808),
IF(OR(YEAR(M1808)=2022,YEAR(M1808)=2023),CONCATENATE("Se activó en ",YEAR(M1808)),
IF(AND(OR(O1808="En proceso",O1808="facturando"),AND(J1808="-",M1808="")),"Por revisar",
IF(M1808="",IF(J1808="NUEVAS",CONCATENATE("Estado: ",O1808,", ",J1808),
IF(L1808=Meses!$A$3,"Por revisar",
IF(H1808="","Sin registro","En programación Frcst."))),"En programación")))),
"Error")</f>
        <v>En programación</v>
      </c>
      <c r="Q1808" s="9" t="str">
        <f t="shared" si="84"/>
        <v/>
      </c>
      <c r="R1808" s="25">
        <f>IF(P1808="En programación Frcst.",VLOOKUP(L1808,Meses!$A$1:$H$14,3+HLOOKUP(Cronograma!J1808,Meses!$D$1:$G$2,2,FALSE),FALSE),
IF(P1808="En programación",M1808,""))</f>
        <v>45414</v>
      </c>
      <c r="S1808" s="25" t="str">
        <f t="shared" si="87"/>
        <v>2024/5</v>
      </c>
      <c r="T1808" s="21">
        <f>IFERROR(
(VLOOKUP(MONTH(R1808),Meses!$B$3:$C$14,2,FALSE)-DAY(R1808))/VLOOKUP(MONTH(R1808),Meses!$B$3:$C$14,2,FALSE)*U1808,
"")</f>
        <v>828.83870967741927</v>
      </c>
      <c r="U1808" s="22">
        <f t="shared" si="85"/>
        <v>886</v>
      </c>
    </row>
    <row r="1809" spans="1:21" ht="47.4" hidden="1" thickBot="1" x14ac:dyDescent="0.6">
      <c r="A1809" s="10" t="s">
        <v>2347</v>
      </c>
      <c r="B1809" s="10" t="s">
        <v>2369</v>
      </c>
      <c r="C1809" s="12"/>
      <c r="D1809" s="10" t="s">
        <v>14</v>
      </c>
      <c r="E1809" s="10" t="s">
        <v>14</v>
      </c>
      <c r="F1809" s="10">
        <v>4361</v>
      </c>
      <c r="G1809" s="10" t="s">
        <v>15</v>
      </c>
      <c r="H1809" s="10" t="s">
        <v>2917</v>
      </c>
      <c r="I1809" s="10" t="s">
        <v>18</v>
      </c>
      <c r="J1809" s="10" t="s">
        <v>277</v>
      </c>
      <c r="K1809" s="10" t="s">
        <v>3327</v>
      </c>
      <c r="L1809" s="10" t="s">
        <v>2292</v>
      </c>
      <c r="M1809" s="12">
        <v>45400</v>
      </c>
      <c r="N1809" s="10" t="s">
        <v>15</v>
      </c>
      <c r="O1809" s="10" t="s">
        <v>2057</v>
      </c>
      <c r="P1809" s="25" t="str">
        <f>IFERROR(
IF(OR(O1809="anulado",O1809="stand by"),CONCATENATE(O1809,": ",H1809),
IF(OR(YEAR(M1809)=2022,YEAR(M1809)=2023),CONCATENATE("Se activó en ",YEAR(M1809)),
IF(AND(OR(O1809="En proceso",O1809="facturando"),AND(J1809="-",M1809="")),"Por revisar",
IF(M1809="",IF(J1809="NUEVAS",CONCATENATE("Estado: ",O1809,", ",J1809),
IF(L1809=Meses!$A$3,"Por revisar",
IF(H1809="","Sin registro","En programación Frcst."))),"En programación")))),
"Error")</f>
        <v>En programación</v>
      </c>
      <c r="Q1809" s="9" t="str">
        <f t="shared" si="84"/>
        <v/>
      </c>
      <c r="R1809" s="25">
        <f>IF(P1809="En programación Frcst.",VLOOKUP(L1809,Meses!$A$1:$H$14,3+HLOOKUP(Cronograma!J1809,Meses!$D$1:$G$2,2,FALSE),FALSE),
IF(P1809="En programación",M1809,""))</f>
        <v>45400</v>
      </c>
      <c r="S1809" s="25" t="str">
        <f t="shared" si="87"/>
        <v>2024/4</v>
      </c>
      <c r="T1809" s="21">
        <f>IFERROR(
(VLOOKUP(MONTH(R1809),Meses!$B$3:$C$14,2,FALSE)-DAY(R1809))/VLOOKUP(MONTH(R1809),Meses!$B$3:$C$14,2,FALSE)*U1809,
"")</f>
        <v>1744.4</v>
      </c>
      <c r="U1809" s="22">
        <f t="shared" si="85"/>
        <v>4361</v>
      </c>
    </row>
    <row r="1810" spans="1:21" ht="47.4" hidden="1" thickBot="1" x14ac:dyDescent="0.6">
      <c r="A1810" s="10" t="s">
        <v>2347</v>
      </c>
      <c r="B1810" s="10" t="s">
        <v>2370</v>
      </c>
      <c r="C1810" s="12"/>
      <c r="D1810" s="10" t="s">
        <v>14</v>
      </c>
      <c r="E1810" s="10" t="s">
        <v>14</v>
      </c>
      <c r="F1810" s="10">
        <v>4801</v>
      </c>
      <c r="G1810" s="10" t="s">
        <v>15</v>
      </c>
      <c r="H1810" s="10" t="s">
        <v>2917</v>
      </c>
      <c r="I1810" s="10" t="s">
        <v>18</v>
      </c>
      <c r="J1810" s="10" t="s">
        <v>277</v>
      </c>
      <c r="K1810" s="10" t="s">
        <v>3327</v>
      </c>
      <c r="L1810" s="10" t="s">
        <v>2292</v>
      </c>
      <c r="M1810" s="12">
        <v>45400</v>
      </c>
      <c r="N1810" s="10" t="s">
        <v>15</v>
      </c>
      <c r="O1810" s="10" t="s">
        <v>2057</v>
      </c>
      <c r="P1810" s="25" t="str">
        <f>IFERROR(
IF(OR(O1810="anulado",O1810="stand by"),CONCATENATE(O1810,": ",H1810),
IF(OR(YEAR(M1810)=2022,YEAR(M1810)=2023),CONCATENATE("Se activó en ",YEAR(M1810)),
IF(AND(OR(O1810="En proceso",O1810="facturando"),AND(J1810="-",M1810="")),"Por revisar",
IF(M1810="",IF(J1810="NUEVAS",CONCATENATE("Estado: ",O1810,", ",J1810),
IF(L1810=Meses!$A$3,"Por revisar",
IF(H1810="","Sin registro","En programación Frcst."))),"En programación")))),
"Error")</f>
        <v>En programación</v>
      </c>
      <c r="Q1810" s="9" t="str">
        <f t="shared" si="84"/>
        <v/>
      </c>
      <c r="R1810" s="25">
        <f>IF(P1810="En programación Frcst.",VLOOKUP(L1810,Meses!$A$1:$H$14,3+HLOOKUP(Cronograma!J1810,Meses!$D$1:$G$2,2,FALSE),FALSE),
IF(P1810="En programación",M1810,""))</f>
        <v>45400</v>
      </c>
      <c r="S1810" s="25" t="str">
        <f t="shared" si="87"/>
        <v>2024/4</v>
      </c>
      <c r="T1810" s="21">
        <f>IFERROR(
(VLOOKUP(MONTH(R1810),Meses!$B$3:$C$14,2,FALSE)-DAY(R1810))/VLOOKUP(MONTH(R1810),Meses!$B$3:$C$14,2,FALSE)*U1810,
"")</f>
        <v>1920.4</v>
      </c>
      <c r="U1810" s="22">
        <f t="shared" si="85"/>
        <v>4801</v>
      </c>
    </row>
    <row r="1811" spans="1:21" ht="47.4" hidden="1" thickBot="1" x14ac:dyDescent="0.6">
      <c r="A1811" s="10" t="s">
        <v>2347</v>
      </c>
      <c r="B1811" s="10" t="s">
        <v>2371</v>
      </c>
      <c r="C1811" s="12"/>
      <c r="D1811" s="10" t="s">
        <v>14</v>
      </c>
      <c r="E1811" s="10" t="s">
        <v>14</v>
      </c>
      <c r="F1811" s="10">
        <v>8160</v>
      </c>
      <c r="G1811" s="10" t="s">
        <v>15</v>
      </c>
      <c r="H1811" s="10" t="s">
        <v>2917</v>
      </c>
      <c r="I1811" s="10" t="s">
        <v>18</v>
      </c>
      <c r="J1811" s="10" t="s">
        <v>277</v>
      </c>
      <c r="K1811" s="10" t="s">
        <v>3327</v>
      </c>
      <c r="L1811" s="10" t="s">
        <v>2292</v>
      </c>
      <c r="M1811" s="12">
        <v>45400</v>
      </c>
      <c r="N1811" s="10" t="s">
        <v>15</v>
      </c>
      <c r="O1811" s="10" t="s">
        <v>2057</v>
      </c>
      <c r="P1811" s="25" t="str">
        <f>IFERROR(
IF(OR(O1811="anulado",O1811="stand by"),CONCATENATE(O1811,": ",H1811),
IF(OR(YEAR(M1811)=2022,YEAR(M1811)=2023),CONCATENATE("Se activó en ",YEAR(M1811)),
IF(AND(OR(O1811="En proceso",O1811="facturando"),AND(J1811="-",M1811="")),"Por revisar",
IF(M1811="",IF(J1811="NUEVAS",CONCATENATE("Estado: ",O1811,", ",J1811),
IF(L1811=Meses!$A$3,"Por revisar",
IF(H1811="","Sin registro","En programación Frcst."))),"En programación")))),
"Error")</f>
        <v>En programación</v>
      </c>
      <c r="Q1811" s="9" t="str">
        <f t="shared" si="84"/>
        <v/>
      </c>
      <c r="R1811" s="25">
        <f>IF(P1811="En programación Frcst.",VLOOKUP(L1811,Meses!$A$1:$H$14,3+HLOOKUP(Cronograma!J1811,Meses!$D$1:$G$2,2,FALSE),FALSE),
IF(P1811="En programación",M1811,""))</f>
        <v>45400</v>
      </c>
      <c r="S1811" s="25" t="str">
        <f t="shared" si="87"/>
        <v>2024/4</v>
      </c>
      <c r="T1811" s="21">
        <f>IFERROR(
(VLOOKUP(MONTH(R1811),Meses!$B$3:$C$14,2,FALSE)-DAY(R1811))/VLOOKUP(MONTH(R1811),Meses!$B$3:$C$14,2,FALSE)*U1811,
"")</f>
        <v>3264</v>
      </c>
      <c r="U1811" s="22">
        <f t="shared" si="85"/>
        <v>8160</v>
      </c>
    </row>
    <row r="1812" spans="1:21" ht="31.8" hidden="1" thickBot="1" x14ac:dyDescent="0.6">
      <c r="A1812" s="10" t="s">
        <v>1231</v>
      </c>
      <c r="B1812" s="10" t="s">
        <v>2372</v>
      </c>
      <c r="C1812" s="12"/>
      <c r="D1812" s="10" t="s">
        <v>14</v>
      </c>
      <c r="E1812" s="10" t="s">
        <v>14</v>
      </c>
      <c r="F1812" s="10">
        <v>1591</v>
      </c>
      <c r="G1812" s="10" t="s">
        <v>15</v>
      </c>
      <c r="H1812" s="10" t="s">
        <v>2917</v>
      </c>
      <c r="I1812" s="10" t="s">
        <v>18</v>
      </c>
      <c r="J1812" s="10" t="s">
        <v>277</v>
      </c>
      <c r="K1812" s="10" t="s">
        <v>3310</v>
      </c>
      <c r="L1812" s="10" t="s">
        <v>1120</v>
      </c>
      <c r="M1812" s="12">
        <v>45372</v>
      </c>
      <c r="N1812" s="10" t="s">
        <v>20</v>
      </c>
      <c r="O1812" s="10" t="s">
        <v>2057</v>
      </c>
      <c r="P1812" s="25" t="str">
        <f>IFERROR(
IF(OR(O1812="anulado",O1812="stand by"),CONCATENATE(O1812,": ",H1812),
IF(OR(YEAR(M1812)=2022,YEAR(M1812)=2023),CONCATENATE("Se activó en ",YEAR(M1812)),
IF(AND(OR(O1812="En proceso",O1812="facturando"),AND(J1812="-",M1812="")),"Por revisar",
IF(M1812="",IF(J1812="NUEVAS",CONCATENATE("Estado: ",O1812,", ",J1812),
IF(L1812=Meses!$A$3,"Por revisar",
IF(H1812="","Sin registro","En programación Frcst."))),"En programación")))),
"Error")</f>
        <v>En programación</v>
      </c>
      <c r="Q1812" s="9" t="str">
        <f t="shared" si="84"/>
        <v/>
      </c>
      <c r="R1812" s="25">
        <f>IF(P1812="En programación Frcst.",VLOOKUP(L1812,Meses!$A$1:$H$14,3+HLOOKUP(Cronograma!J1812,Meses!$D$1:$G$2,2,FALSE),FALSE),
IF(P1812="En programación",M1812,""))</f>
        <v>45372</v>
      </c>
      <c r="S1812" s="25" t="str">
        <f t="shared" si="87"/>
        <v>2024/3</v>
      </c>
      <c r="T1812" s="21">
        <f>IFERROR(
(VLOOKUP(MONTH(R1812),Meses!$B$3:$C$14,2,FALSE)-DAY(R1812))/VLOOKUP(MONTH(R1812),Meses!$B$3:$C$14,2,FALSE)*U1812,
"")</f>
        <v>513.22580645161293</v>
      </c>
      <c r="U1812" s="22">
        <f t="shared" si="85"/>
        <v>1591</v>
      </c>
    </row>
    <row r="1813" spans="1:21" ht="47.4" hidden="1" thickBot="1" x14ac:dyDescent="0.6">
      <c r="A1813" s="10" t="s">
        <v>2347</v>
      </c>
      <c r="B1813" s="10" t="s">
        <v>2373</v>
      </c>
      <c r="C1813" s="12"/>
      <c r="D1813" s="10" t="s">
        <v>14</v>
      </c>
      <c r="E1813" s="10" t="s">
        <v>14</v>
      </c>
      <c r="F1813" s="10">
        <v>3553</v>
      </c>
      <c r="G1813" s="10" t="s">
        <v>15</v>
      </c>
      <c r="H1813" s="10" t="s">
        <v>2917</v>
      </c>
      <c r="I1813" s="10" t="s">
        <v>18</v>
      </c>
      <c r="J1813" s="10" t="s">
        <v>277</v>
      </c>
      <c r="K1813" s="10" t="s">
        <v>3327</v>
      </c>
      <c r="L1813" s="10" t="s">
        <v>2292</v>
      </c>
      <c r="M1813" s="12">
        <v>45400</v>
      </c>
      <c r="N1813" s="10" t="s">
        <v>15</v>
      </c>
      <c r="O1813" s="10" t="s">
        <v>2057</v>
      </c>
      <c r="P1813" s="25" t="str">
        <f>IFERROR(
IF(OR(O1813="anulado",O1813="stand by"),CONCATENATE(O1813,": ",H1813),
IF(OR(YEAR(M1813)=2022,YEAR(M1813)=2023),CONCATENATE("Se activó en ",YEAR(M1813)),
IF(AND(OR(O1813="En proceso",O1813="facturando"),AND(J1813="-",M1813="")),"Por revisar",
IF(M1813="",IF(J1813="NUEVAS",CONCATENATE("Estado: ",O1813,", ",J1813),
IF(L1813=Meses!$A$3,"Por revisar",
IF(H1813="","Sin registro","En programación Frcst."))),"En programación")))),
"Error")</f>
        <v>En programación</v>
      </c>
      <c r="Q1813" s="9" t="str">
        <f t="shared" si="84"/>
        <v/>
      </c>
      <c r="R1813" s="25">
        <f>IF(P1813="En programación Frcst.",VLOOKUP(L1813,Meses!$A$1:$H$14,3+HLOOKUP(Cronograma!J1813,Meses!$D$1:$G$2,2,FALSE),FALSE),
IF(P1813="En programación",M1813,""))</f>
        <v>45400</v>
      </c>
      <c r="S1813" s="25" t="str">
        <f t="shared" si="87"/>
        <v>2024/4</v>
      </c>
      <c r="T1813" s="21">
        <f>IFERROR(
(VLOOKUP(MONTH(R1813),Meses!$B$3:$C$14,2,FALSE)-DAY(R1813))/VLOOKUP(MONTH(R1813),Meses!$B$3:$C$14,2,FALSE)*U1813,
"")</f>
        <v>1421.2</v>
      </c>
      <c r="U1813" s="22">
        <f t="shared" si="85"/>
        <v>3553</v>
      </c>
    </row>
    <row r="1814" spans="1:21" ht="47.4" hidden="1" thickBot="1" x14ac:dyDescent="0.6">
      <c r="A1814" s="10" t="s">
        <v>2347</v>
      </c>
      <c r="B1814" s="10" t="s">
        <v>2374</v>
      </c>
      <c r="C1814" s="12"/>
      <c r="D1814" s="10" t="s">
        <v>233</v>
      </c>
      <c r="E1814" s="10" t="s">
        <v>233</v>
      </c>
      <c r="F1814" s="10">
        <v>3071</v>
      </c>
      <c r="G1814" s="10" t="s">
        <v>15</v>
      </c>
      <c r="H1814" s="10" t="s">
        <v>2917</v>
      </c>
      <c r="I1814" s="10" t="s">
        <v>18</v>
      </c>
      <c r="J1814" s="10" t="s">
        <v>143</v>
      </c>
      <c r="K1814" s="10" t="s">
        <v>2895</v>
      </c>
      <c r="L1814" s="10" t="s">
        <v>2292</v>
      </c>
      <c r="M1814" s="12">
        <v>45400</v>
      </c>
      <c r="N1814" s="10" t="s">
        <v>15</v>
      </c>
      <c r="O1814" s="10" t="s">
        <v>2057</v>
      </c>
      <c r="P1814" s="25" t="str">
        <f>IFERROR(
IF(OR(O1814="anulado",O1814="stand by"),CONCATENATE(O1814,": ",H1814),
IF(OR(YEAR(M1814)=2022,YEAR(M1814)=2023),CONCATENATE("Se activó en ",YEAR(M1814)),
IF(AND(OR(O1814="En proceso",O1814="facturando"),AND(J1814="-",M1814="")),"Por revisar",
IF(M1814="",IF(J1814="NUEVAS",CONCATENATE("Estado: ",O1814,", ",J1814),
IF(L1814=Meses!$A$3,"Por revisar",
IF(H1814="","Sin registro","En programación Frcst."))),"En programación")))),
"Error")</f>
        <v>En programación</v>
      </c>
      <c r="Q1814" s="9" t="str">
        <f t="shared" si="84"/>
        <v/>
      </c>
      <c r="R1814" s="25">
        <f>IF(P1814="En programación Frcst.",VLOOKUP(L1814,Meses!$A$1:$H$14,3+HLOOKUP(Cronograma!J1814,Meses!$D$1:$G$2,2,FALSE),FALSE),
IF(P1814="En programación",M1814,""))</f>
        <v>45400</v>
      </c>
      <c r="S1814" s="25" t="str">
        <f t="shared" si="87"/>
        <v>2024/4</v>
      </c>
      <c r="T1814" s="21">
        <f>IFERROR(
(VLOOKUP(MONTH(R1814),Meses!$B$3:$C$14,2,FALSE)-DAY(R1814))/VLOOKUP(MONTH(R1814),Meses!$B$3:$C$14,2,FALSE)*U1814,
"")</f>
        <v>1228.4000000000001</v>
      </c>
      <c r="U1814" s="22">
        <f t="shared" si="85"/>
        <v>3071</v>
      </c>
    </row>
    <row r="1815" spans="1:21" ht="47.4" hidden="1" thickBot="1" x14ac:dyDescent="0.6">
      <c r="A1815" s="10" t="s">
        <v>2347</v>
      </c>
      <c r="B1815" s="10" t="s">
        <v>2375</v>
      </c>
      <c r="C1815" s="12"/>
      <c r="D1815" s="10" t="s">
        <v>233</v>
      </c>
      <c r="E1815" s="10" t="s">
        <v>233</v>
      </c>
      <c r="F1815" s="10">
        <v>2807</v>
      </c>
      <c r="G1815" s="10" t="s">
        <v>15</v>
      </c>
      <c r="H1815" s="10" t="s">
        <v>2917</v>
      </c>
      <c r="I1815" s="10" t="s">
        <v>18</v>
      </c>
      <c r="J1815" s="10" t="s">
        <v>143</v>
      </c>
      <c r="K1815" s="10" t="s">
        <v>2895</v>
      </c>
      <c r="L1815" s="10" t="s">
        <v>2292</v>
      </c>
      <c r="M1815" s="12">
        <v>45400</v>
      </c>
      <c r="N1815" s="10" t="s">
        <v>15</v>
      </c>
      <c r="O1815" s="10" t="s">
        <v>2057</v>
      </c>
      <c r="P1815" s="25" t="str">
        <f>IFERROR(
IF(OR(O1815="anulado",O1815="stand by"),CONCATENATE(O1815,": ",H1815),
IF(OR(YEAR(M1815)=2022,YEAR(M1815)=2023),CONCATENATE("Se activó en ",YEAR(M1815)),
IF(AND(OR(O1815="En proceso",O1815="facturando"),AND(J1815="-",M1815="")),"Por revisar",
IF(M1815="",IF(J1815="NUEVAS",CONCATENATE("Estado: ",O1815,", ",J1815),
IF(L1815=Meses!$A$3,"Por revisar",
IF(H1815="","Sin registro","En programación Frcst."))),"En programación")))),
"Error")</f>
        <v>En programación</v>
      </c>
      <c r="Q1815" s="9" t="str">
        <f t="shared" si="84"/>
        <v/>
      </c>
      <c r="R1815" s="25">
        <f>IF(P1815="En programación Frcst.",VLOOKUP(L1815,Meses!$A$1:$H$14,3+HLOOKUP(Cronograma!J1815,Meses!$D$1:$G$2,2,FALSE),FALSE),
IF(P1815="En programación",M1815,""))</f>
        <v>45400</v>
      </c>
      <c r="S1815" s="25" t="str">
        <f t="shared" si="87"/>
        <v>2024/4</v>
      </c>
      <c r="T1815" s="21">
        <f>IFERROR(
(VLOOKUP(MONTH(R1815),Meses!$B$3:$C$14,2,FALSE)-DAY(R1815))/VLOOKUP(MONTH(R1815),Meses!$B$3:$C$14,2,FALSE)*U1815,
"")</f>
        <v>1122.8</v>
      </c>
      <c r="U1815" s="22">
        <f t="shared" si="85"/>
        <v>2807</v>
      </c>
    </row>
    <row r="1816" spans="1:21" ht="47.4" hidden="1" thickBot="1" x14ac:dyDescent="0.6">
      <c r="A1816" s="10" t="s">
        <v>2347</v>
      </c>
      <c r="B1816" s="10" t="s">
        <v>2376</v>
      </c>
      <c r="C1816" s="12"/>
      <c r="D1816" s="10" t="s">
        <v>14</v>
      </c>
      <c r="E1816" s="10" t="s">
        <v>14</v>
      </c>
      <c r="F1816" s="10">
        <v>3645</v>
      </c>
      <c r="G1816" s="10" t="s">
        <v>15</v>
      </c>
      <c r="H1816" s="10" t="s">
        <v>2917</v>
      </c>
      <c r="I1816" s="10" t="s">
        <v>18</v>
      </c>
      <c r="J1816" s="10" t="s">
        <v>277</v>
      </c>
      <c r="K1816" s="10" t="s">
        <v>3327</v>
      </c>
      <c r="L1816" s="10" t="s">
        <v>2292</v>
      </c>
      <c r="M1816" s="12">
        <v>45400</v>
      </c>
      <c r="N1816" s="10" t="s">
        <v>15</v>
      </c>
      <c r="O1816" s="10" t="s">
        <v>2057</v>
      </c>
      <c r="P1816" s="25" t="str">
        <f>IFERROR(
IF(OR(O1816="anulado",O1816="stand by"),CONCATENATE(O1816,": ",H1816),
IF(OR(YEAR(M1816)=2022,YEAR(M1816)=2023),CONCATENATE("Se activó en ",YEAR(M1816)),
IF(AND(OR(O1816="En proceso",O1816="facturando"),AND(J1816="-",M1816="")),"Por revisar",
IF(M1816="",IF(J1816="NUEVAS",CONCATENATE("Estado: ",O1816,", ",J1816),
IF(L1816=Meses!$A$3,"Por revisar",
IF(H1816="","Sin registro","En programación Frcst."))),"En programación")))),
"Error")</f>
        <v>En programación</v>
      </c>
      <c r="Q1816" s="9" t="str">
        <f t="shared" si="84"/>
        <v/>
      </c>
      <c r="R1816" s="25">
        <f>IF(P1816="En programación Frcst.",VLOOKUP(L1816,Meses!$A$1:$H$14,3+HLOOKUP(Cronograma!J1816,Meses!$D$1:$G$2,2,FALSE),FALSE),
IF(P1816="En programación",M1816,""))</f>
        <v>45400</v>
      </c>
      <c r="S1816" s="25" t="str">
        <f t="shared" si="87"/>
        <v>2024/4</v>
      </c>
      <c r="T1816" s="21">
        <f>IFERROR(
(VLOOKUP(MONTH(R1816),Meses!$B$3:$C$14,2,FALSE)-DAY(R1816))/VLOOKUP(MONTH(R1816),Meses!$B$3:$C$14,2,FALSE)*U1816,
"")</f>
        <v>1458</v>
      </c>
      <c r="U1816" s="22">
        <f t="shared" si="85"/>
        <v>3645</v>
      </c>
    </row>
    <row r="1817" spans="1:21" ht="31.8" hidden="1" thickBot="1" x14ac:dyDescent="0.6">
      <c r="A1817" s="10" t="s">
        <v>1231</v>
      </c>
      <c r="B1817" s="10" t="s">
        <v>2377</v>
      </c>
      <c r="C1817" s="12"/>
      <c r="D1817" s="10" t="s">
        <v>14</v>
      </c>
      <c r="E1817" s="10" t="s">
        <v>14</v>
      </c>
      <c r="F1817" s="10">
        <v>321085</v>
      </c>
      <c r="G1817" s="10" t="s">
        <v>15</v>
      </c>
      <c r="H1817" s="10" t="s">
        <v>2917</v>
      </c>
      <c r="I1817" s="10" t="s">
        <v>18</v>
      </c>
      <c r="J1817" s="10" t="s">
        <v>277</v>
      </c>
      <c r="K1817" s="10" t="s">
        <v>3310</v>
      </c>
      <c r="L1817" s="10" t="s">
        <v>1120</v>
      </c>
      <c r="M1817" s="12">
        <v>45372</v>
      </c>
      <c r="N1817" s="10" t="s">
        <v>20</v>
      </c>
      <c r="O1817" s="10" t="s">
        <v>2057</v>
      </c>
      <c r="P1817" s="25" t="str">
        <f>IFERROR(
IF(OR(O1817="anulado",O1817="stand by"),CONCATENATE(O1817,": ",H1817),
IF(OR(YEAR(M1817)=2022,YEAR(M1817)=2023),CONCATENATE("Se activó en ",YEAR(M1817)),
IF(AND(OR(O1817="En proceso",O1817="facturando"),AND(J1817="-",M1817="")),"Por revisar",
IF(M1817="",IF(J1817="NUEVAS",CONCATENATE("Estado: ",O1817,", ",J1817),
IF(L1817=Meses!$A$3,"Por revisar",
IF(H1817="","Sin registro","En programación Frcst."))),"En programación")))),
"Error")</f>
        <v>En programación</v>
      </c>
      <c r="Q1817" s="9" t="str">
        <f t="shared" si="84"/>
        <v/>
      </c>
      <c r="R1817" s="25">
        <f>IF(P1817="En programación Frcst.",VLOOKUP(L1817,Meses!$A$1:$H$14,3+HLOOKUP(Cronograma!J1817,Meses!$D$1:$G$2,2,FALSE),FALSE),
IF(P1817="En programación",M1817,""))</f>
        <v>45372</v>
      </c>
      <c r="S1817" s="25" t="str">
        <f t="shared" si="87"/>
        <v>2024/3</v>
      </c>
      <c r="T1817" s="21">
        <f>IFERROR(
(VLOOKUP(MONTH(R1817),Meses!$B$3:$C$14,2,FALSE)-DAY(R1817))/VLOOKUP(MONTH(R1817),Meses!$B$3:$C$14,2,FALSE)*U1817,
"")</f>
        <v>103575.80645161289</v>
      </c>
      <c r="U1817" s="22">
        <f t="shared" si="85"/>
        <v>321085</v>
      </c>
    </row>
    <row r="1818" spans="1:21" ht="47.4" hidden="1" thickBot="1" x14ac:dyDescent="0.6">
      <c r="A1818" s="10" t="s">
        <v>2347</v>
      </c>
      <c r="B1818" s="10" t="s">
        <v>2378</v>
      </c>
      <c r="C1818" s="12"/>
      <c r="D1818" s="10" t="s">
        <v>291</v>
      </c>
      <c r="E1818" s="10" t="s">
        <v>291</v>
      </c>
      <c r="F1818" s="10">
        <v>8574</v>
      </c>
      <c r="G1818" s="10" t="s">
        <v>15</v>
      </c>
      <c r="H1818" s="10" t="s">
        <v>2917</v>
      </c>
      <c r="I1818" s="10" t="s">
        <v>43</v>
      </c>
      <c r="J1818" s="10" t="s">
        <v>143</v>
      </c>
      <c r="K1818" s="10" t="s">
        <v>2895</v>
      </c>
      <c r="L1818" s="10" t="s">
        <v>2292</v>
      </c>
      <c r="M1818" s="12">
        <v>45400</v>
      </c>
      <c r="N1818" s="10" t="s">
        <v>15</v>
      </c>
      <c r="O1818" s="10" t="s">
        <v>2057</v>
      </c>
      <c r="P1818" s="25" t="str">
        <f>IFERROR(
IF(OR(O1818="anulado",O1818="stand by"),CONCATENATE(O1818,": ",H1818),
IF(OR(YEAR(M1818)=2022,YEAR(M1818)=2023),CONCATENATE("Se activó en ",YEAR(M1818)),
IF(AND(OR(O1818="En proceso",O1818="facturando"),AND(J1818="-",M1818="")),"Por revisar",
IF(M1818="",IF(J1818="NUEVAS",CONCATENATE("Estado: ",O1818,", ",J1818),
IF(L1818=Meses!$A$3,"Por revisar",
IF(H1818="","Sin registro","En programación Frcst."))),"En programación")))),
"Error")</f>
        <v>En programación</v>
      </c>
      <c r="Q1818" s="9" t="str">
        <f t="shared" si="84"/>
        <v/>
      </c>
      <c r="R1818" s="25">
        <f>IF(P1818="En programación Frcst.",VLOOKUP(L1818,Meses!$A$1:$H$14,3+HLOOKUP(Cronograma!J1818,Meses!$D$1:$G$2,2,FALSE),FALSE),
IF(P1818="En programación",M1818,""))</f>
        <v>45400</v>
      </c>
      <c r="S1818" s="25" t="str">
        <f t="shared" si="87"/>
        <v>2024/4</v>
      </c>
      <c r="T1818" s="21">
        <f>IFERROR(
(VLOOKUP(MONTH(R1818),Meses!$B$3:$C$14,2,FALSE)-DAY(R1818))/VLOOKUP(MONTH(R1818),Meses!$B$3:$C$14,2,FALSE)*U1818,
"")</f>
        <v>3429.6000000000004</v>
      </c>
      <c r="U1818" s="22">
        <f t="shared" si="85"/>
        <v>8574</v>
      </c>
    </row>
    <row r="1819" spans="1:21" ht="47.4" hidden="1" thickBot="1" x14ac:dyDescent="0.6">
      <c r="A1819" s="10" t="s">
        <v>2347</v>
      </c>
      <c r="B1819" s="10" t="s">
        <v>2379</v>
      </c>
      <c r="C1819" s="12"/>
      <c r="D1819" s="10" t="s">
        <v>44</v>
      </c>
      <c r="E1819" s="10" t="s">
        <v>44</v>
      </c>
      <c r="F1819" s="10">
        <v>6960</v>
      </c>
      <c r="G1819" s="10" t="s">
        <v>15</v>
      </c>
      <c r="H1819" s="10" t="s">
        <v>2917</v>
      </c>
      <c r="I1819" s="10" t="s">
        <v>43</v>
      </c>
      <c r="J1819" s="10" t="s">
        <v>143</v>
      </c>
      <c r="K1819" s="10" t="s">
        <v>2895</v>
      </c>
      <c r="L1819" s="10" t="s">
        <v>2292</v>
      </c>
      <c r="M1819" s="12">
        <v>45400</v>
      </c>
      <c r="N1819" s="10" t="s">
        <v>15</v>
      </c>
      <c r="O1819" s="10" t="s">
        <v>2057</v>
      </c>
      <c r="P1819" s="25" t="str">
        <f>IFERROR(
IF(OR(O1819="anulado",O1819="stand by"),CONCATENATE(O1819,": ",H1819),
IF(OR(YEAR(M1819)=2022,YEAR(M1819)=2023),CONCATENATE("Se activó en ",YEAR(M1819)),
IF(AND(OR(O1819="En proceso",O1819="facturando"),AND(J1819="-",M1819="")),"Por revisar",
IF(M1819="",IF(J1819="NUEVAS",CONCATENATE("Estado: ",O1819,", ",J1819),
IF(L1819=Meses!$A$3,"Por revisar",
IF(H1819="","Sin registro","En programación Frcst."))),"En programación")))),
"Error")</f>
        <v>En programación</v>
      </c>
      <c r="Q1819" s="9" t="str">
        <f t="shared" si="84"/>
        <v/>
      </c>
      <c r="R1819" s="25">
        <f>IF(P1819="En programación Frcst.",VLOOKUP(L1819,Meses!$A$1:$H$14,3+HLOOKUP(Cronograma!J1819,Meses!$D$1:$G$2,2,FALSE),FALSE),
IF(P1819="En programación",M1819,""))</f>
        <v>45400</v>
      </c>
      <c r="S1819" s="25" t="str">
        <f t="shared" si="87"/>
        <v>2024/4</v>
      </c>
      <c r="T1819" s="21">
        <f>IFERROR(
(VLOOKUP(MONTH(R1819),Meses!$B$3:$C$14,2,FALSE)-DAY(R1819))/VLOOKUP(MONTH(R1819),Meses!$B$3:$C$14,2,FALSE)*U1819,
"")</f>
        <v>2784</v>
      </c>
      <c r="U1819" s="22">
        <f t="shared" si="85"/>
        <v>6960</v>
      </c>
    </row>
    <row r="1820" spans="1:21" ht="47.4" hidden="1" thickBot="1" x14ac:dyDescent="0.6">
      <c r="A1820" s="10" t="s">
        <v>2347</v>
      </c>
      <c r="B1820" s="10" t="s">
        <v>2380</v>
      </c>
      <c r="C1820" s="12"/>
      <c r="D1820" s="10" t="s">
        <v>74</v>
      </c>
      <c r="E1820" s="10" t="s">
        <v>74</v>
      </c>
      <c r="F1820" s="10">
        <v>12150</v>
      </c>
      <c r="G1820" s="10" t="s">
        <v>15</v>
      </c>
      <c r="H1820" s="10" t="s">
        <v>2916</v>
      </c>
      <c r="I1820" s="10" t="s">
        <v>43</v>
      </c>
      <c r="J1820" s="10" t="s">
        <v>143</v>
      </c>
      <c r="K1820" s="10" t="s">
        <v>2895</v>
      </c>
      <c r="L1820" s="10" t="s">
        <v>2292</v>
      </c>
      <c r="M1820" s="12">
        <v>45400</v>
      </c>
      <c r="N1820" s="10" t="s">
        <v>15</v>
      </c>
      <c r="O1820" s="10" t="s">
        <v>2057</v>
      </c>
      <c r="P1820" s="25" t="str">
        <f>IFERROR(
IF(OR(O1820="anulado",O1820="stand by"),CONCATENATE(O1820,": ",H1820),
IF(OR(YEAR(M1820)=2022,YEAR(M1820)=2023),CONCATENATE("Se activó en ",YEAR(M1820)),
IF(AND(OR(O1820="En proceso",O1820="facturando"),AND(J1820="-",M1820="")),"Por revisar",
IF(M1820="",IF(J1820="NUEVAS",CONCATENATE("Estado: ",O1820,", ",J1820),
IF(L1820=Meses!$A$3,"Por revisar",
IF(H1820="","Sin registro","En programación Frcst."))),"En programación")))),
"Error")</f>
        <v>En programación</v>
      </c>
      <c r="Q1820" s="9" t="str">
        <f t="shared" si="84"/>
        <v/>
      </c>
      <c r="R1820" s="25">
        <f>IF(P1820="En programación Frcst.",VLOOKUP(L1820,Meses!$A$1:$H$14,3+HLOOKUP(Cronograma!J1820,Meses!$D$1:$G$2,2,FALSE),FALSE),
IF(P1820="En programación",M1820,""))</f>
        <v>45400</v>
      </c>
      <c r="S1820" s="25" t="str">
        <f t="shared" si="87"/>
        <v>2024/4</v>
      </c>
      <c r="T1820" s="21">
        <f>IFERROR(
(VLOOKUP(MONTH(R1820),Meses!$B$3:$C$14,2,FALSE)-DAY(R1820))/VLOOKUP(MONTH(R1820),Meses!$B$3:$C$14,2,FALSE)*U1820,
"")</f>
        <v>4860</v>
      </c>
      <c r="U1820" s="22">
        <f t="shared" si="85"/>
        <v>12150</v>
      </c>
    </row>
    <row r="1821" spans="1:21" ht="47.4" hidden="1" thickBot="1" x14ac:dyDescent="0.6">
      <c r="A1821" s="10" t="s">
        <v>2347</v>
      </c>
      <c r="B1821" s="10" t="s">
        <v>2381</v>
      </c>
      <c r="C1821" s="12"/>
      <c r="D1821" s="10" t="s">
        <v>14</v>
      </c>
      <c r="E1821" s="10" t="s">
        <v>14</v>
      </c>
      <c r="F1821" s="10">
        <v>2165</v>
      </c>
      <c r="G1821" s="10" t="s">
        <v>15</v>
      </c>
      <c r="H1821" s="10" t="s">
        <v>2917</v>
      </c>
      <c r="I1821" s="10" t="s">
        <v>18</v>
      </c>
      <c r="J1821" s="10" t="s">
        <v>277</v>
      </c>
      <c r="K1821" s="10" t="s">
        <v>3327</v>
      </c>
      <c r="L1821" s="10" t="s">
        <v>2292</v>
      </c>
      <c r="M1821" s="12">
        <v>45400</v>
      </c>
      <c r="N1821" s="10" t="s">
        <v>15</v>
      </c>
      <c r="O1821" s="10" t="s">
        <v>2057</v>
      </c>
      <c r="P1821" s="25" t="str">
        <f>IFERROR(
IF(OR(O1821="anulado",O1821="stand by"),CONCATENATE(O1821,": ",H1821),
IF(OR(YEAR(M1821)=2022,YEAR(M1821)=2023),CONCATENATE("Se activó en ",YEAR(M1821)),
IF(AND(OR(O1821="En proceso",O1821="facturando"),AND(J1821="-",M1821="")),"Por revisar",
IF(M1821="",IF(J1821="NUEVAS",CONCATENATE("Estado: ",O1821,", ",J1821),
IF(L1821=Meses!$A$3,"Por revisar",
IF(H1821="","Sin registro","En programación Frcst."))),"En programación")))),
"Error")</f>
        <v>En programación</v>
      </c>
      <c r="Q1821" s="9" t="str">
        <f t="shared" si="84"/>
        <v/>
      </c>
      <c r="R1821" s="25">
        <f>IF(P1821="En programación Frcst.",VLOOKUP(L1821,Meses!$A$1:$H$14,3+HLOOKUP(Cronograma!J1821,Meses!$D$1:$G$2,2,FALSE),FALSE),
IF(P1821="En programación",M1821,""))</f>
        <v>45400</v>
      </c>
      <c r="S1821" s="25" t="str">
        <f t="shared" si="87"/>
        <v>2024/4</v>
      </c>
      <c r="T1821" s="21">
        <f>IFERROR(
(VLOOKUP(MONTH(R1821),Meses!$B$3:$C$14,2,FALSE)-DAY(R1821))/VLOOKUP(MONTH(R1821),Meses!$B$3:$C$14,2,FALSE)*U1821,
"")</f>
        <v>866</v>
      </c>
      <c r="U1821" s="22">
        <f t="shared" si="85"/>
        <v>2165</v>
      </c>
    </row>
    <row r="1822" spans="1:21" ht="47.4" hidden="1" thickBot="1" x14ac:dyDescent="0.6">
      <c r="A1822" s="10" t="s">
        <v>2347</v>
      </c>
      <c r="B1822" s="10" t="s">
        <v>2382</v>
      </c>
      <c r="C1822" s="12"/>
      <c r="D1822" s="10" t="s">
        <v>14</v>
      </c>
      <c r="E1822" s="10" t="s">
        <v>14</v>
      </c>
      <c r="F1822" s="10">
        <v>3624</v>
      </c>
      <c r="G1822" s="10" t="s">
        <v>15</v>
      </c>
      <c r="H1822" s="10" t="s">
        <v>2917</v>
      </c>
      <c r="I1822" s="10" t="s">
        <v>18</v>
      </c>
      <c r="J1822" s="10" t="s">
        <v>277</v>
      </c>
      <c r="K1822" s="10" t="s">
        <v>3327</v>
      </c>
      <c r="L1822" s="10" t="s">
        <v>2292</v>
      </c>
      <c r="M1822" s="12">
        <v>45400</v>
      </c>
      <c r="N1822" s="10" t="s">
        <v>15</v>
      </c>
      <c r="O1822" s="10" t="s">
        <v>2057</v>
      </c>
      <c r="P1822" s="25" t="str">
        <f>IFERROR(
IF(OR(O1822="anulado",O1822="stand by"),CONCATENATE(O1822,": ",H1822),
IF(OR(YEAR(M1822)=2022,YEAR(M1822)=2023),CONCATENATE("Se activó en ",YEAR(M1822)),
IF(AND(OR(O1822="En proceso",O1822="facturando"),AND(J1822="-",M1822="")),"Por revisar",
IF(M1822="",IF(J1822="NUEVAS",CONCATENATE("Estado: ",O1822,", ",J1822),
IF(L1822=Meses!$A$3,"Por revisar",
IF(H1822="","Sin registro","En programación Frcst."))),"En programación")))),
"Error")</f>
        <v>En programación</v>
      </c>
      <c r="Q1822" s="9" t="str">
        <f t="shared" si="84"/>
        <v/>
      </c>
      <c r="R1822" s="25">
        <f>IF(P1822="En programación Frcst.",VLOOKUP(L1822,Meses!$A$1:$H$14,3+HLOOKUP(Cronograma!J1822,Meses!$D$1:$G$2,2,FALSE),FALSE),
IF(P1822="En programación",M1822,""))</f>
        <v>45400</v>
      </c>
      <c r="S1822" s="25" t="str">
        <f t="shared" si="87"/>
        <v>2024/4</v>
      </c>
      <c r="T1822" s="21">
        <f>IFERROR(
(VLOOKUP(MONTH(R1822),Meses!$B$3:$C$14,2,FALSE)-DAY(R1822))/VLOOKUP(MONTH(R1822),Meses!$B$3:$C$14,2,FALSE)*U1822,
"")</f>
        <v>1449.6000000000001</v>
      </c>
      <c r="U1822" s="22">
        <f t="shared" si="85"/>
        <v>3624</v>
      </c>
    </row>
    <row r="1823" spans="1:21" ht="47.4" hidden="1" thickBot="1" x14ac:dyDescent="0.6">
      <c r="A1823" s="10" t="s">
        <v>2347</v>
      </c>
      <c r="B1823" s="10" t="s">
        <v>2383</v>
      </c>
      <c r="C1823" s="12"/>
      <c r="D1823" s="10" t="s">
        <v>14</v>
      </c>
      <c r="E1823" s="10" t="s">
        <v>14</v>
      </c>
      <c r="F1823" s="10">
        <v>3039</v>
      </c>
      <c r="G1823" s="10" t="s">
        <v>15</v>
      </c>
      <c r="H1823" s="10" t="s">
        <v>2917</v>
      </c>
      <c r="I1823" s="10" t="s">
        <v>18</v>
      </c>
      <c r="J1823" s="10" t="s">
        <v>277</v>
      </c>
      <c r="K1823" s="10" t="s">
        <v>3327</v>
      </c>
      <c r="L1823" s="10" t="s">
        <v>2292</v>
      </c>
      <c r="M1823" s="12">
        <v>45400</v>
      </c>
      <c r="N1823" s="10" t="s">
        <v>15</v>
      </c>
      <c r="O1823" s="10" t="s">
        <v>2057</v>
      </c>
      <c r="P1823" s="25" t="str">
        <f>IFERROR(
IF(OR(O1823="anulado",O1823="stand by"),CONCATENATE(O1823,": ",H1823),
IF(OR(YEAR(M1823)=2022,YEAR(M1823)=2023),CONCATENATE("Se activó en ",YEAR(M1823)),
IF(AND(OR(O1823="En proceso",O1823="facturando"),AND(J1823="-",M1823="")),"Por revisar",
IF(M1823="",IF(J1823="NUEVAS",CONCATENATE("Estado: ",O1823,", ",J1823),
IF(L1823=Meses!$A$3,"Por revisar",
IF(H1823="","Sin registro","En programación Frcst."))),"En programación")))),
"Error")</f>
        <v>En programación</v>
      </c>
      <c r="Q1823" s="9" t="str">
        <f t="shared" si="84"/>
        <v/>
      </c>
      <c r="R1823" s="25">
        <f>IF(P1823="En programación Frcst.",VLOOKUP(L1823,Meses!$A$1:$H$14,3+HLOOKUP(Cronograma!J1823,Meses!$D$1:$G$2,2,FALSE),FALSE),
IF(P1823="En programación",M1823,""))</f>
        <v>45400</v>
      </c>
      <c r="S1823" s="25" t="str">
        <f t="shared" si="87"/>
        <v>2024/4</v>
      </c>
      <c r="T1823" s="21">
        <f>IFERROR(
(VLOOKUP(MONTH(R1823),Meses!$B$3:$C$14,2,FALSE)-DAY(R1823))/VLOOKUP(MONTH(R1823),Meses!$B$3:$C$14,2,FALSE)*U1823,
"")</f>
        <v>1215.6000000000001</v>
      </c>
      <c r="U1823" s="22">
        <f t="shared" si="85"/>
        <v>3039</v>
      </c>
    </row>
    <row r="1824" spans="1:21" ht="47.4" hidden="1" thickBot="1" x14ac:dyDescent="0.6">
      <c r="A1824" s="10" t="s">
        <v>2347</v>
      </c>
      <c r="B1824" s="10" t="s">
        <v>2384</v>
      </c>
      <c r="C1824" s="12"/>
      <c r="D1824" s="10" t="s">
        <v>74</v>
      </c>
      <c r="E1824" s="10" t="s">
        <v>74</v>
      </c>
      <c r="F1824" s="10">
        <v>8316</v>
      </c>
      <c r="G1824" s="10" t="s">
        <v>15</v>
      </c>
      <c r="H1824" s="10" t="s">
        <v>2917</v>
      </c>
      <c r="I1824" s="10" t="s">
        <v>43</v>
      </c>
      <c r="J1824" s="10" t="s">
        <v>143</v>
      </c>
      <c r="K1824" s="10" t="s">
        <v>2895</v>
      </c>
      <c r="L1824" s="10" t="s">
        <v>2292</v>
      </c>
      <c r="M1824" s="12">
        <v>45400</v>
      </c>
      <c r="N1824" s="10" t="s">
        <v>15</v>
      </c>
      <c r="O1824" s="10" t="s">
        <v>2057</v>
      </c>
      <c r="P1824" s="25" t="str">
        <f>IFERROR(
IF(OR(O1824="anulado",O1824="stand by"),CONCATENATE(O1824,": ",H1824),
IF(OR(YEAR(M1824)=2022,YEAR(M1824)=2023),CONCATENATE("Se activó en ",YEAR(M1824)),
IF(AND(OR(O1824="En proceso",O1824="facturando"),AND(J1824="-",M1824="")),"Por revisar",
IF(M1824="",IF(J1824="NUEVAS",CONCATENATE("Estado: ",O1824,", ",J1824),
IF(L1824=Meses!$A$3,"Por revisar",
IF(H1824="","Sin registro","En programación Frcst."))),"En programación")))),
"Error")</f>
        <v>En programación</v>
      </c>
      <c r="Q1824" s="9" t="str">
        <f t="shared" si="84"/>
        <v/>
      </c>
      <c r="R1824" s="25">
        <f>IF(P1824="En programación Frcst.",VLOOKUP(L1824,Meses!$A$1:$H$14,3+HLOOKUP(Cronograma!J1824,Meses!$D$1:$G$2,2,FALSE),FALSE),
IF(P1824="En programación",M1824,""))</f>
        <v>45400</v>
      </c>
      <c r="S1824" s="25" t="str">
        <f t="shared" si="87"/>
        <v>2024/4</v>
      </c>
      <c r="T1824" s="21">
        <f>IFERROR(
(VLOOKUP(MONTH(R1824),Meses!$B$3:$C$14,2,FALSE)-DAY(R1824))/VLOOKUP(MONTH(R1824),Meses!$B$3:$C$14,2,FALSE)*U1824,
"")</f>
        <v>3326.4</v>
      </c>
      <c r="U1824" s="22">
        <f t="shared" si="85"/>
        <v>8316</v>
      </c>
    </row>
    <row r="1825" spans="1:21" ht="47.4" hidden="1" thickBot="1" x14ac:dyDescent="0.6">
      <c r="A1825" s="10" t="s">
        <v>2347</v>
      </c>
      <c r="B1825" s="10" t="s">
        <v>2385</v>
      </c>
      <c r="C1825" s="12"/>
      <c r="D1825" s="10" t="s">
        <v>14</v>
      </c>
      <c r="E1825" s="10" t="s">
        <v>14</v>
      </c>
      <c r="F1825" s="10">
        <v>1268</v>
      </c>
      <c r="G1825" s="10" t="s">
        <v>15</v>
      </c>
      <c r="H1825" s="10" t="s">
        <v>2917</v>
      </c>
      <c r="I1825" s="10" t="s">
        <v>18</v>
      </c>
      <c r="J1825" s="10" t="s">
        <v>277</v>
      </c>
      <c r="K1825" s="10" t="s">
        <v>3327</v>
      </c>
      <c r="L1825" s="10" t="s">
        <v>2292</v>
      </c>
      <c r="M1825" s="12">
        <v>45400</v>
      </c>
      <c r="N1825" s="10" t="s">
        <v>15</v>
      </c>
      <c r="O1825" s="10" t="s">
        <v>2057</v>
      </c>
      <c r="P1825" s="25" t="str">
        <f>IFERROR(
IF(OR(O1825="anulado",O1825="stand by"),CONCATENATE(O1825,": ",H1825),
IF(OR(YEAR(M1825)=2022,YEAR(M1825)=2023),CONCATENATE("Se activó en ",YEAR(M1825)),
IF(AND(OR(O1825="En proceso",O1825="facturando"),AND(J1825="-",M1825="")),"Por revisar",
IF(M1825="",IF(J1825="NUEVAS",CONCATENATE("Estado: ",O1825,", ",J1825),
IF(L1825=Meses!$A$3,"Por revisar",
IF(H1825="","Sin registro","En programación Frcst."))),"En programación")))),
"Error")</f>
        <v>En programación</v>
      </c>
      <c r="Q1825" s="9" t="str">
        <f t="shared" si="84"/>
        <v/>
      </c>
      <c r="R1825" s="25">
        <f>IF(P1825="En programación Frcst.",VLOOKUP(L1825,Meses!$A$1:$H$14,3+HLOOKUP(Cronograma!J1825,Meses!$D$1:$G$2,2,FALSE),FALSE),
IF(P1825="En programación",M1825,""))</f>
        <v>45400</v>
      </c>
      <c r="S1825" s="25" t="str">
        <f t="shared" si="87"/>
        <v>2024/4</v>
      </c>
      <c r="T1825" s="21">
        <f>IFERROR(
(VLOOKUP(MONTH(R1825),Meses!$B$3:$C$14,2,FALSE)-DAY(R1825))/VLOOKUP(MONTH(R1825),Meses!$B$3:$C$14,2,FALSE)*U1825,
"")</f>
        <v>507.20000000000005</v>
      </c>
      <c r="U1825" s="22">
        <f t="shared" si="85"/>
        <v>1268</v>
      </c>
    </row>
    <row r="1826" spans="1:21" ht="47.4" hidden="1" thickBot="1" x14ac:dyDescent="0.6">
      <c r="A1826" s="10" t="s">
        <v>2347</v>
      </c>
      <c r="B1826" s="10" t="s">
        <v>2386</v>
      </c>
      <c r="C1826" s="12"/>
      <c r="D1826" s="10" t="s">
        <v>14</v>
      </c>
      <c r="E1826" s="10" t="s">
        <v>14</v>
      </c>
      <c r="F1826" s="10">
        <v>5144</v>
      </c>
      <c r="G1826" s="10" t="s">
        <v>15</v>
      </c>
      <c r="H1826" s="10" t="s">
        <v>2917</v>
      </c>
      <c r="I1826" s="10" t="s">
        <v>18</v>
      </c>
      <c r="J1826" s="10" t="s">
        <v>277</v>
      </c>
      <c r="K1826" s="10" t="s">
        <v>3327</v>
      </c>
      <c r="L1826" s="10" t="s">
        <v>2292</v>
      </c>
      <c r="M1826" s="12">
        <v>45400</v>
      </c>
      <c r="N1826" s="10" t="s">
        <v>15</v>
      </c>
      <c r="O1826" s="10" t="s">
        <v>2057</v>
      </c>
      <c r="P1826" s="25" t="str">
        <f>IFERROR(
IF(OR(O1826="anulado",O1826="stand by"),CONCATENATE(O1826,": ",H1826),
IF(OR(YEAR(M1826)=2022,YEAR(M1826)=2023),CONCATENATE("Se activó en ",YEAR(M1826)),
IF(AND(OR(O1826="En proceso",O1826="facturando"),AND(J1826="-",M1826="")),"Por revisar",
IF(M1826="",IF(J1826="NUEVAS",CONCATENATE("Estado: ",O1826,", ",J1826),
IF(L1826=Meses!$A$3,"Por revisar",
IF(H1826="","Sin registro","En programación Frcst."))),"En programación")))),
"Error")</f>
        <v>En programación</v>
      </c>
      <c r="Q1826" s="9" t="str">
        <f t="shared" si="84"/>
        <v/>
      </c>
      <c r="R1826" s="25">
        <f>IF(P1826="En programación Frcst.",VLOOKUP(L1826,Meses!$A$1:$H$14,3+HLOOKUP(Cronograma!J1826,Meses!$D$1:$G$2,2,FALSE),FALSE),
IF(P1826="En programación",M1826,""))</f>
        <v>45400</v>
      </c>
      <c r="S1826" s="25" t="str">
        <f t="shared" si="87"/>
        <v>2024/4</v>
      </c>
      <c r="T1826" s="21">
        <f>IFERROR(
(VLOOKUP(MONTH(R1826),Meses!$B$3:$C$14,2,FALSE)-DAY(R1826))/VLOOKUP(MONTH(R1826),Meses!$B$3:$C$14,2,FALSE)*U1826,
"")</f>
        <v>2057.6</v>
      </c>
      <c r="U1826" s="22">
        <f t="shared" si="85"/>
        <v>5144</v>
      </c>
    </row>
    <row r="1827" spans="1:21" ht="47.4" thickBot="1" x14ac:dyDescent="0.6">
      <c r="A1827" s="10" t="s">
        <v>2347</v>
      </c>
      <c r="B1827" s="10" t="s">
        <v>2387</v>
      </c>
      <c r="C1827" s="12"/>
      <c r="D1827" s="10" t="s">
        <v>1496</v>
      </c>
      <c r="E1827" s="10" t="s">
        <v>14</v>
      </c>
      <c r="F1827" s="10">
        <v>3651</v>
      </c>
      <c r="G1827" s="10" t="s">
        <v>15</v>
      </c>
      <c r="H1827" s="10" t="s">
        <v>2917</v>
      </c>
      <c r="I1827" s="10" t="s">
        <v>66</v>
      </c>
      <c r="J1827" s="10" t="s">
        <v>282</v>
      </c>
      <c r="K1827" s="10" t="s">
        <v>3326</v>
      </c>
      <c r="L1827" s="10" t="s">
        <v>2293</v>
      </c>
      <c r="M1827" s="12">
        <v>45414</v>
      </c>
      <c r="N1827" s="10" t="s">
        <v>15</v>
      </c>
      <c r="O1827" s="10" t="s">
        <v>2057</v>
      </c>
      <c r="P1827" s="25" t="str">
        <f>IFERROR(
IF(OR(O1827="anulado",O1827="stand by"),CONCATENATE(O1827,": ",H1827),
IF(OR(YEAR(M1827)=2022,YEAR(M1827)=2023),CONCATENATE("Se activó en ",YEAR(M1827)),
IF(AND(OR(O1827="En proceso",O1827="facturando"),AND(J1827="-",M1827="")),"Por revisar",
IF(M1827="",IF(J1827="NUEVAS",CONCATENATE("Estado: ",O1827,", ",J1827),
IF(L1827=Meses!$A$3,"Por revisar",
IF(H1827="","Sin registro","En programación Frcst."))),"En programación")))),
"Error")</f>
        <v>En programación</v>
      </c>
      <c r="Q1827" s="9" t="str">
        <f t="shared" si="84"/>
        <v/>
      </c>
      <c r="R1827" s="25">
        <f>IF(P1827="En programación Frcst.",VLOOKUP(L1827,Meses!$A$1:$H$14,3+HLOOKUP(Cronograma!J1827,Meses!$D$1:$G$2,2,FALSE),FALSE),
IF(P1827="En programación",M1827,""))</f>
        <v>45414</v>
      </c>
      <c r="S1827" s="25" t="str">
        <f t="shared" si="87"/>
        <v>2024/5</v>
      </c>
      <c r="T1827" s="21">
        <f>IFERROR(
(VLOOKUP(MONTH(R1827),Meses!$B$3:$C$14,2,FALSE)-DAY(R1827))/VLOOKUP(MONTH(R1827),Meses!$B$3:$C$14,2,FALSE)*U1827,
"")</f>
        <v>3415.4516129032254</v>
      </c>
      <c r="U1827" s="22">
        <f t="shared" si="85"/>
        <v>3651</v>
      </c>
    </row>
    <row r="1828" spans="1:21" ht="47.4" hidden="1" thickBot="1" x14ac:dyDescent="0.6">
      <c r="A1828" s="10" t="s">
        <v>2347</v>
      </c>
      <c r="B1828" s="10" t="s">
        <v>2388</v>
      </c>
      <c r="C1828" s="12"/>
      <c r="D1828" s="10" t="s">
        <v>41</v>
      </c>
      <c r="E1828" s="10" t="s">
        <v>41</v>
      </c>
      <c r="F1828" s="10">
        <v>6180</v>
      </c>
      <c r="G1828" s="10" t="s">
        <v>15</v>
      </c>
      <c r="H1828" s="10" t="s">
        <v>2917</v>
      </c>
      <c r="I1828" s="10" t="s">
        <v>43</v>
      </c>
      <c r="J1828" s="10" t="s">
        <v>143</v>
      </c>
      <c r="K1828" s="10" t="s">
        <v>2895</v>
      </c>
      <c r="L1828" s="10" t="s">
        <v>2292</v>
      </c>
      <c r="M1828" s="12">
        <v>45400</v>
      </c>
      <c r="N1828" s="10" t="s">
        <v>15</v>
      </c>
      <c r="O1828" s="10" t="s">
        <v>2057</v>
      </c>
      <c r="P1828" s="25" t="str">
        <f>IFERROR(
IF(OR(O1828="anulado",O1828="stand by"),CONCATENATE(O1828,": ",H1828),
IF(OR(YEAR(M1828)=2022,YEAR(M1828)=2023),CONCATENATE("Se activó en ",YEAR(M1828)),
IF(AND(OR(O1828="En proceso",O1828="facturando"),AND(J1828="-",M1828="")),"Por revisar",
IF(M1828="",IF(J1828="NUEVAS",CONCATENATE("Estado: ",O1828,", ",J1828),
IF(L1828=Meses!$A$3,"Por revisar",
IF(H1828="","Sin registro","En programación Frcst."))),"En programación")))),
"Error")</f>
        <v>En programación</v>
      </c>
      <c r="Q1828" s="9" t="str">
        <f t="shared" si="84"/>
        <v/>
      </c>
      <c r="R1828" s="25">
        <f>IF(P1828="En programación Frcst.",VLOOKUP(L1828,Meses!$A$1:$H$14,3+HLOOKUP(Cronograma!J1828,Meses!$D$1:$G$2,2,FALSE),FALSE),
IF(P1828="En programación",M1828,""))</f>
        <v>45400</v>
      </c>
      <c r="S1828" s="25" t="str">
        <f t="shared" si="87"/>
        <v>2024/4</v>
      </c>
      <c r="T1828" s="21">
        <f>IFERROR(
(VLOOKUP(MONTH(R1828),Meses!$B$3:$C$14,2,FALSE)-DAY(R1828))/VLOOKUP(MONTH(R1828),Meses!$B$3:$C$14,2,FALSE)*U1828,
"")</f>
        <v>2472</v>
      </c>
      <c r="U1828" s="22">
        <f t="shared" si="85"/>
        <v>6180</v>
      </c>
    </row>
    <row r="1829" spans="1:21" ht="47.4" thickBot="1" x14ac:dyDescent="0.6">
      <c r="A1829" s="10" t="s">
        <v>2347</v>
      </c>
      <c r="B1829" s="10" t="s">
        <v>2389</v>
      </c>
      <c r="C1829" s="12"/>
      <c r="D1829" s="10" t="s">
        <v>654</v>
      </c>
      <c r="E1829" s="10" t="s">
        <v>23</v>
      </c>
      <c r="F1829" s="10">
        <v>8577</v>
      </c>
      <c r="G1829" s="10" t="s">
        <v>15</v>
      </c>
      <c r="H1829" s="10" t="s">
        <v>2917</v>
      </c>
      <c r="I1829" s="10" t="s">
        <v>66</v>
      </c>
      <c r="J1829" s="10" t="s">
        <v>282</v>
      </c>
      <c r="K1829" s="10" t="s">
        <v>3326</v>
      </c>
      <c r="L1829" s="10" t="s">
        <v>2293</v>
      </c>
      <c r="M1829" s="12">
        <v>45414</v>
      </c>
      <c r="N1829" s="10" t="s">
        <v>15</v>
      </c>
      <c r="O1829" s="10" t="s">
        <v>2057</v>
      </c>
      <c r="P1829" s="25" t="str">
        <f>IFERROR(
IF(OR(O1829="anulado",O1829="stand by"),CONCATENATE(O1829,": ",H1829),
IF(OR(YEAR(M1829)=2022,YEAR(M1829)=2023),CONCATENATE("Se activó en ",YEAR(M1829)),
IF(AND(OR(O1829="En proceso",O1829="facturando"),AND(J1829="-",M1829="")),"Por revisar",
IF(M1829="",IF(J1829="NUEVAS",CONCATENATE("Estado: ",O1829,", ",J1829),
IF(L1829=Meses!$A$3,"Por revisar",
IF(H1829="","Sin registro","En programación Frcst."))),"En programación")))),
"Error")</f>
        <v>En programación</v>
      </c>
      <c r="Q1829" s="9" t="str">
        <f t="shared" si="84"/>
        <v/>
      </c>
      <c r="R1829" s="25">
        <f>IF(P1829="En programación Frcst.",VLOOKUP(L1829,Meses!$A$1:$H$14,3+HLOOKUP(Cronograma!J1829,Meses!$D$1:$G$2,2,FALSE),FALSE),
IF(P1829="En programación",M1829,""))</f>
        <v>45414</v>
      </c>
      <c r="S1829" s="25" t="str">
        <f t="shared" si="87"/>
        <v>2024/5</v>
      </c>
      <c r="T1829" s="21">
        <f>IFERROR(
(VLOOKUP(MONTH(R1829),Meses!$B$3:$C$14,2,FALSE)-DAY(R1829))/VLOOKUP(MONTH(R1829),Meses!$B$3:$C$14,2,FALSE)*U1829,
"")</f>
        <v>8023.645161290322</v>
      </c>
      <c r="U1829" s="22">
        <f t="shared" si="85"/>
        <v>8577</v>
      </c>
    </row>
    <row r="1830" spans="1:21" ht="31.8" hidden="1" thickBot="1" x14ac:dyDescent="0.6">
      <c r="A1830" s="10" t="s">
        <v>1231</v>
      </c>
      <c r="B1830" s="10" t="s">
        <v>2390</v>
      </c>
      <c r="C1830" s="12"/>
      <c r="D1830" s="10" t="s">
        <v>14</v>
      </c>
      <c r="E1830" s="10" t="s">
        <v>14</v>
      </c>
      <c r="F1830" s="10">
        <v>30792</v>
      </c>
      <c r="G1830" s="10" t="s">
        <v>15</v>
      </c>
      <c r="H1830" s="10" t="s">
        <v>2917</v>
      </c>
      <c r="I1830" s="10" t="s">
        <v>18</v>
      </c>
      <c r="J1830" s="10" t="s">
        <v>277</v>
      </c>
      <c r="K1830" s="10" t="s">
        <v>3310</v>
      </c>
      <c r="L1830" s="10" t="s">
        <v>1120</v>
      </c>
      <c r="M1830" s="12">
        <v>45372</v>
      </c>
      <c r="N1830" s="10" t="s">
        <v>20</v>
      </c>
      <c r="O1830" s="10" t="s">
        <v>2057</v>
      </c>
      <c r="P1830" s="25" t="str">
        <f>IFERROR(
IF(OR(O1830="anulado",O1830="stand by"),CONCATENATE(O1830,": ",H1830),
IF(OR(YEAR(M1830)=2022,YEAR(M1830)=2023),CONCATENATE("Se activó en ",YEAR(M1830)),
IF(AND(OR(O1830="En proceso",O1830="facturando"),AND(J1830="-",M1830="")),"Por revisar",
IF(M1830="",IF(J1830="NUEVAS",CONCATENATE("Estado: ",O1830,", ",J1830),
IF(L1830=Meses!$A$3,"Por revisar",
IF(H1830="","Sin registro","En programación Frcst."))),"En programación")))),
"Error")</f>
        <v>En programación</v>
      </c>
      <c r="Q1830" s="9" t="str">
        <f t="shared" si="84"/>
        <v/>
      </c>
      <c r="R1830" s="25">
        <f>IF(P1830="En programación Frcst.",VLOOKUP(L1830,Meses!$A$1:$H$14,3+HLOOKUP(Cronograma!J1830,Meses!$D$1:$G$2,2,FALSE),FALSE),
IF(P1830="En programación",M1830,""))</f>
        <v>45372</v>
      </c>
      <c r="S1830" s="25" t="str">
        <f t="shared" si="87"/>
        <v>2024/3</v>
      </c>
      <c r="T1830" s="21">
        <f>IFERROR(
(VLOOKUP(MONTH(R1830),Meses!$B$3:$C$14,2,FALSE)-DAY(R1830))/VLOOKUP(MONTH(R1830),Meses!$B$3:$C$14,2,FALSE)*U1830,
"")</f>
        <v>9932.9032258064508</v>
      </c>
      <c r="U1830" s="22">
        <f t="shared" si="85"/>
        <v>30792</v>
      </c>
    </row>
    <row r="1831" spans="1:21" ht="31.8" hidden="1" thickBot="1" x14ac:dyDescent="0.6">
      <c r="A1831" s="10" t="s">
        <v>1231</v>
      </c>
      <c r="B1831" s="10" t="s">
        <v>2391</v>
      </c>
      <c r="C1831" s="12"/>
      <c r="D1831" s="10" t="s">
        <v>14</v>
      </c>
      <c r="E1831" s="10" t="s">
        <v>14</v>
      </c>
      <c r="F1831" s="10">
        <v>5985</v>
      </c>
      <c r="G1831" s="10" t="s">
        <v>15</v>
      </c>
      <c r="H1831" s="10" t="s">
        <v>2917</v>
      </c>
      <c r="I1831" s="10" t="s">
        <v>18</v>
      </c>
      <c r="J1831" s="10" t="s">
        <v>277</v>
      </c>
      <c r="K1831" s="10" t="s">
        <v>3310</v>
      </c>
      <c r="L1831" s="10" t="s">
        <v>1120</v>
      </c>
      <c r="M1831" s="12">
        <v>45372</v>
      </c>
      <c r="N1831" s="10" t="s">
        <v>20</v>
      </c>
      <c r="O1831" s="10" t="s">
        <v>2057</v>
      </c>
      <c r="P1831" s="25" t="str">
        <f>IFERROR(
IF(OR(O1831="anulado",O1831="stand by"),CONCATENATE(O1831,": ",H1831),
IF(OR(YEAR(M1831)=2022,YEAR(M1831)=2023),CONCATENATE("Se activó en ",YEAR(M1831)),
IF(AND(OR(O1831="En proceso",O1831="facturando"),AND(J1831="-",M1831="")),"Por revisar",
IF(M1831="",IF(J1831="NUEVAS",CONCATENATE("Estado: ",O1831,", ",J1831),
IF(L1831=Meses!$A$3,"Por revisar",
IF(H1831="","Sin registro","En programación Frcst."))),"En programación")))),
"Error")</f>
        <v>En programación</v>
      </c>
      <c r="Q1831" s="9" t="str">
        <f t="shared" si="84"/>
        <v/>
      </c>
      <c r="R1831" s="25">
        <f>IF(P1831="En programación Frcst.",VLOOKUP(L1831,Meses!$A$1:$H$14,3+HLOOKUP(Cronograma!J1831,Meses!$D$1:$G$2,2,FALSE),FALSE),
IF(P1831="En programación",M1831,""))</f>
        <v>45372</v>
      </c>
      <c r="S1831" s="25" t="str">
        <f t="shared" si="87"/>
        <v>2024/3</v>
      </c>
      <c r="T1831" s="21">
        <f>IFERROR(
(VLOOKUP(MONTH(R1831),Meses!$B$3:$C$14,2,FALSE)-DAY(R1831))/VLOOKUP(MONTH(R1831),Meses!$B$3:$C$14,2,FALSE)*U1831,
"")</f>
        <v>1930.6451612903224</v>
      </c>
      <c r="U1831" s="22">
        <f t="shared" si="85"/>
        <v>5985</v>
      </c>
    </row>
    <row r="1832" spans="1:21" ht="31.8" hidden="1" thickBot="1" x14ac:dyDescent="0.6">
      <c r="A1832" s="10" t="s">
        <v>1231</v>
      </c>
      <c r="B1832" s="10" t="s">
        <v>2392</v>
      </c>
      <c r="C1832" s="12"/>
      <c r="D1832" s="10" t="s">
        <v>14</v>
      </c>
      <c r="E1832" s="10" t="s">
        <v>14</v>
      </c>
      <c r="F1832" s="10">
        <v>109574</v>
      </c>
      <c r="G1832" s="10" t="s">
        <v>15</v>
      </c>
      <c r="H1832" s="10" t="s">
        <v>2917</v>
      </c>
      <c r="I1832" s="10" t="s">
        <v>18</v>
      </c>
      <c r="J1832" s="10" t="s">
        <v>277</v>
      </c>
      <c r="K1832" s="10" t="s">
        <v>3310</v>
      </c>
      <c r="L1832" s="10" t="s">
        <v>1120</v>
      </c>
      <c r="M1832" s="12">
        <v>45372</v>
      </c>
      <c r="N1832" s="10" t="s">
        <v>20</v>
      </c>
      <c r="O1832" s="10" t="s">
        <v>2057</v>
      </c>
      <c r="P1832" s="25" t="str">
        <f>IFERROR(
IF(OR(O1832="anulado",O1832="stand by"),CONCATENATE(O1832,": ",H1832),
IF(OR(YEAR(M1832)=2022,YEAR(M1832)=2023),CONCATENATE("Se activó en ",YEAR(M1832)),
IF(AND(OR(O1832="En proceso",O1832="facturando"),AND(J1832="-",M1832="")),"Por revisar",
IF(M1832="",IF(J1832="NUEVAS",CONCATENATE("Estado: ",O1832,", ",J1832),
IF(L1832=Meses!$A$3,"Por revisar",
IF(H1832="","Sin registro","En programación Frcst."))),"En programación")))),
"Error")</f>
        <v>En programación</v>
      </c>
      <c r="Q1832" s="9" t="str">
        <f t="shared" si="84"/>
        <v/>
      </c>
      <c r="R1832" s="25">
        <f>IF(P1832="En programación Frcst.",VLOOKUP(L1832,Meses!$A$1:$H$14,3+HLOOKUP(Cronograma!J1832,Meses!$D$1:$G$2,2,FALSE),FALSE),
IF(P1832="En programación",M1832,""))</f>
        <v>45372</v>
      </c>
      <c r="S1832" s="25" t="str">
        <f t="shared" si="87"/>
        <v>2024/3</v>
      </c>
      <c r="T1832" s="21">
        <f>IFERROR(
(VLOOKUP(MONTH(R1832),Meses!$B$3:$C$14,2,FALSE)-DAY(R1832))/VLOOKUP(MONTH(R1832),Meses!$B$3:$C$14,2,FALSE)*U1832,
"")</f>
        <v>35346.451612903227</v>
      </c>
      <c r="U1832" s="22">
        <f t="shared" si="85"/>
        <v>109574</v>
      </c>
    </row>
    <row r="1833" spans="1:21" ht="47.4" hidden="1" thickBot="1" x14ac:dyDescent="0.6">
      <c r="A1833" s="10" t="s">
        <v>2347</v>
      </c>
      <c r="B1833" s="10" t="s">
        <v>2393</v>
      </c>
      <c r="C1833" s="12"/>
      <c r="D1833" s="10" t="s">
        <v>14</v>
      </c>
      <c r="E1833" s="10" t="s">
        <v>14</v>
      </c>
      <c r="F1833" s="10">
        <v>1338</v>
      </c>
      <c r="G1833" s="10" t="s">
        <v>15</v>
      </c>
      <c r="H1833" s="10" t="s">
        <v>2917</v>
      </c>
      <c r="I1833" s="10" t="s">
        <v>18</v>
      </c>
      <c r="J1833" s="10" t="s">
        <v>277</v>
      </c>
      <c r="K1833" s="10" t="s">
        <v>3327</v>
      </c>
      <c r="L1833" s="10" t="s">
        <v>2292</v>
      </c>
      <c r="M1833" s="12">
        <v>45400</v>
      </c>
      <c r="N1833" s="10" t="s">
        <v>15</v>
      </c>
      <c r="O1833" s="10" t="s">
        <v>2057</v>
      </c>
      <c r="P1833" s="25" t="str">
        <f>IFERROR(
IF(OR(O1833="anulado",O1833="stand by"),CONCATENATE(O1833,": ",H1833),
IF(OR(YEAR(M1833)=2022,YEAR(M1833)=2023),CONCATENATE("Se activó en ",YEAR(M1833)),
IF(AND(OR(O1833="En proceso",O1833="facturando"),AND(J1833="-",M1833="")),"Por revisar",
IF(M1833="",IF(J1833="NUEVAS",CONCATENATE("Estado: ",O1833,", ",J1833),
IF(L1833=Meses!$A$3,"Por revisar",
IF(H1833="","Sin registro","En programación Frcst."))),"En programación")))),
"Error")</f>
        <v>En programación</v>
      </c>
      <c r="Q1833" s="9" t="str">
        <f t="shared" si="84"/>
        <v/>
      </c>
      <c r="R1833" s="25">
        <f>IF(P1833="En programación Frcst.",VLOOKUP(L1833,Meses!$A$1:$H$14,3+HLOOKUP(Cronograma!J1833,Meses!$D$1:$G$2,2,FALSE),FALSE),
IF(P1833="En programación",M1833,""))</f>
        <v>45400</v>
      </c>
      <c r="S1833" s="25" t="str">
        <f t="shared" si="87"/>
        <v>2024/4</v>
      </c>
      <c r="T1833" s="21">
        <f>IFERROR(
(VLOOKUP(MONTH(R1833),Meses!$B$3:$C$14,2,FALSE)-DAY(R1833))/VLOOKUP(MONTH(R1833),Meses!$B$3:$C$14,2,FALSE)*U1833,
"")</f>
        <v>535.20000000000005</v>
      </c>
      <c r="U1833" s="22">
        <f t="shared" si="85"/>
        <v>1338</v>
      </c>
    </row>
    <row r="1834" spans="1:21" ht="47.4" hidden="1" thickBot="1" x14ac:dyDescent="0.6">
      <c r="A1834" s="10" t="s">
        <v>2347</v>
      </c>
      <c r="B1834" s="10" t="s">
        <v>2394</v>
      </c>
      <c r="C1834" s="12"/>
      <c r="D1834" s="10" t="s">
        <v>14</v>
      </c>
      <c r="E1834" s="10" t="s">
        <v>14</v>
      </c>
      <c r="F1834" s="10">
        <v>2121</v>
      </c>
      <c r="G1834" s="10" t="s">
        <v>15</v>
      </c>
      <c r="H1834" s="10" t="s">
        <v>2917</v>
      </c>
      <c r="I1834" s="10" t="s">
        <v>18</v>
      </c>
      <c r="J1834" s="10" t="s">
        <v>277</v>
      </c>
      <c r="K1834" s="10" t="s">
        <v>3327</v>
      </c>
      <c r="L1834" s="10" t="s">
        <v>2292</v>
      </c>
      <c r="M1834" s="12">
        <v>45400</v>
      </c>
      <c r="N1834" s="10" t="s">
        <v>15</v>
      </c>
      <c r="O1834" s="10" t="s">
        <v>2057</v>
      </c>
      <c r="P1834" s="25" t="str">
        <f>IFERROR(
IF(OR(O1834="anulado",O1834="stand by"),CONCATENATE(O1834,": ",H1834),
IF(OR(YEAR(M1834)=2022,YEAR(M1834)=2023),CONCATENATE("Se activó en ",YEAR(M1834)),
IF(AND(OR(O1834="En proceso",O1834="facturando"),AND(J1834="-",M1834="")),"Por revisar",
IF(M1834="",IF(J1834="NUEVAS",CONCATENATE("Estado: ",O1834,", ",J1834),
IF(L1834=Meses!$A$3,"Por revisar",
IF(H1834="","Sin registro","En programación Frcst."))),"En programación")))),
"Error")</f>
        <v>En programación</v>
      </c>
      <c r="Q1834" s="9" t="str">
        <f t="shared" si="84"/>
        <v/>
      </c>
      <c r="R1834" s="25">
        <f>IF(P1834="En programación Frcst.",VLOOKUP(L1834,Meses!$A$1:$H$14,3+HLOOKUP(Cronograma!J1834,Meses!$D$1:$G$2,2,FALSE),FALSE),
IF(P1834="En programación",M1834,""))</f>
        <v>45400</v>
      </c>
      <c r="S1834" s="25" t="str">
        <f t="shared" si="87"/>
        <v>2024/4</v>
      </c>
      <c r="T1834" s="21">
        <f>IFERROR(
(VLOOKUP(MONTH(R1834),Meses!$B$3:$C$14,2,FALSE)-DAY(R1834))/VLOOKUP(MONTH(R1834),Meses!$B$3:$C$14,2,FALSE)*U1834,
"")</f>
        <v>848.40000000000009</v>
      </c>
      <c r="U1834" s="22">
        <f t="shared" si="85"/>
        <v>2121</v>
      </c>
    </row>
    <row r="1835" spans="1:21" ht="31.8" hidden="1" thickBot="1" x14ac:dyDescent="0.6">
      <c r="A1835" s="10" t="s">
        <v>2395</v>
      </c>
      <c r="B1835" s="10" t="s">
        <v>2396</v>
      </c>
      <c r="C1835" s="12"/>
      <c r="D1835" s="10" t="s">
        <v>14</v>
      </c>
      <c r="E1835" s="10" t="s">
        <v>14</v>
      </c>
      <c r="F1835" s="10">
        <v>2397</v>
      </c>
      <c r="G1835" s="10" t="s">
        <v>15</v>
      </c>
      <c r="H1835" s="10" t="s">
        <v>2917</v>
      </c>
      <c r="I1835" s="10" t="s">
        <v>18</v>
      </c>
      <c r="J1835" s="10" t="s">
        <v>277</v>
      </c>
      <c r="K1835" s="10" t="s">
        <v>3327</v>
      </c>
      <c r="L1835" s="10" t="s">
        <v>2292</v>
      </c>
      <c r="M1835" s="12">
        <v>45400</v>
      </c>
      <c r="N1835" s="10" t="s">
        <v>15</v>
      </c>
      <c r="O1835" s="10" t="s">
        <v>2057</v>
      </c>
      <c r="P1835" s="25" t="str">
        <f>IFERROR(
IF(OR(O1835="anulado",O1835="stand by"),CONCATENATE(O1835,": ",H1835),
IF(OR(YEAR(M1835)=2022,YEAR(M1835)=2023),CONCATENATE("Se activó en ",YEAR(M1835)),
IF(AND(OR(O1835="En proceso",O1835="facturando"),AND(J1835="-",M1835="")),"Por revisar",
IF(M1835="",IF(J1835="NUEVAS",CONCATENATE("Estado: ",O1835,", ",J1835),
IF(L1835=Meses!$A$3,"Por revisar",
IF(H1835="","Sin registro","En programación Frcst."))),"En programación")))),
"Error")</f>
        <v>En programación</v>
      </c>
      <c r="Q1835" s="9" t="str">
        <f t="shared" si="84"/>
        <v/>
      </c>
      <c r="R1835" s="25">
        <f>IF(P1835="En programación Frcst.",VLOOKUP(L1835,Meses!$A$1:$H$14,3+HLOOKUP(Cronograma!J1835,Meses!$D$1:$G$2,2,FALSE),FALSE),
IF(P1835="En programación",M1835,""))</f>
        <v>45400</v>
      </c>
      <c r="S1835" s="25" t="str">
        <f t="shared" si="87"/>
        <v>2024/4</v>
      </c>
      <c r="T1835" s="21">
        <f>IFERROR(
(VLOOKUP(MONTH(R1835),Meses!$B$3:$C$14,2,FALSE)-DAY(R1835))/VLOOKUP(MONTH(R1835),Meses!$B$3:$C$14,2,FALSE)*U1835,
"")</f>
        <v>958.80000000000007</v>
      </c>
      <c r="U1835" s="22">
        <f t="shared" si="85"/>
        <v>2397</v>
      </c>
    </row>
    <row r="1836" spans="1:21" ht="31.8" hidden="1" thickBot="1" x14ac:dyDescent="0.6">
      <c r="A1836" s="10" t="s">
        <v>2397</v>
      </c>
      <c r="B1836" s="10" t="s">
        <v>2398</v>
      </c>
      <c r="C1836" s="12"/>
      <c r="D1836" s="10" t="s">
        <v>74</v>
      </c>
      <c r="E1836" s="10" t="s">
        <v>74</v>
      </c>
      <c r="F1836" s="10">
        <v>3586</v>
      </c>
      <c r="G1836" s="10" t="s">
        <v>15</v>
      </c>
      <c r="H1836" s="10" t="s">
        <v>2916</v>
      </c>
      <c r="I1836" s="10" t="s">
        <v>43</v>
      </c>
      <c r="J1836" s="10" t="s">
        <v>143</v>
      </c>
      <c r="K1836" s="10" t="s">
        <v>2895</v>
      </c>
      <c r="L1836" s="10" t="s">
        <v>2292</v>
      </c>
      <c r="M1836" s="12">
        <v>45400</v>
      </c>
      <c r="N1836" s="10" t="s">
        <v>15</v>
      </c>
      <c r="O1836" s="10" t="s">
        <v>2057</v>
      </c>
      <c r="P1836" s="25" t="str">
        <f>IFERROR(
IF(OR(O1836="anulado",O1836="stand by"),CONCATENATE(O1836,": ",H1836),
IF(OR(YEAR(M1836)=2022,YEAR(M1836)=2023),CONCATENATE("Se activó en ",YEAR(M1836)),
IF(AND(OR(O1836="En proceso",O1836="facturando"),AND(J1836="-",M1836="")),"Por revisar",
IF(M1836="",IF(J1836="NUEVAS",CONCATENATE("Estado: ",O1836,", ",J1836),
IF(L1836=Meses!$A$3,"Por revisar",
IF(H1836="","Sin registro","En programación Frcst."))),"En programación")))),
"Error")</f>
        <v>En programación</v>
      </c>
      <c r="Q1836" s="9" t="str">
        <f t="shared" si="84"/>
        <v/>
      </c>
      <c r="R1836" s="25">
        <f>IF(P1836="En programación Frcst.",VLOOKUP(L1836,Meses!$A$1:$H$14,3+HLOOKUP(Cronograma!J1836,Meses!$D$1:$G$2,2,FALSE),FALSE),
IF(P1836="En programación",M1836,""))</f>
        <v>45400</v>
      </c>
      <c r="S1836" s="25" t="str">
        <f t="shared" si="87"/>
        <v>2024/4</v>
      </c>
      <c r="T1836" s="21">
        <f>IFERROR(
(VLOOKUP(MONTH(R1836),Meses!$B$3:$C$14,2,FALSE)-DAY(R1836))/VLOOKUP(MONTH(R1836),Meses!$B$3:$C$14,2,FALSE)*U1836,
"")</f>
        <v>1434.4</v>
      </c>
      <c r="U1836" s="22">
        <f t="shared" si="85"/>
        <v>3586</v>
      </c>
    </row>
    <row r="1837" spans="1:21" ht="31.8" hidden="1" thickBot="1" x14ac:dyDescent="0.6">
      <c r="A1837" s="10" t="s">
        <v>2397</v>
      </c>
      <c r="B1837" s="10" t="s">
        <v>2399</v>
      </c>
      <c r="C1837" s="12"/>
      <c r="D1837" s="10" t="s">
        <v>74</v>
      </c>
      <c r="E1837" s="10" t="s">
        <v>74</v>
      </c>
      <c r="F1837" s="10">
        <v>1132</v>
      </c>
      <c r="G1837" s="10" t="s">
        <v>15</v>
      </c>
      <c r="H1837" s="10" t="s">
        <v>2916</v>
      </c>
      <c r="I1837" s="10" t="s">
        <v>43</v>
      </c>
      <c r="J1837" s="10" t="s">
        <v>143</v>
      </c>
      <c r="K1837" s="10" t="s">
        <v>2895</v>
      </c>
      <c r="L1837" s="10" t="s">
        <v>2292</v>
      </c>
      <c r="M1837" s="12">
        <v>45400</v>
      </c>
      <c r="N1837" s="10" t="s">
        <v>15</v>
      </c>
      <c r="O1837" s="10" t="s">
        <v>2057</v>
      </c>
      <c r="P1837" s="25" t="str">
        <f>IFERROR(
IF(OR(O1837="anulado",O1837="stand by"),CONCATENATE(O1837,": ",H1837),
IF(OR(YEAR(M1837)=2022,YEAR(M1837)=2023),CONCATENATE("Se activó en ",YEAR(M1837)),
IF(AND(OR(O1837="En proceso",O1837="facturando"),AND(J1837="-",M1837="")),"Por revisar",
IF(M1837="",IF(J1837="NUEVAS",CONCATENATE("Estado: ",O1837,", ",J1837),
IF(L1837=Meses!$A$3,"Por revisar",
IF(H1837="","Sin registro","En programación Frcst."))),"En programación")))),
"Error")</f>
        <v>En programación</v>
      </c>
      <c r="Q1837" s="9" t="str">
        <f t="shared" si="84"/>
        <v/>
      </c>
      <c r="R1837" s="25">
        <f>IF(P1837="En programación Frcst.",VLOOKUP(L1837,Meses!$A$1:$H$14,3+HLOOKUP(Cronograma!J1837,Meses!$D$1:$G$2,2,FALSE),FALSE),
IF(P1837="En programación",M1837,""))</f>
        <v>45400</v>
      </c>
      <c r="S1837" s="25" t="str">
        <f t="shared" si="87"/>
        <v>2024/4</v>
      </c>
      <c r="T1837" s="21">
        <f>IFERROR(
(VLOOKUP(MONTH(R1837),Meses!$B$3:$C$14,2,FALSE)-DAY(R1837))/VLOOKUP(MONTH(R1837),Meses!$B$3:$C$14,2,FALSE)*U1837,
"")</f>
        <v>452.8</v>
      </c>
      <c r="U1837" s="22">
        <f t="shared" si="85"/>
        <v>1132</v>
      </c>
    </row>
    <row r="1838" spans="1:21" ht="31.8" hidden="1" thickBot="1" x14ac:dyDescent="0.6">
      <c r="A1838" s="10" t="s">
        <v>2400</v>
      </c>
      <c r="B1838" s="10" t="s">
        <v>2401</v>
      </c>
      <c r="C1838" s="12"/>
      <c r="D1838" s="10" t="s">
        <v>14</v>
      </c>
      <c r="E1838" s="10" t="s">
        <v>14</v>
      </c>
      <c r="F1838" s="10">
        <v>105000</v>
      </c>
      <c r="G1838" s="10" t="s">
        <v>15</v>
      </c>
      <c r="H1838" s="10" t="s">
        <v>2917</v>
      </c>
      <c r="I1838" s="10" t="s">
        <v>18</v>
      </c>
      <c r="J1838" s="10" t="s">
        <v>277</v>
      </c>
      <c r="K1838" s="10" t="s">
        <v>3327</v>
      </c>
      <c r="L1838" s="10" t="s">
        <v>2292</v>
      </c>
      <c r="M1838" s="12">
        <v>45400</v>
      </c>
      <c r="N1838" s="10" t="s">
        <v>15</v>
      </c>
      <c r="O1838" s="10" t="s">
        <v>2057</v>
      </c>
      <c r="P1838" s="25" t="str">
        <f>IFERROR(
IF(OR(O1838="anulado",O1838="stand by"),CONCATENATE(O1838,": ",H1838),
IF(OR(YEAR(M1838)=2022,YEAR(M1838)=2023),CONCATENATE("Se activó en ",YEAR(M1838)),
IF(AND(OR(O1838="En proceso",O1838="facturando"),AND(J1838="-",M1838="")),"Por revisar",
IF(M1838="",IF(J1838="NUEVAS",CONCATENATE("Estado: ",O1838,", ",J1838),
IF(L1838=Meses!$A$3,"Por revisar",
IF(H1838="","Sin registro","En programación Frcst."))),"En programación")))),
"Error")</f>
        <v>En programación</v>
      </c>
      <c r="Q1838" s="9" t="str">
        <f t="shared" si="84"/>
        <v/>
      </c>
      <c r="R1838" s="25">
        <f>IF(P1838="En programación Frcst.",VLOOKUP(L1838,Meses!$A$1:$H$14,3+HLOOKUP(Cronograma!J1838,Meses!$D$1:$G$2,2,FALSE),FALSE),
IF(P1838="En programación",M1838,""))</f>
        <v>45400</v>
      </c>
      <c r="S1838" s="25" t="str">
        <f t="shared" si="87"/>
        <v>2024/4</v>
      </c>
      <c r="T1838" s="21">
        <f>IFERROR(
(VLOOKUP(MONTH(R1838),Meses!$B$3:$C$14,2,FALSE)-DAY(R1838))/VLOOKUP(MONTH(R1838),Meses!$B$3:$C$14,2,FALSE)*U1838,
"")</f>
        <v>42000</v>
      </c>
      <c r="U1838" s="22">
        <f t="shared" si="85"/>
        <v>105000</v>
      </c>
    </row>
    <row r="1839" spans="1:21" ht="31.8" hidden="1" thickBot="1" x14ac:dyDescent="0.6">
      <c r="A1839" s="10" t="s">
        <v>2395</v>
      </c>
      <c r="B1839" s="10" t="s">
        <v>2402</v>
      </c>
      <c r="C1839" s="12"/>
      <c r="D1839" s="10" t="s">
        <v>14</v>
      </c>
      <c r="E1839" s="10" t="s">
        <v>14</v>
      </c>
      <c r="F1839" s="10">
        <v>2596</v>
      </c>
      <c r="G1839" s="10" t="s">
        <v>15</v>
      </c>
      <c r="H1839" s="10" t="s">
        <v>2917</v>
      </c>
      <c r="I1839" s="10" t="s">
        <v>18</v>
      </c>
      <c r="J1839" s="10" t="s">
        <v>277</v>
      </c>
      <c r="K1839" s="10" t="s">
        <v>3327</v>
      </c>
      <c r="L1839" s="10" t="s">
        <v>2292</v>
      </c>
      <c r="M1839" s="12">
        <v>45400</v>
      </c>
      <c r="N1839" s="10" t="s">
        <v>15</v>
      </c>
      <c r="O1839" s="10" t="s">
        <v>2057</v>
      </c>
      <c r="P1839" s="25" t="str">
        <f>IFERROR(
IF(OR(O1839="anulado",O1839="stand by"),CONCATENATE(O1839,": ",H1839),
IF(OR(YEAR(M1839)=2022,YEAR(M1839)=2023),CONCATENATE("Se activó en ",YEAR(M1839)),
IF(AND(OR(O1839="En proceso",O1839="facturando"),AND(J1839="-",M1839="")),"Por revisar",
IF(M1839="",IF(J1839="NUEVAS",CONCATENATE("Estado: ",O1839,", ",J1839),
IF(L1839=Meses!$A$3,"Por revisar",
IF(H1839="","Sin registro","En programación Frcst."))),"En programación")))),
"Error")</f>
        <v>En programación</v>
      </c>
      <c r="Q1839" s="9" t="str">
        <f t="shared" si="84"/>
        <v/>
      </c>
      <c r="R1839" s="25">
        <f>IF(P1839="En programación Frcst.",VLOOKUP(L1839,Meses!$A$1:$H$14,3+HLOOKUP(Cronograma!J1839,Meses!$D$1:$G$2,2,FALSE),FALSE),
IF(P1839="En programación",M1839,""))</f>
        <v>45400</v>
      </c>
      <c r="S1839" s="25" t="str">
        <f t="shared" si="87"/>
        <v>2024/4</v>
      </c>
      <c r="T1839" s="21">
        <f>IFERROR(
(VLOOKUP(MONTH(R1839),Meses!$B$3:$C$14,2,FALSE)-DAY(R1839))/VLOOKUP(MONTH(R1839),Meses!$B$3:$C$14,2,FALSE)*U1839,
"")</f>
        <v>1038.4000000000001</v>
      </c>
      <c r="U1839" s="22">
        <f t="shared" si="85"/>
        <v>2596</v>
      </c>
    </row>
    <row r="1840" spans="1:21" ht="31.8" hidden="1" thickBot="1" x14ac:dyDescent="0.6">
      <c r="A1840" s="10" t="s">
        <v>2395</v>
      </c>
      <c r="B1840" s="10" t="s">
        <v>2403</v>
      </c>
      <c r="C1840" s="12"/>
      <c r="D1840" s="10" t="s">
        <v>14</v>
      </c>
      <c r="E1840" s="10" t="s">
        <v>14</v>
      </c>
      <c r="F1840" s="10">
        <v>2703</v>
      </c>
      <c r="G1840" s="10" t="s">
        <v>15</v>
      </c>
      <c r="H1840" s="10" t="s">
        <v>2917</v>
      </c>
      <c r="I1840" s="10" t="s">
        <v>18</v>
      </c>
      <c r="J1840" s="10" t="s">
        <v>277</v>
      </c>
      <c r="K1840" s="10" t="s">
        <v>3327</v>
      </c>
      <c r="L1840" s="10" t="s">
        <v>2292</v>
      </c>
      <c r="M1840" s="12">
        <v>45400</v>
      </c>
      <c r="N1840" s="10" t="s">
        <v>15</v>
      </c>
      <c r="O1840" s="10" t="s">
        <v>2057</v>
      </c>
      <c r="P1840" s="25" t="str">
        <f>IFERROR(
IF(OR(O1840="anulado",O1840="stand by"),CONCATENATE(O1840,": ",H1840),
IF(OR(YEAR(M1840)=2022,YEAR(M1840)=2023),CONCATENATE("Se activó en ",YEAR(M1840)),
IF(AND(OR(O1840="En proceso",O1840="facturando"),AND(J1840="-",M1840="")),"Por revisar",
IF(M1840="",IF(J1840="NUEVAS",CONCATENATE("Estado: ",O1840,", ",J1840),
IF(L1840=Meses!$A$3,"Por revisar",
IF(H1840="","Sin registro","En programación Frcst."))),"En programación")))),
"Error")</f>
        <v>En programación</v>
      </c>
      <c r="Q1840" s="9" t="str">
        <f t="shared" si="84"/>
        <v/>
      </c>
      <c r="R1840" s="25">
        <f>IF(P1840="En programación Frcst.",VLOOKUP(L1840,Meses!$A$1:$H$14,3+HLOOKUP(Cronograma!J1840,Meses!$D$1:$G$2,2,FALSE),FALSE),
IF(P1840="En programación",M1840,""))</f>
        <v>45400</v>
      </c>
      <c r="S1840" s="25" t="str">
        <f t="shared" si="87"/>
        <v>2024/4</v>
      </c>
      <c r="T1840" s="21">
        <f>IFERROR(
(VLOOKUP(MONTH(R1840),Meses!$B$3:$C$14,2,FALSE)-DAY(R1840))/VLOOKUP(MONTH(R1840),Meses!$B$3:$C$14,2,FALSE)*U1840,
"")</f>
        <v>1081.2</v>
      </c>
      <c r="U1840" s="22">
        <f t="shared" si="85"/>
        <v>2703</v>
      </c>
    </row>
    <row r="1841" spans="1:21" ht="31.8" hidden="1" thickBot="1" x14ac:dyDescent="0.6">
      <c r="A1841" s="10" t="s">
        <v>2395</v>
      </c>
      <c r="B1841" s="10" t="s">
        <v>2404</v>
      </c>
      <c r="C1841" s="12"/>
      <c r="D1841" s="10" t="s">
        <v>14</v>
      </c>
      <c r="E1841" s="10" t="s">
        <v>14</v>
      </c>
      <c r="F1841" s="10">
        <v>10000</v>
      </c>
      <c r="G1841" s="10" t="s">
        <v>15</v>
      </c>
      <c r="H1841" s="10" t="s">
        <v>2917</v>
      </c>
      <c r="I1841" s="10" t="s">
        <v>18</v>
      </c>
      <c r="J1841" s="10" t="s">
        <v>277</v>
      </c>
      <c r="K1841" s="10" t="s">
        <v>3327</v>
      </c>
      <c r="L1841" s="10" t="s">
        <v>2292</v>
      </c>
      <c r="M1841" s="12">
        <v>45400</v>
      </c>
      <c r="N1841" s="10" t="s">
        <v>15</v>
      </c>
      <c r="O1841" s="10" t="s">
        <v>2057</v>
      </c>
      <c r="P1841" s="25" t="str">
        <f>IFERROR(
IF(OR(O1841="anulado",O1841="stand by"),CONCATENATE(O1841,": ",H1841),
IF(OR(YEAR(M1841)=2022,YEAR(M1841)=2023),CONCATENATE("Se activó en ",YEAR(M1841)),
IF(AND(OR(O1841="En proceso",O1841="facturando"),AND(J1841="-",M1841="")),"Por revisar",
IF(M1841="",IF(J1841="NUEVAS",CONCATENATE("Estado: ",O1841,", ",J1841),
IF(L1841=Meses!$A$3,"Por revisar",
IF(H1841="","Sin registro","En programación Frcst."))),"En programación")))),
"Error")</f>
        <v>En programación</v>
      </c>
      <c r="Q1841" s="9" t="str">
        <f t="shared" si="84"/>
        <v/>
      </c>
      <c r="R1841" s="25">
        <f>IF(P1841="En programación Frcst.",VLOOKUP(L1841,Meses!$A$1:$H$14,3+HLOOKUP(Cronograma!J1841,Meses!$D$1:$G$2,2,FALSE),FALSE),
IF(P1841="En programación",M1841,""))</f>
        <v>45400</v>
      </c>
      <c r="S1841" s="25" t="str">
        <f t="shared" si="87"/>
        <v>2024/4</v>
      </c>
      <c r="T1841" s="21">
        <f>IFERROR(
(VLOOKUP(MONTH(R1841),Meses!$B$3:$C$14,2,FALSE)-DAY(R1841))/VLOOKUP(MONTH(R1841),Meses!$B$3:$C$14,2,FALSE)*U1841,
"")</f>
        <v>4000</v>
      </c>
      <c r="U1841" s="22">
        <f t="shared" si="85"/>
        <v>10000</v>
      </c>
    </row>
    <row r="1842" spans="1:21" ht="31.8" hidden="1" thickBot="1" x14ac:dyDescent="0.6">
      <c r="A1842" s="10" t="s">
        <v>2417</v>
      </c>
      <c r="B1842" s="10" t="s">
        <v>2418</v>
      </c>
      <c r="C1842" s="12"/>
      <c r="D1842" s="10" t="s">
        <v>74</v>
      </c>
      <c r="E1842" s="10" t="s">
        <v>74</v>
      </c>
      <c r="F1842" s="10">
        <v>3349</v>
      </c>
      <c r="G1842" s="10" t="s">
        <v>15</v>
      </c>
      <c r="H1842" s="10" t="s">
        <v>2916</v>
      </c>
      <c r="I1842" s="10" t="s">
        <v>43</v>
      </c>
      <c r="J1842" s="10" t="s">
        <v>292</v>
      </c>
      <c r="K1842" s="10" t="s">
        <v>3325</v>
      </c>
      <c r="L1842" s="10" t="s">
        <v>2292</v>
      </c>
      <c r="M1842" s="12">
        <v>45407</v>
      </c>
      <c r="N1842" s="10" t="s">
        <v>20</v>
      </c>
      <c r="O1842" s="10" t="s">
        <v>2057</v>
      </c>
      <c r="P1842" s="25" t="str">
        <f>IFERROR(
IF(OR(O1842="anulado",O1842="stand by"),CONCATENATE(O1842,": ",H1842),
IF(OR(YEAR(M1842)=2022,YEAR(M1842)=2023),CONCATENATE("Se activó en ",YEAR(M1842)),
IF(AND(OR(O1842="En proceso",O1842="facturando"),AND(J1842="-",M1842="")),"Por revisar",
IF(M1842="",IF(J1842="NUEVAS",CONCATENATE("Estado: ",O1842,", ",J1842),
IF(L1842=Meses!$A$3,"Por revisar",
IF(H1842="","Sin registro","En programación Frcst."))),"En programación")))),
"Error")</f>
        <v>En programación</v>
      </c>
      <c r="Q1842" s="9" t="str">
        <f t="shared" si="84"/>
        <v/>
      </c>
      <c r="R1842" s="25">
        <f>IF(P1842="En programación Frcst.",VLOOKUP(L1842,Meses!$A$1:$H$14,3+HLOOKUP(Cronograma!J1842,Meses!$D$1:$G$2,2,FALSE),FALSE),
IF(P1842="En programación",M1842,""))</f>
        <v>45407</v>
      </c>
      <c r="S1842" s="25" t="str">
        <f t="shared" si="87"/>
        <v>2024/4</v>
      </c>
      <c r="T1842" s="21">
        <f>IFERROR(
(VLOOKUP(MONTH(R1842),Meses!$B$3:$C$14,2,FALSE)-DAY(R1842))/VLOOKUP(MONTH(R1842),Meses!$B$3:$C$14,2,FALSE)*U1842,
"")</f>
        <v>558.16666666666663</v>
      </c>
      <c r="U1842" s="22">
        <f t="shared" si="85"/>
        <v>3349</v>
      </c>
    </row>
    <row r="1843" spans="1:21" ht="47.4" hidden="1" thickBot="1" x14ac:dyDescent="0.6">
      <c r="A1843" s="10" t="s">
        <v>2419</v>
      </c>
      <c r="B1843" s="10" t="s">
        <v>2420</v>
      </c>
      <c r="C1843" s="12"/>
      <c r="D1843" s="10" t="s">
        <v>188</v>
      </c>
      <c r="E1843" s="10" t="s">
        <v>188</v>
      </c>
      <c r="F1843" s="10">
        <v>2233</v>
      </c>
      <c r="G1843" s="10" t="s">
        <v>15</v>
      </c>
      <c r="H1843" s="10" t="s">
        <v>2916</v>
      </c>
      <c r="I1843" s="10" t="s">
        <v>43</v>
      </c>
      <c r="J1843" s="10" t="s">
        <v>292</v>
      </c>
      <c r="K1843" s="10" t="s">
        <v>3325</v>
      </c>
      <c r="L1843" s="10" t="s">
        <v>2292</v>
      </c>
      <c r="M1843" s="12">
        <v>45407</v>
      </c>
      <c r="N1843" s="10" t="s">
        <v>20</v>
      </c>
      <c r="O1843" s="10" t="s">
        <v>2057</v>
      </c>
      <c r="P1843" s="25" t="str">
        <f>IFERROR(
IF(OR(O1843="anulado",O1843="stand by"),CONCATENATE(O1843,": ",H1843),
IF(OR(YEAR(M1843)=2022,YEAR(M1843)=2023),CONCATENATE("Se activó en ",YEAR(M1843)),
IF(AND(OR(O1843="En proceso",O1843="facturando"),AND(J1843="-",M1843="")),"Por revisar",
IF(M1843="",IF(J1843="NUEVAS",CONCATENATE("Estado: ",O1843,", ",J1843),
IF(L1843=Meses!$A$3,"Por revisar",
IF(H1843="","Sin registro","En programación Frcst."))),"En programación")))),
"Error")</f>
        <v>En programación</v>
      </c>
      <c r="Q1843" s="9" t="str">
        <f t="shared" si="84"/>
        <v/>
      </c>
      <c r="R1843" s="25">
        <f>IF(P1843="En programación Frcst.",VLOOKUP(L1843,Meses!$A$1:$H$14,3+HLOOKUP(Cronograma!J1843,Meses!$D$1:$G$2,2,FALSE),FALSE),
IF(P1843="En programación",M1843,""))</f>
        <v>45407</v>
      </c>
      <c r="S1843" s="25" t="str">
        <f t="shared" si="87"/>
        <v>2024/4</v>
      </c>
      <c r="T1843" s="21">
        <f>IFERROR(
(VLOOKUP(MONTH(R1843),Meses!$B$3:$C$14,2,FALSE)-DAY(R1843))/VLOOKUP(MONTH(R1843),Meses!$B$3:$C$14,2,FALSE)*U1843,
"")</f>
        <v>372.16666666666663</v>
      </c>
      <c r="U1843" s="22">
        <f t="shared" si="85"/>
        <v>2233</v>
      </c>
    </row>
    <row r="1844" spans="1:21" ht="31.8" hidden="1" thickBot="1" x14ac:dyDescent="0.6">
      <c r="A1844" s="10" t="s">
        <v>2429</v>
      </c>
      <c r="B1844" s="10" t="s">
        <v>2430</v>
      </c>
      <c r="C1844" s="12"/>
      <c r="D1844" s="10" t="s">
        <v>74</v>
      </c>
      <c r="E1844" s="10" t="s">
        <v>74</v>
      </c>
      <c r="F1844" s="10">
        <v>6514</v>
      </c>
      <c r="G1844" s="10" t="s">
        <v>15</v>
      </c>
      <c r="H1844" s="10" t="s">
        <v>2916</v>
      </c>
      <c r="I1844" s="10" t="s">
        <v>43</v>
      </c>
      <c r="J1844" s="10" t="s">
        <v>292</v>
      </c>
      <c r="K1844" s="10" t="s">
        <v>3325</v>
      </c>
      <c r="L1844" s="10" t="s">
        <v>2292</v>
      </c>
      <c r="M1844" s="12">
        <v>45407</v>
      </c>
      <c r="N1844" s="10" t="s">
        <v>20</v>
      </c>
      <c r="O1844" s="10" t="s">
        <v>2057</v>
      </c>
      <c r="P1844" s="25" t="str">
        <f>IFERROR(
IF(OR(O1844="anulado",O1844="stand by"),CONCATENATE(O1844,": ",H1844),
IF(OR(YEAR(M1844)=2022,YEAR(M1844)=2023),CONCATENATE("Se activó en ",YEAR(M1844)),
IF(AND(OR(O1844="En proceso",O1844="facturando"),AND(J1844="-",M1844="")),"Por revisar",
IF(M1844="",IF(J1844="NUEVAS",CONCATENATE("Estado: ",O1844,", ",J1844),
IF(L1844=Meses!$A$3,"Por revisar",
IF(H1844="","Sin registro","En programación Frcst."))),"En programación")))),
"Error")</f>
        <v>En programación</v>
      </c>
      <c r="Q1844" s="9" t="str">
        <f t="shared" si="84"/>
        <v/>
      </c>
      <c r="R1844" s="25">
        <f>IF(P1844="En programación Frcst.",VLOOKUP(L1844,Meses!$A$1:$H$14,3+HLOOKUP(Cronograma!J1844,Meses!$D$1:$G$2,2,FALSE),FALSE),
IF(P1844="En programación",M1844,""))</f>
        <v>45407</v>
      </c>
      <c r="S1844" s="25" t="str">
        <f t="shared" si="87"/>
        <v>2024/4</v>
      </c>
      <c r="T1844" s="21">
        <f>IFERROR(
(VLOOKUP(MONTH(R1844),Meses!$B$3:$C$14,2,FALSE)-DAY(R1844))/VLOOKUP(MONTH(R1844),Meses!$B$3:$C$14,2,FALSE)*U1844,
"")</f>
        <v>1085.6666666666665</v>
      </c>
      <c r="U1844" s="22">
        <f t="shared" si="85"/>
        <v>6514</v>
      </c>
    </row>
    <row r="1845" spans="1:21" ht="31.8" thickBot="1" x14ac:dyDescent="0.6">
      <c r="A1845" s="10" t="s">
        <v>2425</v>
      </c>
      <c r="B1845" s="10" t="s">
        <v>2426</v>
      </c>
      <c r="C1845" s="12"/>
      <c r="D1845" s="10" t="s">
        <v>654</v>
      </c>
      <c r="E1845" s="10" t="s">
        <v>14</v>
      </c>
      <c r="F1845" s="10">
        <v>16564</v>
      </c>
      <c r="G1845" s="10" t="s">
        <v>15</v>
      </c>
      <c r="H1845" s="10" t="s">
        <v>2917</v>
      </c>
      <c r="I1845" s="10" t="s">
        <v>66</v>
      </c>
      <c r="J1845" s="10" t="s">
        <v>282</v>
      </c>
      <c r="K1845" s="10" t="s">
        <v>3326</v>
      </c>
      <c r="L1845" s="10" t="s">
        <v>2293</v>
      </c>
      <c r="M1845" s="12">
        <v>45414</v>
      </c>
      <c r="N1845" s="10" t="s">
        <v>20</v>
      </c>
      <c r="O1845" s="10" t="s">
        <v>2057</v>
      </c>
      <c r="P1845" s="25" t="str">
        <f>IFERROR(
IF(OR(O1845="anulado",O1845="stand by"),CONCATENATE(O1845,": ",H1845),
IF(OR(YEAR(M1845)=2022,YEAR(M1845)=2023),CONCATENATE("Se activó en ",YEAR(M1845)),
IF(AND(OR(O1845="En proceso",O1845="facturando"),AND(J1845="-",M1845="")),"Por revisar",
IF(M1845="",IF(J1845="NUEVAS",CONCATENATE("Estado: ",O1845,", ",J1845),
IF(L1845=Meses!$A$3,"Por revisar",
IF(H1845="","Sin registro","En programación Frcst."))),"En programación")))),
"Error")</f>
        <v>En programación</v>
      </c>
      <c r="Q1845" s="9" t="str">
        <f t="shared" si="84"/>
        <v/>
      </c>
      <c r="R1845" s="25">
        <f>IF(P1845="En programación Frcst.",VLOOKUP(L1845,Meses!$A$1:$H$14,3+HLOOKUP(Cronograma!J1845,Meses!$D$1:$G$2,2,FALSE),FALSE),
IF(P1845="En programación",M1845,""))</f>
        <v>45414</v>
      </c>
      <c r="S1845" s="25" t="str">
        <f t="shared" si="87"/>
        <v>2024/5</v>
      </c>
      <c r="T1845" s="21">
        <f>IFERROR(
(VLOOKUP(MONTH(R1845),Meses!$B$3:$C$14,2,FALSE)-DAY(R1845))/VLOOKUP(MONTH(R1845),Meses!$B$3:$C$14,2,FALSE)*U1845,
"")</f>
        <v>15495.354838709676</v>
      </c>
      <c r="U1845" s="22">
        <f t="shared" si="85"/>
        <v>16564</v>
      </c>
    </row>
    <row r="1846" spans="1:21" ht="31.8" hidden="1" thickBot="1" x14ac:dyDescent="0.6">
      <c r="A1846" s="10" t="s">
        <v>2433</v>
      </c>
      <c r="B1846" s="10" t="s">
        <v>2434</v>
      </c>
      <c r="C1846" s="12"/>
      <c r="D1846" s="10" t="s">
        <v>14</v>
      </c>
      <c r="E1846" s="10" t="s">
        <v>14</v>
      </c>
      <c r="F1846" s="10">
        <v>350000</v>
      </c>
      <c r="G1846" s="10" t="s">
        <v>15</v>
      </c>
      <c r="H1846" s="10" t="s">
        <v>2917</v>
      </c>
      <c r="I1846" s="10" t="s">
        <v>18</v>
      </c>
      <c r="J1846" s="10" t="s">
        <v>277</v>
      </c>
      <c r="K1846" s="10" t="s">
        <v>3327</v>
      </c>
      <c r="L1846" s="10" t="s">
        <v>2292</v>
      </c>
      <c r="M1846" s="12">
        <v>45400</v>
      </c>
      <c r="N1846" s="10" t="s">
        <v>20</v>
      </c>
      <c r="O1846" s="10" t="s">
        <v>2057</v>
      </c>
      <c r="P1846" s="25" t="str">
        <f>IFERROR(
IF(OR(O1846="anulado",O1846="stand by"),CONCATENATE(O1846,": ",H1846),
IF(OR(YEAR(M1846)=2022,YEAR(M1846)=2023),CONCATENATE("Se activó en ",YEAR(M1846)),
IF(AND(OR(O1846="En proceso",O1846="facturando"),AND(J1846="-",M1846="")),"Por revisar",
IF(M1846="",IF(J1846="NUEVAS",CONCATENATE("Estado: ",O1846,", ",J1846),
IF(L1846=Meses!$A$3,"Por revisar",
IF(H1846="","Sin registro","En programación Frcst."))),"En programación")))),
"Error")</f>
        <v>En programación</v>
      </c>
      <c r="Q1846" s="9" t="str">
        <f t="shared" si="84"/>
        <v/>
      </c>
      <c r="R1846" s="25">
        <f>IF(P1846="En programación Frcst.",VLOOKUP(L1846,Meses!$A$1:$H$14,3+HLOOKUP(Cronograma!J1846,Meses!$D$1:$G$2,2,FALSE),FALSE),
IF(P1846="En programación",M1846,""))</f>
        <v>45400</v>
      </c>
      <c r="S1846" s="25" t="str">
        <f t="shared" si="87"/>
        <v>2024/4</v>
      </c>
      <c r="T1846" s="21">
        <f>IFERROR(
(VLOOKUP(MONTH(R1846),Meses!$B$3:$C$14,2,FALSE)-DAY(R1846))/VLOOKUP(MONTH(R1846),Meses!$B$3:$C$14,2,FALSE)*U1846,
"")</f>
        <v>140000</v>
      </c>
      <c r="U1846" s="22">
        <f t="shared" si="85"/>
        <v>350000</v>
      </c>
    </row>
    <row r="1847" spans="1:21" ht="31.8" hidden="1" thickBot="1" x14ac:dyDescent="0.6">
      <c r="A1847" s="10" t="s">
        <v>2427</v>
      </c>
      <c r="B1847" s="10" t="s">
        <v>2432</v>
      </c>
      <c r="C1847" s="12"/>
      <c r="D1847" s="10" t="s">
        <v>74</v>
      </c>
      <c r="E1847" s="10" t="s">
        <v>74</v>
      </c>
      <c r="F1847" s="10">
        <v>6053</v>
      </c>
      <c r="G1847" s="10" t="s">
        <v>15</v>
      </c>
      <c r="H1847" s="10" t="s">
        <v>2916</v>
      </c>
      <c r="I1847" s="10" t="s">
        <v>43</v>
      </c>
      <c r="J1847" s="10" t="s">
        <v>292</v>
      </c>
      <c r="K1847" s="10" t="s">
        <v>3325</v>
      </c>
      <c r="L1847" s="10" t="s">
        <v>2292</v>
      </c>
      <c r="M1847" s="12">
        <v>45407</v>
      </c>
      <c r="N1847" s="10" t="s">
        <v>20</v>
      </c>
      <c r="O1847" s="10" t="s">
        <v>2057</v>
      </c>
      <c r="P1847" s="25" t="str">
        <f>IFERROR(
IF(OR(O1847="anulado",O1847="stand by"),CONCATENATE(O1847,": ",H1847),
IF(OR(YEAR(M1847)=2022,YEAR(M1847)=2023),CONCATENATE("Se activó en ",YEAR(M1847)),
IF(AND(OR(O1847="En proceso",O1847="facturando"),AND(J1847="-",M1847="")),"Por revisar",
IF(M1847="",IF(J1847="NUEVAS",CONCATENATE("Estado: ",O1847,", ",J1847),
IF(L1847=Meses!$A$3,"Por revisar",
IF(H1847="","Sin registro","En programación Frcst."))),"En programación")))),
"Error")</f>
        <v>En programación</v>
      </c>
      <c r="Q1847" s="9" t="str">
        <f t="shared" si="84"/>
        <v/>
      </c>
      <c r="R1847" s="25">
        <f>IF(P1847="En programación Frcst.",VLOOKUP(L1847,Meses!$A$1:$H$14,3+HLOOKUP(Cronograma!J1847,Meses!$D$1:$G$2,2,FALSE),FALSE),
IF(P1847="En programación",M1847,""))</f>
        <v>45407</v>
      </c>
      <c r="S1847" s="25" t="str">
        <f t="shared" si="87"/>
        <v>2024/4</v>
      </c>
      <c r="T1847" s="21">
        <f>IFERROR(
(VLOOKUP(MONTH(R1847),Meses!$B$3:$C$14,2,FALSE)-DAY(R1847))/VLOOKUP(MONTH(R1847),Meses!$B$3:$C$14,2,FALSE)*U1847,
"")</f>
        <v>1008.8333333333333</v>
      </c>
      <c r="U1847" s="22">
        <f t="shared" si="85"/>
        <v>6053</v>
      </c>
    </row>
    <row r="1848" spans="1:21" ht="31.8" hidden="1" thickBot="1" x14ac:dyDescent="0.6">
      <c r="A1848" s="10" t="s">
        <v>2427</v>
      </c>
      <c r="B1848" s="10" t="s">
        <v>2428</v>
      </c>
      <c r="C1848" s="12"/>
      <c r="D1848" s="10" t="s">
        <v>74</v>
      </c>
      <c r="E1848" s="10" t="s">
        <v>74</v>
      </c>
      <c r="F1848" s="10">
        <v>2652</v>
      </c>
      <c r="G1848" s="10" t="s">
        <v>15</v>
      </c>
      <c r="H1848" s="10" t="s">
        <v>2916</v>
      </c>
      <c r="I1848" s="10" t="s">
        <v>43</v>
      </c>
      <c r="J1848" s="10" t="s">
        <v>292</v>
      </c>
      <c r="K1848" s="10" t="s">
        <v>3325</v>
      </c>
      <c r="L1848" s="10" t="s">
        <v>2292</v>
      </c>
      <c r="M1848" s="12">
        <v>45407</v>
      </c>
      <c r="N1848" s="10" t="s">
        <v>20</v>
      </c>
      <c r="O1848" s="10" t="s">
        <v>2057</v>
      </c>
      <c r="P1848" s="25" t="str">
        <f>IFERROR(
IF(OR(O1848="anulado",O1848="stand by"),CONCATENATE(O1848,": ",H1848),
IF(OR(YEAR(M1848)=2022,YEAR(M1848)=2023),CONCATENATE("Se activó en ",YEAR(M1848)),
IF(AND(OR(O1848="En proceso",O1848="facturando"),AND(J1848="-",M1848="")),"Por revisar",
IF(M1848="",IF(J1848="NUEVAS",CONCATENATE("Estado: ",O1848,", ",J1848),
IF(L1848=Meses!$A$3,"Por revisar",
IF(H1848="","Sin registro","En programación Frcst."))),"En programación")))),
"Error")</f>
        <v>En programación</v>
      </c>
      <c r="Q1848" s="9" t="str">
        <f t="shared" si="84"/>
        <v/>
      </c>
      <c r="R1848" s="25">
        <f>IF(P1848="En programación Frcst.",VLOOKUP(L1848,Meses!$A$1:$H$14,3+HLOOKUP(Cronograma!J1848,Meses!$D$1:$G$2,2,FALSE),FALSE),
IF(P1848="En programación",M1848,""))</f>
        <v>45407</v>
      </c>
      <c r="S1848" s="25" t="str">
        <f t="shared" si="87"/>
        <v>2024/4</v>
      </c>
      <c r="T1848" s="21">
        <f>IFERROR(
(VLOOKUP(MONTH(R1848),Meses!$B$3:$C$14,2,FALSE)-DAY(R1848))/VLOOKUP(MONTH(R1848),Meses!$B$3:$C$14,2,FALSE)*U1848,
"")</f>
        <v>442</v>
      </c>
      <c r="U1848" s="22">
        <f t="shared" si="85"/>
        <v>2652</v>
      </c>
    </row>
    <row r="1849" spans="1:21" ht="31.8" hidden="1" thickBot="1" x14ac:dyDescent="0.6">
      <c r="A1849" s="10" t="s">
        <v>2429</v>
      </c>
      <c r="B1849" s="10" t="s">
        <v>2431</v>
      </c>
      <c r="C1849" s="12"/>
      <c r="D1849" s="10" t="s">
        <v>74</v>
      </c>
      <c r="E1849" s="10" t="s">
        <v>74</v>
      </c>
      <c r="F1849" s="10">
        <v>6930</v>
      </c>
      <c r="G1849" s="10" t="s">
        <v>15</v>
      </c>
      <c r="H1849" s="10" t="s">
        <v>2916</v>
      </c>
      <c r="I1849" s="10" t="s">
        <v>43</v>
      </c>
      <c r="J1849" s="10" t="s">
        <v>292</v>
      </c>
      <c r="K1849" s="10" t="s">
        <v>3325</v>
      </c>
      <c r="L1849" s="10" t="s">
        <v>2292</v>
      </c>
      <c r="M1849" s="12">
        <v>45407</v>
      </c>
      <c r="N1849" s="10" t="s">
        <v>20</v>
      </c>
      <c r="O1849" s="10" t="s">
        <v>2057</v>
      </c>
      <c r="P1849" s="25" t="str">
        <f>IFERROR(
IF(OR(O1849="anulado",O1849="stand by"),CONCATENATE(O1849,": ",H1849),
IF(OR(YEAR(M1849)=2022,YEAR(M1849)=2023),CONCATENATE("Se activó en ",YEAR(M1849)),
IF(AND(OR(O1849="En proceso",O1849="facturando"),AND(J1849="-",M1849="")),"Por revisar",
IF(M1849="",IF(J1849="NUEVAS",CONCATENATE("Estado: ",O1849,", ",J1849),
IF(L1849=Meses!$A$3,"Por revisar",
IF(H1849="","Sin registro","En programación Frcst."))),"En programación")))),
"Error")</f>
        <v>En programación</v>
      </c>
      <c r="Q1849" s="9" t="str">
        <f t="shared" si="84"/>
        <v/>
      </c>
      <c r="R1849" s="25">
        <f>IF(P1849="En programación Frcst.",VLOOKUP(L1849,Meses!$A$1:$H$14,3+HLOOKUP(Cronograma!J1849,Meses!$D$1:$G$2,2,FALSE),FALSE),
IF(P1849="En programación",M1849,""))</f>
        <v>45407</v>
      </c>
      <c r="S1849" s="25" t="str">
        <f t="shared" si="87"/>
        <v>2024/4</v>
      </c>
      <c r="T1849" s="21">
        <f>IFERROR(
(VLOOKUP(MONTH(R1849),Meses!$B$3:$C$14,2,FALSE)-DAY(R1849))/VLOOKUP(MONTH(R1849),Meses!$B$3:$C$14,2,FALSE)*U1849,
"")</f>
        <v>1155</v>
      </c>
      <c r="U1849" s="22">
        <f t="shared" si="85"/>
        <v>6930</v>
      </c>
    </row>
    <row r="1850" spans="1:21" ht="94.2" hidden="1" thickBot="1" x14ac:dyDescent="0.6">
      <c r="A1850" s="10" t="s">
        <v>2440</v>
      </c>
      <c r="B1850" s="10" t="s">
        <v>2441</v>
      </c>
      <c r="C1850" s="12"/>
      <c r="D1850" s="10" t="s">
        <v>287</v>
      </c>
      <c r="E1850" s="10" t="s">
        <v>287</v>
      </c>
      <c r="F1850" s="10">
        <v>571</v>
      </c>
      <c r="G1850" s="10" t="s">
        <v>15</v>
      </c>
      <c r="H1850" s="10" t="s">
        <v>2917</v>
      </c>
      <c r="I1850" s="10" t="s">
        <v>43</v>
      </c>
      <c r="J1850" s="10" t="s">
        <v>143</v>
      </c>
      <c r="K1850" s="10" t="s">
        <v>2895</v>
      </c>
      <c r="L1850" s="10" t="s">
        <v>2292</v>
      </c>
      <c r="M1850" s="12">
        <v>45400</v>
      </c>
      <c r="N1850" s="10" t="s">
        <v>20</v>
      </c>
      <c r="O1850" s="10" t="s">
        <v>2057</v>
      </c>
      <c r="P1850" s="25" t="str">
        <f>IFERROR(
IF(OR(O1850="anulado",O1850="stand by"),CONCATENATE(O1850,": ",H1850),
IF(OR(YEAR(M1850)=2022,YEAR(M1850)=2023),CONCATENATE("Se activó en ",YEAR(M1850)),
IF(AND(OR(O1850="En proceso",O1850="facturando"),AND(J1850="-",M1850="")),"Por revisar",
IF(M1850="",IF(J1850="NUEVAS",CONCATENATE("Estado: ",O1850,", ",J1850),
IF(L1850=Meses!$A$3,"Por revisar",
IF(H1850="","Sin registro","En programación Frcst."))),"En programación")))),
"Error")</f>
        <v>En programación</v>
      </c>
      <c r="Q1850" s="9" t="str">
        <f t="shared" si="84"/>
        <v/>
      </c>
      <c r="R1850" s="25">
        <f>IF(P1850="En programación Frcst.",VLOOKUP(L1850,Meses!$A$1:$H$14,3+HLOOKUP(Cronograma!J1850,Meses!$D$1:$G$2,2,FALSE),FALSE),
IF(P1850="En programación",M1850,""))</f>
        <v>45400</v>
      </c>
      <c r="S1850" s="25" t="str">
        <f t="shared" si="87"/>
        <v>2024/4</v>
      </c>
      <c r="T1850" s="21">
        <f>IFERROR(
(VLOOKUP(MONTH(R1850),Meses!$B$3:$C$14,2,FALSE)-DAY(R1850))/VLOOKUP(MONTH(R1850),Meses!$B$3:$C$14,2,FALSE)*U1850,
"")</f>
        <v>228.4</v>
      </c>
      <c r="U1850" s="22">
        <f t="shared" si="85"/>
        <v>571</v>
      </c>
    </row>
    <row r="1851" spans="1:21" ht="94.2" hidden="1" thickBot="1" x14ac:dyDescent="0.6">
      <c r="A1851" s="10" t="s">
        <v>2440</v>
      </c>
      <c r="B1851" s="10" t="s">
        <v>2442</v>
      </c>
      <c r="C1851" s="12"/>
      <c r="D1851" s="10" t="s">
        <v>287</v>
      </c>
      <c r="E1851" s="10" t="s">
        <v>287</v>
      </c>
      <c r="F1851" s="10">
        <v>9517</v>
      </c>
      <c r="G1851" s="10" t="s">
        <v>15</v>
      </c>
      <c r="H1851" s="10" t="s">
        <v>2917</v>
      </c>
      <c r="I1851" s="10" t="s">
        <v>43</v>
      </c>
      <c r="J1851" s="10" t="s">
        <v>143</v>
      </c>
      <c r="K1851" s="10" t="s">
        <v>2895</v>
      </c>
      <c r="L1851" s="10" t="s">
        <v>2292</v>
      </c>
      <c r="M1851" s="12">
        <v>45400</v>
      </c>
      <c r="N1851" s="10" t="s">
        <v>20</v>
      </c>
      <c r="O1851" s="10" t="s">
        <v>2057</v>
      </c>
      <c r="P1851" s="25" t="str">
        <f>IFERROR(
IF(OR(O1851="anulado",O1851="stand by"),CONCATENATE(O1851,": ",H1851),
IF(OR(YEAR(M1851)=2022,YEAR(M1851)=2023),CONCATENATE("Se activó en ",YEAR(M1851)),
IF(AND(OR(O1851="En proceso",O1851="facturando"),AND(J1851="-",M1851="")),"Por revisar",
IF(M1851="",IF(J1851="NUEVAS",CONCATENATE("Estado: ",O1851,", ",J1851),
IF(L1851=Meses!$A$3,"Por revisar",
IF(H1851="","Sin registro","En programación Frcst."))),"En programación")))),
"Error")</f>
        <v>En programación</v>
      </c>
      <c r="Q1851" s="9" t="str">
        <f t="shared" si="84"/>
        <v/>
      </c>
      <c r="R1851" s="25">
        <f>IF(P1851="En programación Frcst.",VLOOKUP(L1851,Meses!$A$1:$H$14,3+HLOOKUP(Cronograma!J1851,Meses!$D$1:$G$2,2,FALSE),FALSE),
IF(P1851="En programación",M1851,""))</f>
        <v>45400</v>
      </c>
      <c r="S1851" s="25" t="str">
        <f t="shared" ref="S1851:S1852" si="88">IFERROR(CONCATENATE(YEAR(R1851),"/",MONTH(R1851)),"")</f>
        <v>2024/4</v>
      </c>
      <c r="T1851" s="21">
        <f>IFERROR(
(VLOOKUP(MONTH(R1851),Meses!$B$3:$C$14,2,FALSE)-DAY(R1851))/VLOOKUP(MONTH(R1851),Meses!$B$3:$C$14,2,FALSE)*U1851,
"")</f>
        <v>3806.8</v>
      </c>
      <c r="U1851" s="22">
        <f t="shared" si="85"/>
        <v>9517</v>
      </c>
    </row>
    <row r="1852" spans="1:21" ht="94.2" hidden="1" thickBot="1" x14ac:dyDescent="0.6">
      <c r="A1852" s="10" t="s">
        <v>2440</v>
      </c>
      <c r="B1852" s="10" t="s">
        <v>2443</v>
      </c>
      <c r="C1852" s="12"/>
      <c r="D1852" s="10" t="s">
        <v>287</v>
      </c>
      <c r="E1852" s="10" t="s">
        <v>287</v>
      </c>
      <c r="F1852" s="10">
        <v>740</v>
      </c>
      <c r="G1852" s="10" t="s">
        <v>15</v>
      </c>
      <c r="H1852" s="10" t="s">
        <v>2917</v>
      </c>
      <c r="I1852" s="10" t="s">
        <v>43</v>
      </c>
      <c r="J1852" s="10" t="s">
        <v>143</v>
      </c>
      <c r="K1852" s="10" t="s">
        <v>2895</v>
      </c>
      <c r="L1852" s="10" t="s">
        <v>2292</v>
      </c>
      <c r="M1852" s="12">
        <v>45400</v>
      </c>
      <c r="N1852" s="10" t="s">
        <v>20</v>
      </c>
      <c r="O1852" s="10" t="s">
        <v>2057</v>
      </c>
      <c r="P1852" s="25" t="str">
        <f>IFERROR(
IF(OR(O1852="anulado",O1852="stand by"),CONCATENATE(O1852,": ",H1852),
IF(OR(YEAR(M1852)=2022,YEAR(M1852)=2023),CONCATENATE("Se activó en ",YEAR(M1852)),
IF(AND(OR(O1852="En proceso",O1852="facturando"),AND(J1852="-",M1852="")),"Por revisar",
IF(M1852="",IF(J1852="NUEVAS",CONCATENATE("Estado: ",O1852,", ",J1852),
IF(L1852=Meses!$A$3,"Por revisar",
IF(H1852="","Sin registro","En programación Frcst."))),"En programación")))),
"Error")</f>
        <v>En programación</v>
      </c>
      <c r="Q1852" s="9" t="str">
        <f t="shared" si="84"/>
        <v/>
      </c>
      <c r="R1852" s="25">
        <f>IF(P1852="En programación Frcst.",VLOOKUP(L1852,Meses!$A$1:$H$14,3+HLOOKUP(Cronograma!J1852,Meses!$D$1:$G$2,2,FALSE),FALSE),
IF(P1852="En programación",M1852,""))</f>
        <v>45400</v>
      </c>
      <c r="S1852" s="25" t="str">
        <f t="shared" si="88"/>
        <v>2024/4</v>
      </c>
      <c r="T1852" s="21">
        <f>IFERROR(
(VLOOKUP(MONTH(R1852),Meses!$B$3:$C$14,2,FALSE)-DAY(R1852))/VLOOKUP(MONTH(R1852),Meses!$B$3:$C$14,2,FALSE)*U1852,
"")</f>
        <v>296</v>
      </c>
      <c r="U1852" s="22">
        <f t="shared" si="85"/>
        <v>740</v>
      </c>
    </row>
    <row r="1853" spans="1:21" ht="47.4" hidden="1" thickBot="1" x14ac:dyDescent="0.6">
      <c r="A1853" s="10" t="s">
        <v>2444</v>
      </c>
      <c r="B1853" s="10" t="s">
        <v>2445</v>
      </c>
      <c r="C1853" s="12"/>
      <c r="D1853" s="10" t="s">
        <v>74</v>
      </c>
      <c r="E1853" s="10" t="s">
        <v>74</v>
      </c>
      <c r="F1853" s="10">
        <v>2198</v>
      </c>
      <c r="G1853" s="10" t="s">
        <v>15</v>
      </c>
      <c r="H1853" s="10" t="s">
        <v>2917</v>
      </c>
      <c r="I1853" s="10" t="s">
        <v>43</v>
      </c>
      <c r="J1853" s="10" t="s">
        <v>143</v>
      </c>
      <c r="K1853" s="10" t="s">
        <v>2895</v>
      </c>
      <c r="L1853" s="10" t="s">
        <v>2292</v>
      </c>
      <c r="M1853" s="12">
        <v>45400</v>
      </c>
      <c r="N1853" s="10" t="s">
        <v>20</v>
      </c>
      <c r="O1853" s="10" t="s">
        <v>2057</v>
      </c>
      <c r="P1853" s="25" t="str">
        <f>IFERROR(
IF(OR(O1853="anulado",O1853="stand by"),CONCATENATE(O1853,": ",H1853),
IF(OR(YEAR(M1853)=2022,YEAR(M1853)=2023),CONCATENATE("Se activó en ",YEAR(M1853)),
IF(AND(OR(O1853="En proceso",O1853="facturando"),AND(J1853="-",M1853="")),"Por revisar",
IF(M1853="",IF(J1853="NUEVAS",CONCATENATE("Estado: ",O1853,", ",J1853),
IF(L1853=Meses!$A$3,"Por revisar",
IF(H1853="","Sin registro","En programación Frcst."))),"En programación")))),
"Error")</f>
        <v>En programación</v>
      </c>
      <c r="Q1853" s="9" t="str">
        <f t="shared" si="84"/>
        <v/>
      </c>
      <c r="R1853" s="25">
        <f>IF(P1853="En programación Frcst.",VLOOKUP(L1853,Meses!$A$1:$H$14,3+HLOOKUP(Cronograma!J1853,Meses!$D$1:$G$2,2,FALSE),FALSE),
IF(P1853="En programación",M1853,""))</f>
        <v>45400</v>
      </c>
      <c r="S1853" s="25" t="str">
        <f t="shared" ref="S1853:S1916" si="89">IFERROR(CONCATENATE(YEAR(R1853),"/",MONTH(R1853)),"")</f>
        <v>2024/4</v>
      </c>
      <c r="T1853" s="21">
        <f>IFERROR(
(VLOOKUP(MONTH(R1853),Meses!$B$3:$C$14,2,FALSE)-DAY(R1853))/VLOOKUP(MONTH(R1853),Meses!$B$3:$C$14,2,FALSE)*U1853,
"")</f>
        <v>879.2</v>
      </c>
      <c r="U1853" s="22">
        <f t="shared" si="85"/>
        <v>2198</v>
      </c>
    </row>
    <row r="1854" spans="1:21" ht="47.4" hidden="1" thickBot="1" x14ac:dyDescent="0.6">
      <c r="A1854" s="10" t="s">
        <v>2444</v>
      </c>
      <c r="B1854" s="10" t="s">
        <v>2446</v>
      </c>
      <c r="C1854" s="12"/>
      <c r="D1854" s="10" t="s">
        <v>74</v>
      </c>
      <c r="E1854" s="10" t="s">
        <v>74</v>
      </c>
      <c r="F1854" s="10">
        <v>4192</v>
      </c>
      <c r="G1854" s="10" t="s">
        <v>15</v>
      </c>
      <c r="H1854" s="10" t="s">
        <v>2917</v>
      </c>
      <c r="I1854" s="10" t="s">
        <v>43</v>
      </c>
      <c r="J1854" s="10" t="s">
        <v>143</v>
      </c>
      <c r="K1854" s="10" t="s">
        <v>2895</v>
      </c>
      <c r="L1854" s="10" t="s">
        <v>2292</v>
      </c>
      <c r="M1854" s="12">
        <v>45400</v>
      </c>
      <c r="N1854" s="10" t="s">
        <v>20</v>
      </c>
      <c r="O1854" s="10" t="s">
        <v>2057</v>
      </c>
      <c r="P1854" s="25" t="str">
        <f>IFERROR(
IF(OR(O1854="anulado",O1854="stand by"),CONCATENATE(O1854,": ",H1854),
IF(OR(YEAR(M1854)=2022,YEAR(M1854)=2023),CONCATENATE("Se activó en ",YEAR(M1854)),
IF(AND(OR(O1854="En proceso",O1854="facturando"),AND(J1854="-",M1854="")),"Por revisar",
IF(M1854="",IF(J1854="NUEVAS",CONCATENATE("Estado: ",O1854,", ",J1854),
IF(L1854=Meses!$A$3,"Por revisar",
IF(H1854="","Sin registro","En programación Frcst."))),"En programación")))),
"Error")</f>
        <v>En programación</v>
      </c>
      <c r="Q1854" s="9" t="str">
        <f t="shared" si="84"/>
        <v/>
      </c>
      <c r="R1854" s="25">
        <f>IF(P1854="En programación Frcst.",VLOOKUP(L1854,Meses!$A$1:$H$14,3+HLOOKUP(Cronograma!J1854,Meses!$D$1:$G$2,2,FALSE),FALSE),
IF(P1854="En programación",M1854,""))</f>
        <v>45400</v>
      </c>
      <c r="S1854" s="25" t="str">
        <f t="shared" si="89"/>
        <v>2024/4</v>
      </c>
      <c r="T1854" s="21">
        <f>IFERROR(
(VLOOKUP(MONTH(R1854),Meses!$B$3:$C$14,2,FALSE)-DAY(R1854))/VLOOKUP(MONTH(R1854),Meses!$B$3:$C$14,2,FALSE)*U1854,
"")</f>
        <v>1676.8000000000002</v>
      </c>
      <c r="U1854" s="22">
        <f t="shared" si="85"/>
        <v>4192</v>
      </c>
    </row>
    <row r="1855" spans="1:21" ht="94.2" hidden="1" thickBot="1" x14ac:dyDescent="0.6">
      <c r="A1855" s="10" t="s">
        <v>2440</v>
      </c>
      <c r="B1855" s="10" t="s">
        <v>2447</v>
      </c>
      <c r="C1855" s="12"/>
      <c r="D1855" s="10" t="s">
        <v>287</v>
      </c>
      <c r="E1855" s="10" t="s">
        <v>287</v>
      </c>
      <c r="F1855" s="10">
        <v>4168</v>
      </c>
      <c r="G1855" s="10" t="s">
        <v>15</v>
      </c>
      <c r="H1855" s="10" t="s">
        <v>2917</v>
      </c>
      <c r="I1855" s="10" t="s">
        <v>43</v>
      </c>
      <c r="J1855" s="10" t="s">
        <v>143</v>
      </c>
      <c r="K1855" s="10" t="s">
        <v>2895</v>
      </c>
      <c r="L1855" s="10" t="s">
        <v>2292</v>
      </c>
      <c r="M1855" s="12">
        <v>45400</v>
      </c>
      <c r="N1855" s="10" t="s">
        <v>20</v>
      </c>
      <c r="O1855" s="10" t="s">
        <v>2057</v>
      </c>
      <c r="P1855" s="25" t="str">
        <f>IFERROR(
IF(OR(O1855="anulado",O1855="stand by"),CONCATENATE(O1855,": ",H1855),
IF(OR(YEAR(M1855)=2022,YEAR(M1855)=2023),CONCATENATE("Se activó en ",YEAR(M1855)),
IF(AND(OR(O1855="En proceso",O1855="facturando"),AND(J1855="-",M1855="")),"Por revisar",
IF(M1855="",IF(J1855="NUEVAS",CONCATENATE("Estado: ",O1855,", ",J1855),
IF(L1855=Meses!$A$3,"Por revisar",
IF(H1855="","Sin registro","En programación Frcst."))),"En programación")))),
"Error")</f>
        <v>En programación</v>
      </c>
      <c r="Q1855" s="9" t="str">
        <f t="shared" si="84"/>
        <v/>
      </c>
      <c r="R1855" s="25">
        <f>IF(P1855="En programación Frcst.",VLOOKUP(L1855,Meses!$A$1:$H$14,3+HLOOKUP(Cronograma!J1855,Meses!$D$1:$G$2,2,FALSE),FALSE),
IF(P1855="En programación",M1855,""))</f>
        <v>45400</v>
      </c>
      <c r="S1855" s="25" t="str">
        <f t="shared" si="89"/>
        <v>2024/4</v>
      </c>
      <c r="T1855" s="21">
        <f>IFERROR(
(VLOOKUP(MONTH(R1855),Meses!$B$3:$C$14,2,FALSE)-DAY(R1855))/VLOOKUP(MONTH(R1855),Meses!$B$3:$C$14,2,FALSE)*U1855,
"")</f>
        <v>1667.2</v>
      </c>
      <c r="U1855" s="22">
        <f t="shared" si="85"/>
        <v>4168</v>
      </c>
    </row>
    <row r="1856" spans="1:21" ht="94.2" hidden="1" thickBot="1" x14ac:dyDescent="0.6">
      <c r="A1856" s="10" t="s">
        <v>2440</v>
      </c>
      <c r="B1856" s="10" t="s">
        <v>2448</v>
      </c>
      <c r="C1856" s="12"/>
      <c r="D1856" s="10" t="s">
        <v>287</v>
      </c>
      <c r="E1856" s="10" t="s">
        <v>287</v>
      </c>
      <c r="F1856" s="10">
        <v>219</v>
      </c>
      <c r="G1856" s="10" t="s">
        <v>15</v>
      </c>
      <c r="H1856" s="10" t="s">
        <v>2917</v>
      </c>
      <c r="I1856" s="10" t="s">
        <v>43</v>
      </c>
      <c r="J1856" s="10" t="s">
        <v>143</v>
      </c>
      <c r="K1856" s="10" t="s">
        <v>2895</v>
      </c>
      <c r="L1856" s="10" t="s">
        <v>2292</v>
      </c>
      <c r="M1856" s="12">
        <v>45400</v>
      </c>
      <c r="N1856" s="10" t="s">
        <v>20</v>
      </c>
      <c r="O1856" s="10" t="s">
        <v>2057</v>
      </c>
      <c r="P1856" s="25" t="str">
        <f>IFERROR(
IF(OR(O1856="anulado",O1856="stand by"),CONCATENATE(O1856,": ",H1856),
IF(OR(YEAR(M1856)=2022,YEAR(M1856)=2023),CONCATENATE("Se activó en ",YEAR(M1856)),
IF(AND(OR(O1856="En proceso",O1856="facturando"),AND(J1856="-",M1856="")),"Por revisar",
IF(M1856="",IF(J1856="NUEVAS",CONCATENATE("Estado: ",O1856,", ",J1856),
IF(L1856=Meses!$A$3,"Por revisar",
IF(H1856="","Sin registro","En programación Frcst."))),"En programación")))),
"Error")</f>
        <v>En programación</v>
      </c>
      <c r="Q1856" s="9" t="str">
        <f t="shared" si="84"/>
        <v/>
      </c>
      <c r="R1856" s="25">
        <f>IF(P1856="En programación Frcst.",VLOOKUP(L1856,Meses!$A$1:$H$14,3+HLOOKUP(Cronograma!J1856,Meses!$D$1:$G$2,2,FALSE),FALSE),
IF(P1856="En programación",M1856,""))</f>
        <v>45400</v>
      </c>
      <c r="S1856" s="25" t="str">
        <f t="shared" si="89"/>
        <v>2024/4</v>
      </c>
      <c r="T1856" s="21">
        <f>IFERROR(
(VLOOKUP(MONTH(R1856),Meses!$B$3:$C$14,2,FALSE)-DAY(R1856))/VLOOKUP(MONTH(R1856),Meses!$B$3:$C$14,2,FALSE)*U1856,
"")</f>
        <v>87.600000000000009</v>
      </c>
      <c r="U1856" s="22">
        <f t="shared" si="85"/>
        <v>219</v>
      </c>
    </row>
    <row r="1857" spans="1:21" ht="31.8" thickBot="1" x14ac:dyDescent="0.6">
      <c r="A1857" s="10" t="s">
        <v>2449</v>
      </c>
      <c r="B1857" s="10" t="s">
        <v>2450</v>
      </c>
      <c r="C1857" s="12"/>
      <c r="D1857" s="10" t="s">
        <v>654</v>
      </c>
      <c r="E1857" s="10" t="s">
        <v>14</v>
      </c>
      <c r="F1857" s="10">
        <v>31451</v>
      </c>
      <c r="G1857" s="10" t="s">
        <v>15</v>
      </c>
      <c r="H1857" s="10" t="s">
        <v>2916</v>
      </c>
      <c r="I1857" s="10" t="s">
        <v>66</v>
      </c>
      <c r="J1857" s="10" t="s">
        <v>282</v>
      </c>
      <c r="K1857" s="10" t="s">
        <v>3326</v>
      </c>
      <c r="L1857" s="10" t="s">
        <v>2293</v>
      </c>
      <c r="M1857" s="12">
        <v>45414</v>
      </c>
      <c r="N1857" s="10" t="s">
        <v>20</v>
      </c>
      <c r="O1857" s="10" t="s">
        <v>2057</v>
      </c>
      <c r="P1857" s="25" t="str">
        <f>IFERROR(
IF(OR(O1857="anulado",O1857="stand by"),CONCATENATE(O1857,": ",H1857),
IF(OR(YEAR(M1857)=2022,YEAR(M1857)=2023),CONCATENATE("Se activó en ",YEAR(M1857)),
IF(AND(OR(O1857="En proceso",O1857="facturando"),AND(J1857="-",M1857="")),"Por revisar",
IF(M1857="",IF(J1857="NUEVAS",CONCATENATE("Estado: ",O1857,", ",J1857),
IF(L1857=Meses!$A$3,"Por revisar",
IF(H1857="","Sin registro","En programación Frcst."))),"En programación")))),
"Error")</f>
        <v>En programación</v>
      </c>
      <c r="Q1857" s="9" t="str">
        <f t="shared" si="84"/>
        <v/>
      </c>
      <c r="R1857" s="25">
        <f>IF(P1857="En programación Frcst.",VLOOKUP(L1857,Meses!$A$1:$H$14,3+HLOOKUP(Cronograma!J1857,Meses!$D$1:$G$2,2,FALSE),FALSE),
IF(P1857="En programación",M1857,""))</f>
        <v>45414</v>
      </c>
      <c r="S1857" s="25" t="str">
        <f t="shared" si="89"/>
        <v>2024/5</v>
      </c>
      <c r="T1857" s="21">
        <f>IFERROR(
(VLOOKUP(MONTH(R1857),Meses!$B$3:$C$14,2,FALSE)-DAY(R1857))/VLOOKUP(MONTH(R1857),Meses!$B$3:$C$14,2,FALSE)*U1857,
"")</f>
        <v>29421.903225806451</v>
      </c>
      <c r="U1857" s="22">
        <f t="shared" si="85"/>
        <v>31451</v>
      </c>
    </row>
    <row r="1858" spans="1:21" ht="31.8" hidden="1" thickBot="1" x14ac:dyDescent="0.6">
      <c r="A1858" s="10" t="s">
        <v>2451</v>
      </c>
      <c r="B1858" s="10" t="s">
        <v>2452</v>
      </c>
      <c r="C1858" s="12"/>
      <c r="D1858" s="10" t="s">
        <v>74</v>
      </c>
      <c r="E1858" s="10" t="s">
        <v>74</v>
      </c>
      <c r="F1858" s="10">
        <v>1</v>
      </c>
      <c r="G1858" s="10" t="s">
        <v>15</v>
      </c>
      <c r="H1858" s="10" t="s">
        <v>2916</v>
      </c>
      <c r="I1858" s="10" t="s">
        <v>43</v>
      </c>
      <c r="J1858" s="10" t="s">
        <v>292</v>
      </c>
      <c r="K1858" s="10" t="s">
        <v>3325</v>
      </c>
      <c r="L1858" s="10" t="s">
        <v>2292</v>
      </c>
      <c r="M1858" s="12">
        <v>45407</v>
      </c>
      <c r="N1858" s="10" t="s">
        <v>20</v>
      </c>
      <c r="O1858" s="10" t="s">
        <v>2057</v>
      </c>
      <c r="P1858" s="25" t="str">
        <f>IFERROR(
IF(OR(O1858="anulado",O1858="stand by"),CONCATENATE(O1858,": ",H1858),
IF(OR(YEAR(M1858)=2022,YEAR(M1858)=2023),CONCATENATE("Se activó en ",YEAR(M1858)),
IF(AND(OR(O1858="En proceso",O1858="facturando"),AND(J1858="-",M1858="")),"Por revisar",
IF(M1858="",IF(J1858="NUEVAS",CONCATENATE("Estado: ",O1858,", ",J1858),
IF(L1858=Meses!$A$3,"Por revisar",
IF(H1858="","Sin registro","En programación Frcst."))),"En programación")))),
"Error")</f>
        <v>En programación</v>
      </c>
      <c r="Q1858" s="9" t="str">
        <f t="shared" ref="Q1858:Q1921" si="90">IF(P1858="Por revisar",CONCATENATE("programación de act. ",N1858,", estado: ",O1858,", Comercializador: ",D1858,", Etapa: ",H1858),"")</f>
        <v/>
      </c>
      <c r="R1858" s="25">
        <f>IF(P1858="En programación Frcst.",VLOOKUP(L1858,Meses!$A$1:$H$14,3+HLOOKUP(Cronograma!J1858,Meses!$D$1:$G$2,2,FALSE),FALSE),
IF(P1858="En programación",M1858,""))</f>
        <v>45407</v>
      </c>
      <c r="S1858" s="25" t="str">
        <f t="shared" si="89"/>
        <v>2024/4</v>
      </c>
      <c r="T1858" s="21">
        <f>IFERROR(
(VLOOKUP(MONTH(R1858),Meses!$B$3:$C$14,2,FALSE)-DAY(R1858))/VLOOKUP(MONTH(R1858),Meses!$B$3:$C$14,2,FALSE)*U1858,
"")</f>
        <v>0.16666666666666666</v>
      </c>
      <c r="U1858" s="22">
        <f t="shared" ref="U1858:U1921" si="91">F1858</f>
        <v>1</v>
      </c>
    </row>
    <row r="1859" spans="1:21" ht="31.8" hidden="1" thickBot="1" x14ac:dyDescent="0.6">
      <c r="A1859" s="10" t="s">
        <v>2451</v>
      </c>
      <c r="B1859" s="10" t="s">
        <v>2453</v>
      </c>
      <c r="C1859" s="12"/>
      <c r="D1859" s="10" t="s">
        <v>74</v>
      </c>
      <c r="E1859" s="10" t="s">
        <v>74</v>
      </c>
      <c r="F1859" s="10">
        <v>3039</v>
      </c>
      <c r="G1859" s="10" t="s">
        <v>15</v>
      </c>
      <c r="H1859" s="10" t="s">
        <v>2916</v>
      </c>
      <c r="I1859" s="10" t="s">
        <v>43</v>
      </c>
      <c r="J1859" s="10" t="s">
        <v>292</v>
      </c>
      <c r="K1859" s="10" t="s">
        <v>3325</v>
      </c>
      <c r="L1859" s="10" t="s">
        <v>2292</v>
      </c>
      <c r="M1859" s="12">
        <v>45407</v>
      </c>
      <c r="N1859" s="10" t="s">
        <v>20</v>
      </c>
      <c r="O1859" s="10" t="s">
        <v>2057</v>
      </c>
      <c r="P1859" s="25" t="str">
        <f>IFERROR(
IF(OR(O1859="anulado",O1859="stand by"),CONCATENATE(O1859,": ",H1859),
IF(OR(YEAR(M1859)=2022,YEAR(M1859)=2023),CONCATENATE("Se activó en ",YEAR(M1859)),
IF(AND(OR(O1859="En proceso",O1859="facturando"),AND(J1859="-",M1859="")),"Por revisar",
IF(M1859="",IF(J1859="NUEVAS",CONCATENATE("Estado: ",O1859,", ",J1859),
IF(L1859=Meses!$A$3,"Por revisar",
IF(H1859="","Sin registro","En programación Frcst."))),"En programación")))),
"Error")</f>
        <v>En programación</v>
      </c>
      <c r="Q1859" s="9" t="str">
        <f t="shared" si="90"/>
        <v/>
      </c>
      <c r="R1859" s="25">
        <f>IF(P1859="En programación Frcst.",VLOOKUP(L1859,Meses!$A$1:$H$14,3+HLOOKUP(Cronograma!J1859,Meses!$D$1:$G$2,2,FALSE),FALSE),
IF(P1859="En programación",M1859,""))</f>
        <v>45407</v>
      </c>
      <c r="S1859" s="25" t="str">
        <f t="shared" si="89"/>
        <v>2024/4</v>
      </c>
      <c r="T1859" s="21">
        <f>IFERROR(
(VLOOKUP(MONTH(R1859),Meses!$B$3:$C$14,2,FALSE)-DAY(R1859))/VLOOKUP(MONTH(R1859),Meses!$B$3:$C$14,2,FALSE)*U1859,
"")</f>
        <v>506.5</v>
      </c>
      <c r="U1859" s="22">
        <f t="shared" si="91"/>
        <v>3039</v>
      </c>
    </row>
    <row r="1860" spans="1:21" ht="31.8" hidden="1" thickBot="1" x14ac:dyDescent="0.6">
      <c r="A1860" s="10" t="s">
        <v>2451</v>
      </c>
      <c r="B1860" s="10" t="s">
        <v>2454</v>
      </c>
      <c r="C1860" s="12"/>
      <c r="D1860" s="10" t="s">
        <v>74</v>
      </c>
      <c r="E1860" s="10" t="s">
        <v>74</v>
      </c>
      <c r="F1860" s="10">
        <v>3971</v>
      </c>
      <c r="G1860" s="10" t="s">
        <v>15</v>
      </c>
      <c r="H1860" s="10" t="s">
        <v>2916</v>
      </c>
      <c r="I1860" s="10" t="s">
        <v>43</v>
      </c>
      <c r="J1860" s="10" t="s">
        <v>292</v>
      </c>
      <c r="K1860" s="10" t="s">
        <v>3325</v>
      </c>
      <c r="L1860" s="10" t="s">
        <v>2292</v>
      </c>
      <c r="M1860" s="12">
        <v>45407</v>
      </c>
      <c r="N1860" s="10" t="s">
        <v>20</v>
      </c>
      <c r="O1860" s="10" t="s">
        <v>2057</v>
      </c>
      <c r="P1860" s="25" t="str">
        <f>IFERROR(
IF(OR(O1860="anulado",O1860="stand by"),CONCATENATE(O1860,": ",H1860),
IF(OR(YEAR(M1860)=2022,YEAR(M1860)=2023),CONCATENATE("Se activó en ",YEAR(M1860)),
IF(AND(OR(O1860="En proceso",O1860="facturando"),AND(J1860="-",M1860="")),"Por revisar",
IF(M1860="",IF(J1860="NUEVAS",CONCATENATE("Estado: ",O1860,", ",J1860),
IF(L1860=Meses!$A$3,"Por revisar",
IF(H1860="","Sin registro","En programación Frcst."))),"En programación")))),
"Error")</f>
        <v>En programación</v>
      </c>
      <c r="Q1860" s="9" t="str">
        <f t="shared" si="90"/>
        <v/>
      </c>
      <c r="R1860" s="25">
        <f>IF(P1860="En programación Frcst.",VLOOKUP(L1860,Meses!$A$1:$H$14,3+HLOOKUP(Cronograma!J1860,Meses!$D$1:$G$2,2,FALSE),FALSE),
IF(P1860="En programación",M1860,""))</f>
        <v>45407</v>
      </c>
      <c r="S1860" s="25" t="str">
        <f t="shared" si="89"/>
        <v>2024/4</v>
      </c>
      <c r="T1860" s="21">
        <f>IFERROR(
(VLOOKUP(MONTH(R1860),Meses!$B$3:$C$14,2,FALSE)-DAY(R1860))/VLOOKUP(MONTH(R1860),Meses!$B$3:$C$14,2,FALSE)*U1860,
"")</f>
        <v>661.83333333333326</v>
      </c>
      <c r="U1860" s="22">
        <f t="shared" si="91"/>
        <v>3971</v>
      </c>
    </row>
    <row r="1861" spans="1:21" ht="31.8" hidden="1" thickBot="1" x14ac:dyDescent="0.6">
      <c r="A1861" s="10" t="s">
        <v>2451</v>
      </c>
      <c r="B1861" s="10" t="s">
        <v>2455</v>
      </c>
      <c r="C1861" s="12"/>
      <c r="D1861" s="10" t="s">
        <v>74</v>
      </c>
      <c r="E1861" s="10" t="s">
        <v>74</v>
      </c>
      <c r="F1861" s="10">
        <v>2072</v>
      </c>
      <c r="G1861" s="10" t="s">
        <v>15</v>
      </c>
      <c r="H1861" s="10" t="s">
        <v>2916</v>
      </c>
      <c r="I1861" s="10" t="s">
        <v>43</v>
      </c>
      <c r="J1861" s="10" t="s">
        <v>292</v>
      </c>
      <c r="K1861" s="10" t="s">
        <v>3325</v>
      </c>
      <c r="L1861" s="10" t="s">
        <v>2292</v>
      </c>
      <c r="M1861" s="12">
        <v>45407</v>
      </c>
      <c r="N1861" s="10" t="s">
        <v>20</v>
      </c>
      <c r="O1861" s="10" t="s">
        <v>2057</v>
      </c>
      <c r="P1861" s="25" t="str">
        <f>IFERROR(
IF(OR(O1861="anulado",O1861="stand by"),CONCATENATE(O1861,": ",H1861),
IF(OR(YEAR(M1861)=2022,YEAR(M1861)=2023),CONCATENATE("Se activó en ",YEAR(M1861)),
IF(AND(OR(O1861="En proceso",O1861="facturando"),AND(J1861="-",M1861="")),"Por revisar",
IF(M1861="",IF(J1861="NUEVAS",CONCATENATE("Estado: ",O1861,", ",J1861),
IF(L1861=Meses!$A$3,"Por revisar",
IF(H1861="","Sin registro","En programación Frcst."))),"En programación")))),
"Error")</f>
        <v>En programación</v>
      </c>
      <c r="Q1861" s="9" t="str">
        <f t="shared" si="90"/>
        <v/>
      </c>
      <c r="R1861" s="25">
        <f>IF(P1861="En programación Frcst.",VLOOKUP(L1861,Meses!$A$1:$H$14,3+HLOOKUP(Cronograma!J1861,Meses!$D$1:$G$2,2,FALSE),FALSE),
IF(P1861="En programación",M1861,""))</f>
        <v>45407</v>
      </c>
      <c r="S1861" s="25" t="str">
        <f t="shared" si="89"/>
        <v>2024/4</v>
      </c>
      <c r="T1861" s="21">
        <f>IFERROR(
(VLOOKUP(MONTH(R1861),Meses!$B$3:$C$14,2,FALSE)-DAY(R1861))/VLOOKUP(MONTH(R1861),Meses!$B$3:$C$14,2,FALSE)*U1861,
"")</f>
        <v>345.33333333333331</v>
      </c>
      <c r="U1861" s="22">
        <f t="shared" si="91"/>
        <v>2072</v>
      </c>
    </row>
    <row r="1862" spans="1:21" ht="31.8" thickBot="1" x14ac:dyDescent="0.6">
      <c r="A1862" s="10" t="s">
        <v>2451</v>
      </c>
      <c r="B1862" s="10" t="s">
        <v>2456</v>
      </c>
      <c r="C1862" s="12"/>
      <c r="D1862" s="10" t="s">
        <v>171</v>
      </c>
      <c r="E1862" s="10" t="s">
        <v>74</v>
      </c>
      <c r="F1862" s="10">
        <v>43402</v>
      </c>
      <c r="G1862" s="10" t="s">
        <v>15</v>
      </c>
      <c r="H1862" s="10" t="s">
        <v>2916</v>
      </c>
      <c r="I1862" s="10" t="s">
        <v>66</v>
      </c>
      <c r="J1862" s="10" t="s">
        <v>282</v>
      </c>
      <c r="K1862" s="10" t="s">
        <v>3326</v>
      </c>
      <c r="L1862" s="10" t="s">
        <v>2293</v>
      </c>
      <c r="M1862" s="12">
        <v>45414</v>
      </c>
      <c r="N1862" s="10" t="s">
        <v>20</v>
      </c>
      <c r="O1862" s="10" t="s">
        <v>2057</v>
      </c>
      <c r="P1862" s="25" t="str">
        <f>IFERROR(
IF(OR(O1862="anulado",O1862="stand by"),CONCATENATE(O1862,": ",H1862),
IF(OR(YEAR(M1862)=2022,YEAR(M1862)=2023),CONCATENATE("Se activó en ",YEAR(M1862)),
IF(AND(OR(O1862="En proceso",O1862="facturando"),AND(J1862="-",M1862="")),"Por revisar",
IF(M1862="",IF(J1862="NUEVAS",CONCATENATE("Estado: ",O1862,", ",J1862),
IF(L1862=Meses!$A$3,"Por revisar",
IF(H1862="","Sin registro","En programación Frcst."))),"En programación")))),
"Error")</f>
        <v>En programación</v>
      </c>
      <c r="Q1862" s="9" t="str">
        <f t="shared" si="90"/>
        <v/>
      </c>
      <c r="R1862" s="25">
        <f>IF(P1862="En programación Frcst.",VLOOKUP(L1862,Meses!$A$1:$H$14,3+HLOOKUP(Cronograma!J1862,Meses!$D$1:$G$2,2,FALSE),FALSE),
IF(P1862="En programación",M1862,""))</f>
        <v>45414</v>
      </c>
      <c r="S1862" s="25" t="str">
        <f t="shared" si="89"/>
        <v>2024/5</v>
      </c>
      <c r="T1862" s="21">
        <f>IFERROR(
(VLOOKUP(MONTH(R1862),Meses!$B$3:$C$14,2,FALSE)-DAY(R1862))/VLOOKUP(MONTH(R1862),Meses!$B$3:$C$14,2,FALSE)*U1862,
"")</f>
        <v>40601.870967741932</v>
      </c>
      <c r="U1862" s="22">
        <f t="shared" si="91"/>
        <v>43402</v>
      </c>
    </row>
    <row r="1863" spans="1:21" ht="31.8" hidden="1" thickBot="1" x14ac:dyDescent="0.6">
      <c r="A1863" s="10" t="s">
        <v>2451</v>
      </c>
      <c r="B1863" s="10" t="s">
        <v>2457</v>
      </c>
      <c r="C1863" s="12"/>
      <c r="D1863" s="10" t="s">
        <v>74</v>
      </c>
      <c r="E1863" s="10" t="s">
        <v>74</v>
      </c>
      <c r="F1863" s="10">
        <v>3411</v>
      </c>
      <c r="G1863" s="10" t="s">
        <v>15</v>
      </c>
      <c r="H1863" s="10" t="s">
        <v>2916</v>
      </c>
      <c r="I1863" s="10" t="s">
        <v>43</v>
      </c>
      <c r="J1863" s="10" t="s">
        <v>292</v>
      </c>
      <c r="K1863" s="10" t="s">
        <v>3325</v>
      </c>
      <c r="L1863" s="10" t="s">
        <v>2292</v>
      </c>
      <c r="M1863" s="12">
        <v>45407</v>
      </c>
      <c r="N1863" s="10" t="s">
        <v>20</v>
      </c>
      <c r="O1863" s="10" t="s">
        <v>2057</v>
      </c>
      <c r="P1863" s="25" t="str">
        <f>IFERROR(
IF(OR(O1863="anulado",O1863="stand by"),CONCATENATE(O1863,": ",H1863),
IF(OR(YEAR(M1863)=2022,YEAR(M1863)=2023),CONCATENATE("Se activó en ",YEAR(M1863)),
IF(AND(OR(O1863="En proceso",O1863="facturando"),AND(J1863="-",M1863="")),"Por revisar",
IF(M1863="",IF(J1863="NUEVAS",CONCATENATE("Estado: ",O1863,", ",J1863),
IF(L1863=Meses!$A$3,"Por revisar",
IF(H1863="","Sin registro","En programación Frcst."))),"En programación")))),
"Error")</f>
        <v>En programación</v>
      </c>
      <c r="Q1863" s="9" t="str">
        <f t="shared" si="90"/>
        <v/>
      </c>
      <c r="R1863" s="25">
        <f>IF(P1863="En programación Frcst.",VLOOKUP(L1863,Meses!$A$1:$H$14,3+HLOOKUP(Cronograma!J1863,Meses!$D$1:$G$2,2,FALSE),FALSE),
IF(P1863="En programación",M1863,""))</f>
        <v>45407</v>
      </c>
      <c r="S1863" s="25" t="str">
        <f t="shared" si="89"/>
        <v>2024/4</v>
      </c>
      <c r="T1863" s="21">
        <f>IFERROR(
(VLOOKUP(MONTH(R1863),Meses!$B$3:$C$14,2,FALSE)-DAY(R1863))/VLOOKUP(MONTH(R1863),Meses!$B$3:$C$14,2,FALSE)*U1863,
"")</f>
        <v>568.5</v>
      </c>
      <c r="U1863" s="22">
        <f t="shared" si="91"/>
        <v>3411</v>
      </c>
    </row>
    <row r="1864" spans="1:21" ht="31.8" hidden="1" thickBot="1" x14ac:dyDescent="0.6">
      <c r="A1864" s="10" t="s">
        <v>2451</v>
      </c>
      <c r="B1864" s="10" t="s">
        <v>2458</v>
      </c>
      <c r="C1864" s="12"/>
      <c r="D1864" s="10" t="s">
        <v>74</v>
      </c>
      <c r="E1864" s="10" t="s">
        <v>74</v>
      </c>
      <c r="F1864" s="10">
        <v>11429</v>
      </c>
      <c r="G1864" s="10" t="s">
        <v>15</v>
      </c>
      <c r="H1864" s="10" t="s">
        <v>2916</v>
      </c>
      <c r="I1864" s="10" t="s">
        <v>43</v>
      </c>
      <c r="J1864" s="10" t="s">
        <v>292</v>
      </c>
      <c r="K1864" s="10" t="s">
        <v>3325</v>
      </c>
      <c r="L1864" s="10" t="s">
        <v>2292</v>
      </c>
      <c r="M1864" s="12">
        <v>45407</v>
      </c>
      <c r="N1864" s="10" t="s">
        <v>20</v>
      </c>
      <c r="O1864" s="10" t="s">
        <v>2057</v>
      </c>
      <c r="P1864" s="25" t="str">
        <f>IFERROR(
IF(OR(O1864="anulado",O1864="stand by"),CONCATENATE(O1864,": ",H1864),
IF(OR(YEAR(M1864)=2022,YEAR(M1864)=2023),CONCATENATE("Se activó en ",YEAR(M1864)),
IF(AND(OR(O1864="En proceso",O1864="facturando"),AND(J1864="-",M1864="")),"Por revisar",
IF(M1864="",IF(J1864="NUEVAS",CONCATENATE("Estado: ",O1864,", ",J1864),
IF(L1864=Meses!$A$3,"Por revisar",
IF(H1864="","Sin registro","En programación Frcst."))),"En programación")))),
"Error")</f>
        <v>En programación</v>
      </c>
      <c r="Q1864" s="9" t="str">
        <f t="shared" si="90"/>
        <v/>
      </c>
      <c r="R1864" s="25">
        <f>IF(P1864="En programación Frcst.",VLOOKUP(L1864,Meses!$A$1:$H$14,3+HLOOKUP(Cronograma!J1864,Meses!$D$1:$G$2,2,FALSE),FALSE),
IF(P1864="En programación",M1864,""))</f>
        <v>45407</v>
      </c>
      <c r="S1864" s="25" t="str">
        <f t="shared" si="89"/>
        <v>2024/4</v>
      </c>
      <c r="T1864" s="21">
        <f>IFERROR(
(VLOOKUP(MONTH(R1864),Meses!$B$3:$C$14,2,FALSE)-DAY(R1864))/VLOOKUP(MONTH(R1864),Meses!$B$3:$C$14,2,FALSE)*U1864,
"")</f>
        <v>1904.8333333333333</v>
      </c>
      <c r="U1864" s="22">
        <f t="shared" si="91"/>
        <v>11429</v>
      </c>
    </row>
    <row r="1865" spans="1:21" ht="31.8" hidden="1" thickBot="1" x14ac:dyDescent="0.6">
      <c r="A1865" s="10" t="s">
        <v>2451</v>
      </c>
      <c r="B1865" s="10" t="s">
        <v>2459</v>
      </c>
      <c r="C1865" s="12"/>
      <c r="D1865" s="10" t="s">
        <v>74</v>
      </c>
      <c r="E1865" s="10" t="s">
        <v>74</v>
      </c>
      <c r="F1865" s="10">
        <v>22492</v>
      </c>
      <c r="G1865" s="10" t="s">
        <v>15</v>
      </c>
      <c r="H1865" s="10" t="s">
        <v>2916</v>
      </c>
      <c r="I1865" s="10" t="s">
        <v>43</v>
      </c>
      <c r="J1865" s="10" t="s">
        <v>292</v>
      </c>
      <c r="K1865" s="10" t="s">
        <v>3325</v>
      </c>
      <c r="L1865" s="10" t="s">
        <v>2292</v>
      </c>
      <c r="M1865" s="12">
        <v>45407</v>
      </c>
      <c r="N1865" s="10" t="s">
        <v>20</v>
      </c>
      <c r="O1865" s="10" t="s">
        <v>2057</v>
      </c>
      <c r="P1865" s="25" t="str">
        <f>IFERROR(
IF(OR(O1865="anulado",O1865="stand by"),CONCATENATE(O1865,": ",H1865),
IF(OR(YEAR(M1865)=2022,YEAR(M1865)=2023),CONCATENATE("Se activó en ",YEAR(M1865)),
IF(AND(OR(O1865="En proceso",O1865="facturando"),AND(J1865="-",M1865="")),"Por revisar",
IF(M1865="",IF(J1865="NUEVAS",CONCATENATE("Estado: ",O1865,", ",J1865),
IF(L1865=Meses!$A$3,"Por revisar",
IF(H1865="","Sin registro","En programación Frcst."))),"En programación")))),
"Error")</f>
        <v>En programación</v>
      </c>
      <c r="Q1865" s="9" t="str">
        <f t="shared" si="90"/>
        <v/>
      </c>
      <c r="R1865" s="25">
        <f>IF(P1865="En programación Frcst.",VLOOKUP(L1865,Meses!$A$1:$H$14,3+HLOOKUP(Cronograma!J1865,Meses!$D$1:$G$2,2,FALSE),FALSE),
IF(P1865="En programación",M1865,""))</f>
        <v>45407</v>
      </c>
      <c r="S1865" s="25" t="str">
        <f t="shared" si="89"/>
        <v>2024/4</v>
      </c>
      <c r="T1865" s="21">
        <f>IFERROR(
(VLOOKUP(MONTH(R1865),Meses!$B$3:$C$14,2,FALSE)-DAY(R1865))/VLOOKUP(MONTH(R1865),Meses!$B$3:$C$14,2,FALSE)*U1865,
"")</f>
        <v>3748.6666666666665</v>
      </c>
      <c r="U1865" s="22">
        <f t="shared" si="91"/>
        <v>22492</v>
      </c>
    </row>
    <row r="1866" spans="1:21" ht="31.8" hidden="1" thickBot="1" x14ac:dyDescent="0.6">
      <c r="A1866" s="10" t="s">
        <v>2451</v>
      </c>
      <c r="B1866" s="10" t="s">
        <v>2460</v>
      </c>
      <c r="C1866" s="12"/>
      <c r="D1866" s="10" t="s">
        <v>74</v>
      </c>
      <c r="E1866" s="10" t="s">
        <v>74</v>
      </c>
      <c r="F1866" s="10">
        <v>8382</v>
      </c>
      <c r="G1866" s="10" t="s">
        <v>15</v>
      </c>
      <c r="H1866" s="10" t="s">
        <v>2916</v>
      </c>
      <c r="I1866" s="10" t="s">
        <v>43</v>
      </c>
      <c r="J1866" s="10" t="s">
        <v>292</v>
      </c>
      <c r="K1866" s="10" t="s">
        <v>3325</v>
      </c>
      <c r="L1866" s="10" t="s">
        <v>2292</v>
      </c>
      <c r="M1866" s="12">
        <v>45407</v>
      </c>
      <c r="N1866" s="10" t="s">
        <v>20</v>
      </c>
      <c r="O1866" s="10" t="s">
        <v>2057</v>
      </c>
      <c r="P1866" s="25" t="str">
        <f>IFERROR(
IF(OR(O1866="anulado",O1866="stand by"),CONCATENATE(O1866,": ",H1866),
IF(OR(YEAR(M1866)=2022,YEAR(M1866)=2023),CONCATENATE("Se activó en ",YEAR(M1866)),
IF(AND(OR(O1866="En proceso",O1866="facturando"),AND(J1866="-",M1866="")),"Por revisar",
IF(M1866="",IF(J1866="NUEVAS",CONCATENATE("Estado: ",O1866,", ",J1866),
IF(L1866=Meses!$A$3,"Por revisar",
IF(H1866="","Sin registro","En programación Frcst."))),"En programación")))),
"Error")</f>
        <v>En programación</v>
      </c>
      <c r="Q1866" s="9" t="str">
        <f t="shared" si="90"/>
        <v/>
      </c>
      <c r="R1866" s="25">
        <f>IF(P1866="En programación Frcst.",VLOOKUP(L1866,Meses!$A$1:$H$14,3+HLOOKUP(Cronograma!J1866,Meses!$D$1:$G$2,2,FALSE),FALSE),
IF(P1866="En programación",M1866,""))</f>
        <v>45407</v>
      </c>
      <c r="S1866" s="25" t="str">
        <f t="shared" si="89"/>
        <v>2024/4</v>
      </c>
      <c r="T1866" s="21">
        <f>IFERROR(
(VLOOKUP(MONTH(R1866),Meses!$B$3:$C$14,2,FALSE)-DAY(R1866))/VLOOKUP(MONTH(R1866),Meses!$B$3:$C$14,2,FALSE)*U1866,
"")</f>
        <v>1397</v>
      </c>
      <c r="U1866" s="22">
        <f t="shared" si="91"/>
        <v>8382</v>
      </c>
    </row>
    <row r="1867" spans="1:21" ht="31.8" hidden="1" thickBot="1" x14ac:dyDescent="0.6">
      <c r="A1867" s="10" t="s">
        <v>2451</v>
      </c>
      <c r="B1867" s="10" t="s">
        <v>2461</v>
      </c>
      <c r="C1867" s="12"/>
      <c r="D1867" s="10" t="s">
        <v>74</v>
      </c>
      <c r="E1867" s="10" t="s">
        <v>74</v>
      </c>
      <c r="F1867" s="10">
        <v>5796</v>
      </c>
      <c r="G1867" s="10" t="s">
        <v>15</v>
      </c>
      <c r="H1867" s="10" t="s">
        <v>2916</v>
      </c>
      <c r="I1867" s="10" t="s">
        <v>43</v>
      </c>
      <c r="J1867" s="10" t="s">
        <v>292</v>
      </c>
      <c r="K1867" s="10" t="s">
        <v>3325</v>
      </c>
      <c r="L1867" s="10" t="s">
        <v>2292</v>
      </c>
      <c r="M1867" s="12">
        <v>45407</v>
      </c>
      <c r="N1867" s="10" t="s">
        <v>20</v>
      </c>
      <c r="O1867" s="10" t="s">
        <v>2057</v>
      </c>
      <c r="P1867" s="25" t="str">
        <f>IFERROR(
IF(OR(O1867="anulado",O1867="stand by"),CONCATENATE(O1867,": ",H1867),
IF(OR(YEAR(M1867)=2022,YEAR(M1867)=2023),CONCATENATE("Se activó en ",YEAR(M1867)),
IF(AND(OR(O1867="En proceso",O1867="facturando"),AND(J1867="-",M1867="")),"Por revisar",
IF(M1867="",IF(J1867="NUEVAS",CONCATENATE("Estado: ",O1867,", ",J1867),
IF(L1867=Meses!$A$3,"Por revisar",
IF(H1867="","Sin registro","En programación Frcst."))),"En programación")))),
"Error")</f>
        <v>En programación</v>
      </c>
      <c r="Q1867" s="9" t="str">
        <f t="shared" si="90"/>
        <v/>
      </c>
      <c r="R1867" s="25">
        <f>IF(P1867="En programación Frcst.",VLOOKUP(L1867,Meses!$A$1:$H$14,3+HLOOKUP(Cronograma!J1867,Meses!$D$1:$G$2,2,FALSE),FALSE),
IF(P1867="En programación",M1867,""))</f>
        <v>45407</v>
      </c>
      <c r="S1867" s="25" t="str">
        <f t="shared" si="89"/>
        <v>2024/4</v>
      </c>
      <c r="T1867" s="21">
        <f>IFERROR(
(VLOOKUP(MONTH(R1867),Meses!$B$3:$C$14,2,FALSE)-DAY(R1867))/VLOOKUP(MONTH(R1867),Meses!$B$3:$C$14,2,FALSE)*U1867,
"")</f>
        <v>966</v>
      </c>
      <c r="U1867" s="22">
        <f t="shared" si="91"/>
        <v>5796</v>
      </c>
    </row>
    <row r="1868" spans="1:21" ht="31.8" hidden="1" thickBot="1" x14ac:dyDescent="0.6">
      <c r="A1868" s="10" t="s">
        <v>2451</v>
      </c>
      <c r="B1868" s="10" t="s">
        <v>2462</v>
      </c>
      <c r="C1868" s="12"/>
      <c r="D1868" s="10" t="s">
        <v>74</v>
      </c>
      <c r="E1868" s="10" t="s">
        <v>74</v>
      </c>
      <c r="F1868" s="10">
        <v>3</v>
      </c>
      <c r="G1868" s="10" t="s">
        <v>15</v>
      </c>
      <c r="H1868" s="10" t="s">
        <v>2916</v>
      </c>
      <c r="I1868" s="10" t="s">
        <v>43</v>
      </c>
      <c r="J1868" s="10" t="s">
        <v>292</v>
      </c>
      <c r="K1868" s="10" t="s">
        <v>3325</v>
      </c>
      <c r="L1868" s="10" t="s">
        <v>2292</v>
      </c>
      <c r="M1868" s="12">
        <v>45407</v>
      </c>
      <c r="N1868" s="10" t="s">
        <v>20</v>
      </c>
      <c r="O1868" s="10" t="s">
        <v>2057</v>
      </c>
      <c r="P1868" s="25" t="str">
        <f>IFERROR(
IF(OR(O1868="anulado",O1868="stand by"),CONCATENATE(O1868,": ",H1868),
IF(OR(YEAR(M1868)=2022,YEAR(M1868)=2023),CONCATENATE("Se activó en ",YEAR(M1868)),
IF(AND(OR(O1868="En proceso",O1868="facturando"),AND(J1868="-",M1868="")),"Por revisar",
IF(M1868="",IF(J1868="NUEVAS",CONCATENATE("Estado: ",O1868,", ",J1868),
IF(L1868=Meses!$A$3,"Por revisar",
IF(H1868="","Sin registro","En programación Frcst."))),"En programación")))),
"Error")</f>
        <v>En programación</v>
      </c>
      <c r="Q1868" s="9" t="str">
        <f t="shared" si="90"/>
        <v/>
      </c>
      <c r="R1868" s="25">
        <f>IF(P1868="En programación Frcst.",VLOOKUP(L1868,Meses!$A$1:$H$14,3+HLOOKUP(Cronograma!J1868,Meses!$D$1:$G$2,2,FALSE),FALSE),
IF(P1868="En programación",M1868,""))</f>
        <v>45407</v>
      </c>
      <c r="S1868" s="25" t="str">
        <f t="shared" si="89"/>
        <v>2024/4</v>
      </c>
      <c r="T1868" s="21">
        <f>IFERROR(
(VLOOKUP(MONTH(R1868),Meses!$B$3:$C$14,2,FALSE)-DAY(R1868))/VLOOKUP(MONTH(R1868),Meses!$B$3:$C$14,2,FALSE)*U1868,
"")</f>
        <v>0.5</v>
      </c>
      <c r="U1868" s="22">
        <f t="shared" si="91"/>
        <v>3</v>
      </c>
    </row>
    <row r="1869" spans="1:21" ht="31.8" hidden="1" thickBot="1" x14ac:dyDescent="0.6">
      <c r="A1869" s="10" t="s">
        <v>2451</v>
      </c>
      <c r="B1869" s="10" t="s">
        <v>2463</v>
      </c>
      <c r="C1869" s="12"/>
      <c r="D1869" s="10" t="s">
        <v>74</v>
      </c>
      <c r="E1869" s="10" t="s">
        <v>74</v>
      </c>
      <c r="F1869" s="10">
        <v>2076</v>
      </c>
      <c r="G1869" s="10" t="s">
        <v>15</v>
      </c>
      <c r="H1869" s="10" t="s">
        <v>2916</v>
      </c>
      <c r="I1869" s="10" t="s">
        <v>43</v>
      </c>
      <c r="J1869" s="10" t="s">
        <v>292</v>
      </c>
      <c r="K1869" s="10" t="s">
        <v>3325</v>
      </c>
      <c r="L1869" s="10" t="s">
        <v>2292</v>
      </c>
      <c r="M1869" s="12">
        <v>45407</v>
      </c>
      <c r="N1869" s="10" t="s">
        <v>20</v>
      </c>
      <c r="O1869" s="10" t="s">
        <v>2057</v>
      </c>
      <c r="P1869" s="25" t="str">
        <f>IFERROR(
IF(OR(O1869="anulado",O1869="stand by"),CONCATENATE(O1869,": ",H1869),
IF(OR(YEAR(M1869)=2022,YEAR(M1869)=2023),CONCATENATE("Se activó en ",YEAR(M1869)),
IF(AND(OR(O1869="En proceso",O1869="facturando"),AND(J1869="-",M1869="")),"Por revisar",
IF(M1869="",IF(J1869="NUEVAS",CONCATENATE("Estado: ",O1869,", ",J1869),
IF(L1869=Meses!$A$3,"Por revisar",
IF(H1869="","Sin registro","En programación Frcst."))),"En programación")))),
"Error")</f>
        <v>En programación</v>
      </c>
      <c r="Q1869" s="9" t="str">
        <f t="shared" si="90"/>
        <v/>
      </c>
      <c r="R1869" s="25">
        <f>IF(P1869="En programación Frcst.",VLOOKUP(L1869,Meses!$A$1:$H$14,3+HLOOKUP(Cronograma!J1869,Meses!$D$1:$G$2,2,FALSE),FALSE),
IF(P1869="En programación",M1869,""))</f>
        <v>45407</v>
      </c>
      <c r="S1869" s="25" t="str">
        <f t="shared" si="89"/>
        <v>2024/4</v>
      </c>
      <c r="T1869" s="21">
        <f>IFERROR(
(VLOOKUP(MONTH(R1869),Meses!$B$3:$C$14,2,FALSE)-DAY(R1869))/VLOOKUP(MONTH(R1869),Meses!$B$3:$C$14,2,FALSE)*U1869,
"")</f>
        <v>346</v>
      </c>
      <c r="U1869" s="22">
        <f t="shared" si="91"/>
        <v>2076</v>
      </c>
    </row>
    <row r="1870" spans="1:21" ht="47.4" hidden="1" thickBot="1" x14ac:dyDescent="0.6">
      <c r="A1870" s="10" t="s">
        <v>2464</v>
      </c>
      <c r="B1870" s="10" t="s">
        <v>2465</v>
      </c>
      <c r="C1870" s="12"/>
      <c r="D1870" s="10" t="s">
        <v>74</v>
      </c>
      <c r="E1870" s="10" t="s">
        <v>74</v>
      </c>
      <c r="F1870" s="10">
        <v>2934</v>
      </c>
      <c r="G1870" s="10" t="s">
        <v>15</v>
      </c>
      <c r="H1870" s="10" t="s">
        <v>2917</v>
      </c>
      <c r="I1870" s="10" t="s">
        <v>43</v>
      </c>
      <c r="J1870" s="10" t="s">
        <v>143</v>
      </c>
      <c r="K1870" s="10" t="s">
        <v>2895</v>
      </c>
      <c r="L1870" s="10" t="s">
        <v>2292</v>
      </c>
      <c r="M1870" s="12">
        <v>45400</v>
      </c>
      <c r="N1870" s="10" t="s">
        <v>20</v>
      </c>
      <c r="O1870" s="10" t="s">
        <v>2057</v>
      </c>
      <c r="P1870" s="25" t="str">
        <f>IFERROR(
IF(OR(O1870="anulado",O1870="stand by"),CONCATENATE(O1870,": ",H1870),
IF(OR(YEAR(M1870)=2022,YEAR(M1870)=2023),CONCATENATE("Se activó en ",YEAR(M1870)),
IF(AND(OR(O1870="En proceso",O1870="facturando"),AND(J1870="-",M1870="")),"Por revisar",
IF(M1870="",IF(J1870="NUEVAS",CONCATENATE("Estado: ",O1870,", ",J1870),
IF(L1870=Meses!$A$3,"Por revisar",
IF(H1870="","Sin registro","En programación Frcst."))),"En programación")))),
"Error")</f>
        <v>En programación</v>
      </c>
      <c r="Q1870" s="9" t="str">
        <f t="shared" si="90"/>
        <v/>
      </c>
      <c r="R1870" s="25">
        <f>IF(P1870="En programación Frcst.",VLOOKUP(L1870,Meses!$A$1:$H$14,3+HLOOKUP(Cronograma!J1870,Meses!$D$1:$G$2,2,FALSE),FALSE),
IF(P1870="En programación",M1870,""))</f>
        <v>45400</v>
      </c>
      <c r="S1870" s="25" t="str">
        <f t="shared" si="89"/>
        <v>2024/4</v>
      </c>
      <c r="T1870" s="21">
        <f>IFERROR(
(VLOOKUP(MONTH(R1870),Meses!$B$3:$C$14,2,FALSE)-DAY(R1870))/VLOOKUP(MONTH(R1870),Meses!$B$3:$C$14,2,FALSE)*U1870,
"")</f>
        <v>1173.6000000000001</v>
      </c>
      <c r="U1870" s="22">
        <f t="shared" si="91"/>
        <v>2934</v>
      </c>
    </row>
    <row r="1871" spans="1:21" ht="47.4" hidden="1" thickBot="1" x14ac:dyDescent="0.6">
      <c r="A1871" s="10" t="s">
        <v>2466</v>
      </c>
      <c r="B1871" s="10" t="s">
        <v>2467</v>
      </c>
      <c r="C1871" s="12"/>
      <c r="D1871" s="10" t="s">
        <v>673</v>
      </c>
      <c r="E1871" s="10" t="s">
        <v>289</v>
      </c>
      <c r="F1871" s="10">
        <v>3800</v>
      </c>
      <c r="G1871" s="10" t="s">
        <v>15</v>
      </c>
      <c r="H1871" s="10" t="s">
        <v>1050</v>
      </c>
      <c r="I1871" s="10" t="s">
        <v>18</v>
      </c>
      <c r="J1871" s="10" t="s">
        <v>277</v>
      </c>
      <c r="K1871" s="10" t="s">
        <v>3327</v>
      </c>
      <c r="L1871" s="10" t="s">
        <v>2292</v>
      </c>
      <c r="M1871" s="12">
        <v>45400</v>
      </c>
      <c r="N1871" s="10" t="s">
        <v>20</v>
      </c>
      <c r="O1871" s="10" t="s">
        <v>2057</v>
      </c>
      <c r="P1871" s="25" t="str">
        <f>IFERROR(
IF(OR(O1871="anulado",O1871="stand by"),CONCATENATE(O1871,": ",H1871),
IF(OR(YEAR(M1871)=2022,YEAR(M1871)=2023),CONCATENATE("Se activó en ",YEAR(M1871)),
IF(AND(OR(O1871="En proceso",O1871="facturando"),AND(J1871="-",M1871="")),"Por revisar",
IF(M1871="",IF(J1871="NUEVAS",CONCATENATE("Estado: ",O1871,", ",J1871),
IF(L1871=Meses!$A$3,"Por revisar",
IF(H1871="","Sin registro","En programación Frcst."))),"En programación")))),
"Error")</f>
        <v>En programación</v>
      </c>
      <c r="Q1871" s="9" t="str">
        <f t="shared" si="90"/>
        <v/>
      </c>
      <c r="R1871" s="25">
        <f>IF(P1871="En programación Frcst.",VLOOKUP(L1871,Meses!$A$1:$H$14,3+HLOOKUP(Cronograma!J1871,Meses!$D$1:$G$2,2,FALSE),FALSE),
IF(P1871="En programación",M1871,""))</f>
        <v>45400</v>
      </c>
      <c r="S1871" s="25" t="str">
        <f t="shared" si="89"/>
        <v>2024/4</v>
      </c>
      <c r="T1871" s="21">
        <f>IFERROR(
(VLOOKUP(MONTH(R1871),Meses!$B$3:$C$14,2,FALSE)-DAY(R1871))/VLOOKUP(MONTH(R1871),Meses!$B$3:$C$14,2,FALSE)*U1871,
"")</f>
        <v>1520</v>
      </c>
      <c r="U1871" s="22">
        <f t="shared" si="91"/>
        <v>3800</v>
      </c>
    </row>
    <row r="1872" spans="1:21" ht="63" thickBot="1" x14ac:dyDescent="0.6">
      <c r="A1872" s="10" t="s">
        <v>2468</v>
      </c>
      <c r="B1872" s="10" t="s">
        <v>2469</v>
      </c>
      <c r="C1872" s="12"/>
      <c r="D1872" s="10" t="s">
        <v>171</v>
      </c>
      <c r="E1872" s="10" t="s">
        <v>74</v>
      </c>
      <c r="F1872" s="10">
        <v>5422</v>
      </c>
      <c r="G1872" s="10" t="s">
        <v>15</v>
      </c>
      <c r="H1872" s="10" t="s">
        <v>2917</v>
      </c>
      <c r="I1872" s="10" t="s">
        <v>66</v>
      </c>
      <c r="J1872" s="10" t="s">
        <v>282</v>
      </c>
      <c r="K1872" s="10" t="s">
        <v>3326</v>
      </c>
      <c r="L1872" s="10" t="s">
        <v>2293</v>
      </c>
      <c r="M1872" s="12">
        <v>45414</v>
      </c>
      <c r="N1872" s="10" t="s">
        <v>20</v>
      </c>
      <c r="O1872" s="10" t="s">
        <v>2057</v>
      </c>
      <c r="P1872" s="25" t="str">
        <f>IFERROR(
IF(OR(O1872="anulado",O1872="stand by"),CONCATENATE(O1872,": ",H1872),
IF(OR(YEAR(M1872)=2022,YEAR(M1872)=2023),CONCATENATE("Se activó en ",YEAR(M1872)),
IF(AND(OR(O1872="En proceso",O1872="facturando"),AND(J1872="-",M1872="")),"Por revisar",
IF(M1872="",IF(J1872="NUEVAS",CONCATENATE("Estado: ",O1872,", ",J1872),
IF(L1872=Meses!$A$3,"Por revisar",
IF(H1872="","Sin registro","En programación Frcst."))),"En programación")))),
"Error")</f>
        <v>En programación</v>
      </c>
      <c r="Q1872" s="9" t="str">
        <f t="shared" si="90"/>
        <v/>
      </c>
      <c r="R1872" s="25">
        <f>IF(P1872="En programación Frcst.",VLOOKUP(L1872,Meses!$A$1:$H$14,3+HLOOKUP(Cronograma!J1872,Meses!$D$1:$G$2,2,FALSE),FALSE),
IF(P1872="En programación",M1872,""))</f>
        <v>45414</v>
      </c>
      <c r="S1872" s="25" t="str">
        <f t="shared" si="89"/>
        <v>2024/5</v>
      </c>
      <c r="T1872" s="21">
        <f>IFERROR(
(VLOOKUP(MONTH(R1872),Meses!$B$3:$C$14,2,FALSE)-DAY(R1872))/VLOOKUP(MONTH(R1872),Meses!$B$3:$C$14,2,FALSE)*U1872,
"")</f>
        <v>5072.1935483870966</v>
      </c>
      <c r="U1872" s="22">
        <f t="shared" si="91"/>
        <v>5422</v>
      </c>
    </row>
    <row r="1873" spans="1:21" ht="47.4" hidden="1" thickBot="1" x14ac:dyDescent="0.6">
      <c r="A1873" s="10" t="s">
        <v>2470</v>
      </c>
      <c r="B1873" s="10" t="s">
        <v>2471</v>
      </c>
      <c r="C1873" s="12"/>
      <c r="D1873" s="10" t="s">
        <v>14</v>
      </c>
      <c r="E1873" s="10" t="s">
        <v>14</v>
      </c>
      <c r="F1873" s="10">
        <v>1783</v>
      </c>
      <c r="G1873" s="10" t="s">
        <v>15</v>
      </c>
      <c r="H1873" s="10" t="s">
        <v>2917</v>
      </c>
      <c r="I1873" s="10" t="s">
        <v>18</v>
      </c>
      <c r="J1873" s="10" t="s">
        <v>277</v>
      </c>
      <c r="K1873" s="10" t="s">
        <v>3327</v>
      </c>
      <c r="L1873" s="10" t="s">
        <v>2292</v>
      </c>
      <c r="M1873" s="12">
        <v>45400</v>
      </c>
      <c r="N1873" s="10"/>
      <c r="O1873" s="10" t="s">
        <v>2057</v>
      </c>
      <c r="P1873" s="25" t="str">
        <f>IFERROR(
IF(OR(O1873="anulado",O1873="stand by"),CONCATENATE(O1873,": ",H1873),
IF(OR(YEAR(M1873)=2022,YEAR(M1873)=2023),CONCATENATE("Se activó en ",YEAR(M1873)),
IF(AND(OR(O1873="En proceso",O1873="facturando"),AND(J1873="-",M1873="")),"Por revisar",
IF(M1873="",IF(J1873="NUEVAS",CONCATENATE("Estado: ",O1873,", ",J1873),
IF(L1873=Meses!$A$3,"Por revisar",
IF(H1873="","Sin registro","En programación Frcst."))),"En programación")))),
"Error")</f>
        <v>En programación</v>
      </c>
      <c r="Q1873" s="9" t="str">
        <f t="shared" si="90"/>
        <v/>
      </c>
      <c r="R1873" s="25">
        <f>IF(P1873="En programación Frcst.",VLOOKUP(L1873,Meses!$A$1:$H$14,3+HLOOKUP(Cronograma!J1873,Meses!$D$1:$G$2,2,FALSE),FALSE),
IF(P1873="En programación",M1873,""))</f>
        <v>45400</v>
      </c>
      <c r="S1873" s="25" t="str">
        <f t="shared" si="89"/>
        <v>2024/4</v>
      </c>
      <c r="T1873" s="21">
        <f>IFERROR(
(VLOOKUP(MONTH(R1873),Meses!$B$3:$C$14,2,FALSE)-DAY(R1873))/VLOOKUP(MONTH(R1873),Meses!$B$3:$C$14,2,FALSE)*U1873,
"")</f>
        <v>713.2</v>
      </c>
      <c r="U1873" s="22">
        <f t="shared" si="91"/>
        <v>1783</v>
      </c>
    </row>
    <row r="1874" spans="1:21" ht="47.4" hidden="1" thickBot="1" x14ac:dyDescent="0.6">
      <c r="A1874" s="10" t="s">
        <v>2470</v>
      </c>
      <c r="B1874" s="10" t="s">
        <v>2472</v>
      </c>
      <c r="C1874" s="12"/>
      <c r="D1874" s="10" t="s">
        <v>14</v>
      </c>
      <c r="E1874" s="10" t="s">
        <v>14</v>
      </c>
      <c r="F1874" s="10">
        <v>1779</v>
      </c>
      <c r="G1874" s="10" t="s">
        <v>15</v>
      </c>
      <c r="H1874" s="10" t="s">
        <v>2917</v>
      </c>
      <c r="I1874" s="10" t="s">
        <v>18</v>
      </c>
      <c r="J1874" s="10" t="s">
        <v>277</v>
      </c>
      <c r="K1874" s="10" t="s">
        <v>3327</v>
      </c>
      <c r="L1874" s="10" t="s">
        <v>2292</v>
      </c>
      <c r="M1874" s="12">
        <v>45400</v>
      </c>
      <c r="N1874" s="10"/>
      <c r="O1874" s="10" t="s">
        <v>2057</v>
      </c>
      <c r="P1874" s="25" t="str">
        <f>IFERROR(
IF(OR(O1874="anulado",O1874="stand by"),CONCATENATE(O1874,": ",H1874),
IF(OR(YEAR(M1874)=2022,YEAR(M1874)=2023),CONCATENATE("Se activó en ",YEAR(M1874)),
IF(AND(OR(O1874="En proceso",O1874="facturando"),AND(J1874="-",M1874="")),"Por revisar",
IF(M1874="",IF(J1874="NUEVAS",CONCATENATE("Estado: ",O1874,", ",J1874),
IF(L1874=Meses!$A$3,"Por revisar",
IF(H1874="","Sin registro","En programación Frcst."))),"En programación")))),
"Error")</f>
        <v>En programación</v>
      </c>
      <c r="Q1874" s="9" t="str">
        <f t="shared" si="90"/>
        <v/>
      </c>
      <c r="R1874" s="25">
        <f>IF(P1874="En programación Frcst.",VLOOKUP(L1874,Meses!$A$1:$H$14,3+HLOOKUP(Cronograma!J1874,Meses!$D$1:$G$2,2,FALSE),FALSE),
IF(P1874="En programación",M1874,""))</f>
        <v>45400</v>
      </c>
      <c r="S1874" s="25" t="str">
        <f t="shared" si="89"/>
        <v>2024/4</v>
      </c>
      <c r="T1874" s="21">
        <f>IFERROR(
(VLOOKUP(MONTH(R1874),Meses!$B$3:$C$14,2,FALSE)-DAY(R1874))/VLOOKUP(MONTH(R1874),Meses!$B$3:$C$14,2,FALSE)*U1874,
"")</f>
        <v>711.6</v>
      </c>
      <c r="U1874" s="22">
        <f t="shared" si="91"/>
        <v>1779</v>
      </c>
    </row>
    <row r="1875" spans="1:21" ht="47.4" hidden="1" thickBot="1" x14ac:dyDescent="0.6">
      <c r="A1875" s="10" t="s">
        <v>2473</v>
      </c>
      <c r="B1875" s="10" t="s">
        <v>2474</v>
      </c>
      <c r="C1875" s="12"/>
      <c r="D1875" s="10" t="s">
        <v>74</v>
      </c>
      <c r="E1875" s="10" t="s">
        <v>74</v>
      </c>
      <c r="F1875" s="10">
        <v>31548</v>
      </c>
      <c r="G1875" s="10" t="s">
        <v>15</v>
      </c>
      <c r="H1875" s="10" t="s">
        <v>2917</v>
      </c>
      <c r="I1875" s="10" t="s">
        <v>43</v>
      </c>
      <c r="J1875" s="10" t="s">
        <v>143</v>
      </c>
      <c r="K1875" s="10" t="s">
        <v>2895</v>
      </c>
      <c r="L1875" s="10" t="s">
        <v>2292</v>
      </c>
      <c r="M1875" s="12">
        <v>45400</v>
      </c>
      <c r="N1875" s="10"/>
      <c r="O1875" s="10" t="s">
        <v>2057</v>
      </c>
      <c r="P1875" s="25" t="str">
        <f>IFERROR(
IF(OR(O1875="anulado",O1875="stand by"),CONCATENATE(O1875,": ",H1875),
IF(OR(YEAR(M1875)=2022,YEAR(M1875)=2023),CONCATENATE("Se activó en ",YEAR(M1875)),
IF(AND(OR(O1875="En proceso",O1875="facturando"),AND(J1875="-",M1875="")),"Por revisar",
IF(M1875="",IF(J1875="NUEVAS",CONCATENATE("Estado: ",O1875,", ",J1875),
IF(L1875=Meses!$A$3,"Por revisar",
IF(H1875="","Sin registro","En programación Frcst."))),"En programación")))),
"Error")</f>
        <v>En programación</v>
      </c>
      <c r="Q1875" s="9" t="str">
        <f t="shared" si="90"/>
        <v/>
      </c>
      <c r="R1875" s="25">
        <f>IF(P1875="En programación Frcst.",VLOOKUP(L1875,Meses!$A$1:$H$14,3+HLOOKUP(Cronograma!J1875,Meses!$D$1:$G$2,2,FALSE),FALSE),
IF(P1875="En programación",M1875,""))</f>
        <v>45400</v>
      </c>
      <c r="S1875" s="25" t="str">
        <f t="shared" si="89"/>
        <v>2024/4</v>
      </c>
      <c r="T1875" s="21">
        <f>IFERROR(
(VLOOKUP(MONTH(R1875),Meses!$B$3:$C$14,2,FALSE)-DAY(R1875))/VLOOKUP(MONTH(R1875),Meses!$B$3:$C$14,2,FALSE)*U1875,
"")</f>
        <v>12619.2</v>
      </c>
      <c r="U1875" s="22">
        <f t="shared" si="91"/>
        <v>31548</v>
      </c>
    </row>
    <row r="1876" spans="1:21" ht="31.8" hidden="1" thickBot="1" x14ac:dyDescent="0.6">
      <c r="A1876" s="10" t="s">
        <v>2475</v>
      </c>
      <c r="B1876" s="10" t="s">
        <v>2476</v>
      </c>
      <c r="C1876" s="12"/>
      <c r="D1876" s="10" t="s">
        <v>14</v>
      </c>
      <c r="E1876" s="10" t="s">
        <v>14</v>
      </c>
      <c r="F1876" s="10">
        <v>8056</v>
      </c>
      <c r="G1876" s="10" t="s">
        <v>15</v>
      </c>
      <c r="H1876" s="10" t="s">
        <v>2917</v>
      </c>
      <c r="I1876" s="10" t="s">
        <v>18</v>
      </c>
      <c r="J1876" s="10" t="s">
        <v>277</v>
      </c>
      <c r="K1876" s="10" t="s">
        <v>3327</v>
      </c>
      <c r="L1876" s="10" t="s">
        <v>2292</v>
      </c>
      <c r="M1876" s="12">
        <v>45400</v>
      </c>
      <c r="N1876" s="10"/>
      <c r="O1876" s="10" t="s">
        <v>2057</v>
      </c>
      <c r="P1876" s="25" t="str">
        <f>IFERROR(
IF(OR(O1876="anulado",O1876="stand by"),CONCATENATE(O1876,": ",H1876),
IF(OR(YEAR(M1876)=2022,YEAR(M1876)=2023),CONCATENATE("Se activó en ",YEAR(M1876)),
IF(AND(OR(O1876="En proceso",O1876="facturando"),AND(J1876="-",M1876="")),"Por revisar",
IF(M1876="",IF(J1876="NUEVAS",CONCATENATE("Estado: ",O1876,", ",J1876),
IF(L1876=Meses!$A$3,"Por revisar",
IF(H1876="","Sin registro","En programación Frcst."))),"En programación")))),
"Error")</f>
        <v>En programación</v>
      </c>
      <c r="Q1876" s="9" t="str">
        <f t="shared" si="90"/>
        <v/>
      </c>
      <c r="R1876" s="25">
        <f>IF(P1876="En programación Frcst.",VLOOKUP(L1876,Meses!$A$1:$H$14,3+HLOOKUP(Cronograma!J1876,Meses!$D$1:$G$2,2,FALSE),FALSE),
IF(P1876="En programación",M1876,""))</f>
        <v>45400</v>
      </c>
      <c r="S1876" s="25" t="str">
        <f t="shared" si="89"/>
        <v>2024/4</v>
      </c>
      <c r="T1876" s="21">
        <f>IFERROR(
(VLOOKUP(MONTH(R1876),Meses!$B$3:$C$14,2,FALSE)-DAY(R1876))/VLOOKUP(MONTH(R1876),Meses!$B$3:$C$14,2,FALSE)*U1876,
"")</f>
        <v>3222.4</v>
      </c>
      <c r="U1876" s="22">
        <f t="shared" si="91"/>
        <v>8056</v>
      </c>
    </row>
    <row r="1877" spans="1:21" ht="31.8" thickBot="1" x14ac:dyDescent="0.6">
      <c r="A1877" s="10" t="s">
        <v>2477</v>
      </c>
      <c r="B1877" s="10" t="s">
        <v>2478</v>
      </c>
      <c r="C1877" s="12"/>
      <c r="D1877" s="10" t="s">
        <v>654</v>
      </c>
      <c r="E1877" s="10" t="s">
        <v>14</v>
      </c>
      <c r="F1877" s="10">
        <v>70000</v>
      </c>
      <c r="G1877" s="10" t="s">
        <v>15</v>
      </c>
      <c r="H1877" s="10" t="s">
        <v>2917</v>
      </c>
      <c r="I1877" s="10" t="s">
        <v>66</v>
      </c>
      <c r="J1877" s="10" t="s">
        <v>282</v>
      </c>
      <c r="K1877" s="10" t="s">
        <v>3326</v>
      </c>
      <c r="L1877" s="10" t="s">
        <v>2293</v>
      </c>
      <c r="M1877" s="12">
        <v>45414</v>
      </c>
      <c r="N1877" s="10"/>
      <c r="O1877" s="10" t="s">
        <v>2057</v>
      </c>
      <c r="P1877" s="25" t="str">
        <f>IFERROR(
IF(OR(O1877="anulado",O1877="stand by"),CONCATENATE(O1877,": ",H1877),
IF(OR(YEAR(M1877)=2022,YEAR(M1877)=2023),CONCATENATE("Se activó en ",YEAR(M1877)),
IF(AND(OR(O1877="En proceso",O1877="facturando"),AND(J1877="-",M1877="")),"Por revisar",
IF(M1877="",IF(J1877="NUEVAS",CONCATENATE("Estado: ",O1877,", ",J1877),
IF(L1877=Meses!$A$3,"Por revisar",
IF(H1877="","Sin registro","En programación Frcst."))),"En programación")))),
"Error")</f>
        <v>En programación</v>
      </c>
      <c r="Q1877" s="9" t="str">
        <f t="shared" si="90"/>
        <v/>
      </c>
      <c r="R1877" s="25">
        <f>IF(P1877="En programación Frcst.",VLOOKUP(L1877,Meses!$A$1:$H$14,3+HLOOKUP(Cronograma!J1877,Meses!$D$1:$G$2,2,FALSE),FALSE),
IF(P1877="En programación",M1877,""))</f>
        <v>45414</v>
      </c>
      <c r="S1877" s="25" t="str">
        <f t="shared" si="89"/>
        <v>2024/5</v>
      </c>
      <c r="T1877" s="21">
        <f>IFERROR(
(VLOOKUP(MONTH(R1877),Meses!$B$3:$C$14,2,FALSE)-DAY(R1877))/VLOOKUP(MONTH(R1877),Meses!$B$3:$C$14,2,FALSE)*U1877,
"")</f>
        <v>65483.870967741932</v>
      </c>
      <c r="U1877" s="22">
        <f t="shared" si="91"/>
        <v>70000</v>
      </c>
    </row>
    <row r="1878" spans="1:21" ht="47.4" hidden="1" thickBot="1" x14ac:dyDescent="0.6">
      <c r="A1878" s="10" t="s">
        <v>2470</v>
      </c>
      <c r="B1878" s="10" t="s">
        <v>2479</v>
      </c>
      <c r="C1878" s="12"/>
      <c r="D1878" s="10" t="s">
        <v>14</v>
      </c>
      <c r="E1878" s="10" t="s">
        <v>14</v>
      </c>
      <c r="F1878" s="10">
        <v>1595</v>
      </c>
      <c r="G1878" s="10" t="s">
        <v>15</v>
      </c>
      <c r="H1878" s="10" t="s">
        <v>2917</v>
      </c>
      <c r="I1878" s="10" t="s">
        <v>18</v>
      </c>
      <c r="J1878" s="10" t="s">
        <v>277</v>
      </c>
      <c r="K1878" s="10" t="s">
        <v>3327</v>
      </c>
      <c r="L1878" s="10" t="s">
        <v>2292</v>
      </c>
      <c r="M1878" s="12">
        <v>45400</v>
      </c>
      <c r="N1878" s="10"/>
      <c r="O1878" s="10" t="s">
        <v>2057</v>
      </c>
      <c r="P1878" s="25" t="str">
        <f>IFERROR(
IF(OR(O1878="anulado",O1878="stand by"),CONCATENATE(O1878,": ",H1878),
IF(OR(YEAR(M1878)=2022,YEAR(M1878)=2023),CONCATENATE("Se activó en ",YEAR(M1878)),
IF(AND(OR(O1878="En proceso",O1878="facturando"),AND(J1878="-",M1878="")),"Por revisar",
IF(M1878="",IF(J1878="NUEVAS",CONCATENATE("Estado: ",O1878,", ",J1878),
IF(L1878=Meses!$A$3,"Por revisar",
IF(H1878="","Sin registro","En programación Frcst."))),"En programación")))),
"Error")</f>
        <v>En programación</v>
      </c>
      <c r="Q1878" s="9" t="str">
        <f t="shared" si="90"/>
        <v/>
      </c>
      <c r="R1878" s="25">
        <f>IF(P1878="En programación Frcst.",VLOOKUP(L1878,Meses!$A$1:$H$14,3+HLOOKUP(Cronograma!J1878,Meses!$D$1:$G$2,2,FALSE),FALSE),
IF(P1878="En programación",M1878,""))</f>
        <v>45400</v>
      </c>
      <c r="S1878" s="25" t="str">
        <f t="shared" si="89"/>
        <v>2024/4</v>
      </c>
      <c r="T1878" s="21">
        <f>IFERROR(
(VLOOKUP(MONTH(R1878),Meses!$B$3:$C$14,2,FALSE)-DAY(R1878))/VLOOKUP(MONTH(R1878),Meses!$B$3:$C$14,2,FALSE)*U1878,
"")</f>
        <v>638</v>
      </c>
      <c r="U1878" s="22">
        <f t="shared" si="91"/>
        <v>1595</v>
      </c>
    </row>
    <row r="1879" spans="1:21" ht="47.4" hidden="1" thickBot="1" x14ac:dyDescent="0.6">
      <c r="A1879" s="10" t="s">
        <v>2470</v>
      </c>
      <c r="B1879" s="10" t="s">
        <v>2480</v>
      </c>
      <c r="C1879" s="12"/>
      <c r="D1879" s="10" t="s">
        <v>14</v>
      </c>
      <c r="E1879" s="10" t="s">
        <v>14</v>
      </c>
      <c r="F1879" s="10">
        <v>1258</v>
      </c>
      <c r="G1879" s="10" t="s">
        <v>15</v>
      </c>
      <c r="H1879" s="10" t="s">
        <v>2917</v>
      </c>
      <c r="I1879" s="10" t="s">
        <v>18</v>
      </c>
      <c r="J1879" s="10" t="s">
        <v>277</v>
      </c>
      <c r="K1879" s="10" t="s">
        <v>3327</v>
      </c>
      <c r="L1879" s="10" t="s">
        <v>2292</v>
      </c>
      <c r="M1879" s="12">
        <v>45400</v>
      </c>
      <c r="N1879" s="10"/>
      <c r="O1879" s="10" t="s">
        <v>2057</v>
      </c>
      <c r="P1879" s="25" t="str">
        <f>IFERROR(
IF(OR(O1879="anulado",O1879="stand by"),CONCATENATE(O1879,": ",H1879),
IF(OR(YEAR(M1879)=2022,YEAR(M1879)=2023),CONCATENATE("Se activó en ",YEAR(M1879)),
IF(AND(OR(O1879="En proceso",O1879="facturando"),AND(J1879="-",M1879="")),"Por revisar",
IF(M1879="",IF(J1879="NUEVAS",CONCATENATE("Estado: ",O1879,", ",J1879),
IF(L1879=Meses!$A$3,"Por revisar",
IF(H1879="","Sin registro","En programación Frcst."))),"En programación")))),
"Error")</f>
        <v>En programación</v>
      </c>
      <c r="Q1879" s="9" t="str">
        <f t="shared" si="90"/>
        <v/>
      </c>
      <c r="R1879" s="25">
        <f>IF(P1879="En programación Frcst.",VLOOKUP(L1879,Meses!$A$1:$H$14,3+HLOOKUP(Cronograma!J1879,Meses!$D$1:$G$2,2,FALSE),FALSE),
IF(P1879="En programación",M1879,""))</f>
        <v>45400</v>
      </c>
      <c r="S1879" s="25" t="str">
        <f t="shared" si="89"/>
        <v>2024/4</v>
      </c>
      <c r="T1879" s="21">
        <f>IFERROR(
(VLOOKUP(MONTH(R1879),Meses!$B$3:$C$14,2,FALSE)-DAY(R1879))/VLOOKUP(MONTH(R1879),Meses!$B$3:$C$14,2,FALSE)*U1879,
"")</f>
        <v>503.20000000000005</v>
      </c>
      <c r="U1879" s="22">
        <f t="shared" si="91"/>
        <v>1258</v>
      </c>
    </row>
    <row r="1880" spans="1:21" ht="47.4" hidden="1" thickBot="1" x14ac:dyDescent="0.6">
      <c r="A1880" s="10" t="s">
        <v>2470</v>
      </c>
      <c r="B1880" s="10" t="s">
        <v>2481</v>
      </c>
      <c r="C1880" s="12"/>
      <c r="D1880" s="10" t="s">
        <v>14</v>
      </c>
      <c r="E1880" s="10" t="s">
        <v>14</v>
      </c>
      <c r="F1880" s="10">
        <v>1472</v>
      </c>
      <c r="G1880" s="10" t="s">
        <v>15</v>
      </c>
      <c r="H1880" s="10" t="s">
        <v>2917</v>
      </c>
      <c r="I1880" s="10" t="s">
        <v>18</v>
      </c>
      <c r="J1880" s="10" t="s">
        <v>277</v>
      </c>
      <c r="K1880" s="10" t="s">
        <v>3327</v>
      </c>
      <c r="L1880" s="10" t="s">
        <v>2292</v>
      </c>
      <c r="M1880" s="12">
        <v>45400</v>
      </c>
      <c r="N1880" s="10"/>
      <c r="O1880" s="10" t="s">
        <v>2057</v>
      </c>
      <c r="P1880" s="25" t="str">
        <f>IFERROR(
IF(OR(O1880="anulado",O1880="stand by"),CONCATENATE(O1880,": ",H1880),
IF(OR(YEAR(M1880)=2022,YEAR(M1880)=2023),CONCATENATE("Se activó en ",YEAR(M1880)),
IF(AND(OR(O1880="En proceso",O1880="facturando"),AND(J1880="-",M1880="")),"Por revisar",
IF(M1880="",IF(J1880="NUEVAS",CONCATENATE("Estado: ",O1880,", ",J1880),
IF(L1880=Meses!$A$3,"Por revisar",
IF(H1880="","Sin registro","En programación Frcst."))),"En programación")))),
"Error")</f>
        <v>En programación</v>
      </c>
      <c r="Q1880" s="9" t="str">
        <f t="shared" si="90"/>
        <v/>
      </c>
      <c r="R1880" s="25">
        <f>IF(P1880="En programación Frcst.",VLOOKUP(L1880,Meses!$A$1:$H$14,3+HLOOKUP(Cronograma!J1880,Meses!$D$1:$G$2,2,FALSE),FALSE),
IF(P1880="En programación",M1880,""))</f>
        <v>45400</v>
      </c>
      <c r="S1880" s="25" t="str">
        <f t="shared" si="89"/>
        <v>2024/4</v>
      </c>
      <c r="T1880" s="21">
        <f>IFERROR(
(VLOOKUP(MONTH(R1880),Meses!$B$3:$C$14,2,FALSE)-DAY(R1880))/VLOOKUP(MONTH(R1880),Meses!$B$3:$C$14,2,FALSE)*U1880,
"")</f>
        <v>588.80000000000007</v>
      </c>
      <c r="U1880" s="22">
        <f t="shared" si="91"/>
        <v>1472</v>
      </c>
    </row>
    <row r="1881" spans="1:21" ht="47.4" hidden="1" thickBot="1" x14ac:dyDescent="0.6">
      <c r="A1881" s="10" t="s">
        <v>2470</v>
      </c>
      <c r="B1881" s="10" t="s">
        <v>2482</v>
      </c>
      <c r="C1881" s="12"/>
      <c r="D1881" s="10" t="s">
        <v>14</v>
      </c>
      <c r="E1881" s="10" t="s">
        <v>14</v>
      </c>
      <c r="F1881" s="10">
        <v>1494</v>
      </c>
      <c r="G1881" s="10" t="s">
        <v>15</v>
      </c>
      <c r="H1881" s="10" t="s">
        <v>2917</v>
      </c>
      <c r="I1881" s="10" t="s">
        <v>18</v>
      </c>
      <c r="J1881" s="10" t="s">
        <v>277</v>
      </c>
      <c r="K1881" s="10" t="s">
        <v>3327</v>
      </c>
      <c r="L1881" s="10" t="s">
        <v>2292</v>
      </c>
      <c r="M1881" s="12">
        <v>45400</v>
      </c>
      <c r="N1881" s="10"/>
      <c r="O1881" s="10" t="s">
        <v>2057</v>
      </c>
      <c r="P1881" s="25" t="str">
        <f>IFERROR(
IF(OR(O1881="anulado",O1881="stand by"),CONCATENATE(O1881,": ",H1881),
IF(OR(YEAR(M1881)=2022,YEAR(M1881)=2023),CONCATENATE("Se activó en ",YEAR(M1881)),
IF(AND(OR(O1881="En proceso",O1881="facturando"),AND(J1881="-",M1881="")),"Por revisar",
IF(M1881="",IF(J1881="NUEVAS",CONCATENATE("Estado: ",O1881,", ",J1881),
IF(L1881=Meses!$A$3,"Por revisar",
IF(H1881="","Sin registro","En programación Frcst."))),"En programación")))),
"Error")</f>
        <v>En programación</v>
      </c>
      <c r="Q1881" s="9" t="str">
        <f t="shared" si="90"/>
        <v/>
      </c>
      <c r="R1881" s="25">
        <f>IF(P1881="En programación Frcst.",VLOOKUP(L1881,Meses!$A$1:$H$14,3+HLOOKUP(Cronograma!J1881,Meses!$D$1:$G$2,2,FALSE),FALSE),
IF(P1881="En programación",M1881,""))</f>
        <v>45400</v>
      </c>
      <c r="S1881" s="25" t="str">
        <f t="shared" si="89"/>
        <v>2024/4</v>
      </c>
      <c r="T1881" s="21">
        <f>IFERROR(
(VLOOKUP(MONTH(R1881),Meses!$B$3:$C$14,2,FALSE)-DAY(R1881))/VLOOKUP(MONTH(R1881),Meses!$B$3:$C$14,2,FALSE)*U1881,
"")</f>
        <v>597.6</v>
      </c>
      <c r="U1881" s="22">
        <f t="shared" si="91"/>
        <v>1494</v>
      </c>
    </row>
    <row r="1882" spans="1:21" ht="31.8" hidden="1" thickBot="1" x14ac:dyDescent="0.6">
      <c r="A1882" s="10" t="s">
        <v>2483</v>
      </c>
      <c r="B1882" s="10" t="s">
        <v>2849</v>
      </c>
      <c r="C1882" s="12"/>
      <c r="D1882" s="10" t="s">
        <v>44</v>
      </c>
      <c r="E1882" s="10" t="s">
        <v>44</v>
      </c>
      <c r="F1882" s="10">
        <v>46456</v>
      </c>
      <c r="G1882" s="10" t="s">
        <v>15</v>
      </c>
      <c r="H1882" s="10" t="s">
        <v>2917</v>
      </c>
      <c r="I1882" s="10" t="s">
        <v>43</v>
      </c>
      <c r="J1882" s="10" t="s">
        <v>143</v>
      </c>
      <c r="K1882" s="10" t="s">
        <v>2895</v>
      </c>
      <c r="L1882" s="10" t="s">
        <v>2292</v>
      </c>
      <c r="M1882" s="12">
        <v>45400</v>
      </c>
      <c r="N1882" s="10"/>
      <c r="O1882" s="10" t="s">
        <v>2057</v>
      </c>
      <c r="P1882" s="25" t="str">
        <f>IFERROR(
IF(OR(O1882="anulado",O1882="stand by"),CONCATENATE(O1882,": ",H1882),
IF(OR(YEAR(M1882)=2022,YEAR(M1882)=2023),CONCATENATE("Se activó en ",YEAR(M1882)),
IF(AND(OR(O1882="En proceso",O1882="facturando"),AND(J1882="-",M1882="")),"Por revisar",
IF(M1882="",IF(J1882="NUEVAS",CONCATENATE("Estado: ",O1882,", ",J1882),
IF(L1882=Meses!$A$3,"Por revisar",
IF(H1882="","Sin registro","En programación Frcst."))),"En programación")))),
"Error")</f>
        <v>En programación</v>
      </c>
      <c r="Q1882" s="9" t="str">
        <f t="shared" si="90"/>
        <v/>
      </c>
      <c r="R1882" s="25">
        <f>IF(P1882="En programación Frcst.",VLOOKUP(L1882,Meses!$A$1:$H$14,3+HLOOKUP(Cronograma!J1882,Meses!$D$1:$G$2,2,FALSE),FALSE),
IF(P1882="En programación",M1882,""))</f>
        <v>45400</v>
      </c>
      <c r="S1882" s="25" t="str">
        <f t="shared" si="89"/>
        <v>2024/4</v>
      </c>
      <c r="T1882" s="21">
        <f>IFERROR(
(VLOOKUP(MONTH(R1882),Meses!$B$3:$C$14,2,FALSE)-DAY(R1882))/VLOOKUP(MONTH(R1882),Meses!$B$3:$C$14,2,FALSE)*U1882,
"")</f>
        <v>18582.400000000001</v>
      </c>
      <c r="U1882" s="22">
        <f t="shared" si="91"/>
        <v>46456</v>
      </c>
    </row>
    <row r="1883" spans="1:21" ht="63" hidden="1" thickBot="1" x14ac:dyDescent="0.6">
      <c r="A1883" s="10" t="s">
        <v>2484</v>
      </c>
      <c r="B1883" s="10" t="s">
        <v>2485</v>
      </c>
      <c r="C1883" s="12"/>
      <c r="D1883" s="10" t="s">
        <v>74</v>
      </c>
      <c r="E1883" s="10" t="s">
        <v>74</v>
      </c>
      <c r="F1883" s="10">
        <v>17680</v>
      </c>
      <c r="G1883" s="10" t="s">
        <v>15</v>
      </c>
      <c r="H1883" s="10" t="s">
        <v>2917</v>
      </c>
      <c r="I1883" s="10" t="s">
        <v>43</v>
      </c>
      <c r="J1883" s="10" t="s">
        <v>143</v>
      </c>
      <c r="K1883" s="10" t="s">
        <v>2895</v>
      </c>
      <c r="L1883" s="10" t="s">
        <v>2292</v>
      </c>
      <c r="M1883" s="12">
        <v>45400</v>
      </c>
      <c r="N1883" s="10"/>
      <c r="O1883" s="10" t="s">
        <v>2057</v>
      </c>
      <c r="P1883" s="25" t="str">
        <f>IFERROR(
IF(OR(O1883="anulado",O1883="stand by"),CONCATENATE(O1883,": ",H1883),
IF(OR(YEAR(M1883)=2022,YEAR(M1883)=2023),CONCATENATE("Se activó en ",YEAR(M1883)),
IF(AND(OR(O1883="En proceso",O1883="facturando"),AND(J1883="-",M1883="")),"Por revisar",
IF(M1883="",IF(J1883="NUEVAS",CONCATENATE("Estado: ",O1883,", ",J1883),
IF(L1883=Meses!$A$3,"Por revisar",
IF(H1883="","Sin registro","En programación Frcst."))),"En programación")))),
"Error")</f>
        <v>En programación</v>
      </c>
      <c r="Q1883" s="9" t="str">
        <f t="shared" si="90"/>
        <v/>
      </c>
      <c r="R1883" s="25">
        <f>IF(P1883="En programación Frcst.",VLOOKUP(L1883,Meses!$A$1:$H$14,3+HLOOKUP(Cronograma!J1883,Meses!$D$1:$G$2,2,FALSE),FALSE),
IF(P1883="En programación",M1883,""))</f>
        <v>45400</v>
      </c>
      <c r="S1883" s="25" t="str">
        <f t="shared" si="89"/>
        <v>2024/4</v>
      </c>
      <c r="T1883" s="21">
        <f>IFERROR(
(VLOOKUP(MONTH(R1883),Meses!$B$3:$C$14,2,FALSE)-DAY(R1883))/VLOOKUP(MONTH(R1883),Meses!$B$3:$C$14,2,FALSE)*U1883,
"")</f>
        <v>7072</v>
      </c>
      <c r="U1883" s="22">
        <f t="shared" si="91"/>
        <v>17680</v>
      </c>
    </row>
    <row r="1884" spans="1:21" ht="31.8" hidden="1" thickBot="1" x14ac:dyDescent="0.6">
      <c r="A1884" s="10" t="s">
        <v>2486</v>
      </c>
      <c r="B1884" s="10" t="s">
        <v>2487</v>
      </c>
      <c r="C1884" s="12"/>
      <c r="D1884" s="10" t="s">
        <v>74</v>
      </c>
      <c r="E1884" s="10" t="s">
        <v>74</v>
      </c>
      <c r="F1884" s="10">
        <v>700</v>
      </c>
      <c r="G1884" s="10" t="s">
        <v>15</v>
      </c>
      <c r="H1884" s="10" t="s">
        <v>2917</v>
      </c>
      <c r="I1884" s="10" t="s">
        <v>43</v>
      </c>
      <c r="J1884" s="10" t="s">
        <v>143</v>
      </c>
      <c r="K1884" s="10" t="s">
        <v>2895</v>
      </c>
      <c r="L1884" s="10" t="s">
        <v>2292</v>
      </c>
      <c r="M1884" s="12">
        <v>45400</v>
      </c>
      <c r="N1884" s="10"/>
      <c r="O1884" s="10" t="s">
        <v>2057</v>
      </c>
      <c r="P1884" s="25" t="str">
        <f>IFERROR(
IF(OR(O1884="anulado",O1884="stand by"),CONCATENATE(O1884,": ",H1884),
IF(OR(YEAR(M1884)=2022,YEAR(M1884)=2023),CONCATENATE("Se activó en ",YEAR(M1884)),
IF(AND(OR(O1884="En proceso",O1884="facturando"),AND(J1884="-",M1884="")),"Por revisar",
IF(M1884="",IF(J1884="NUEVAS",CONCATENATE("Estado: ",O1884,", ",J1884),
IF(L1884=Meses!$A$3,"Por revisar",
IF(H1884="","Sin registro","En programación Frcst."))),"En programación")))),
"Error")</f>
        <v>En programación</v>
      </c>
      <c r="Q1884" s="9" t="str">
        <f t="shared" si="90"/>
        <v/>
      </c>
      <c r="R1884" s="25">
        <f>IF(P1884="En programación Frcst.",VLOOKUP(L1884,Meses!$A$1:$H$14,3+HLOOKUP(Cronograma!J1884,Meses!$D$1:$G$2,2,FALSE),FALSE),
IF(P1884="En programación",M1884,""))</f>
        <v>45400</v>
      </c>
      <c r="S1884" s="25" t="str">
        <f t="shared" si="89"/>
        <v>2024/4</v>
      </c>
      <c r="T1884" s="21">
        <f>IFERROR(
(VLOOKUP(MONTH(R1884),Meses!$B$3:$C$14,2,FALSE)-DAY(R1884))/VLOOKUP(MONTH(R1884),Meses!$B$3:$C$14,2,FALSE)*U1884,
"")</f>
        <v>280</v>
      </c>
      <c r="U1884" s="22">
        <f t="shared" si="91"/>
        <v>700</v>
      </c>
    </row>
    <row r="1885" spans="1:21" ht="31.8" hidden="1" thickBot="1" x14ac:dyDescent="0.6">
      <c r="A1885" s="10" t="s">
        <v>2486</v>
      </c>
      <c r="B1885" s="10" t="s">
        <v>2488</v>
      </c>
      <c r="C1885" s="12"/>
      <c r="D1885" s="10" t="s">
        <v>74</v>
      </c>
      <c r="E1885" s="10" t="s">
        <v>74</v>
      </c>
      <c r="F1885" s="10">
        <v>2151</v>
      </c>
      <c r="G1885" s="10" t="s">
        <v>15</v>
      </c>
      <c r="H1885" s="10" t="s">
        <v>2917</v>
      </c>
      <c r="I1885" s="10" t="s">
        <v>43</v>
      </c>
      <c r="J1885" s="10" t="s">
        <v>143</v>
      </c>
      <c r="K1885" s="10" t="s">
        <v>2895</v>
      </c>
      <c r="L1885" s="10" t="s">
        <v>2292</v>
      </c>
      <c r="M1885" s="12">
        <v>45400</v>
      </c>
      <c r="N1885" s="10"/>
      <c r="O1885" s="10" t="s">
        <v>2057</v>
      </c>
      <c r="P1885" s="25" t="str">
        <f>IFERROR(
IF(OR(O1885="anulado",O1885="stand by"),CONCATENATE(O1885,": ",H1885),
IF(OR(YEAR(M1885)=2022,YEAR(M1885)=2023),CONCATENATE("Se activó en ",YEAR(M1885)),
IF(AND(OR(O1885="En proceso",O1885="facturando"),AND(J1885="-",M1885="")),"Por revisar",
IF(M1885="",IF(J1885="NUEVAS",CONCATENATE("Estado: ",O1885,", ",J1885),
IF(L1885=Meses!$A$3,"Por revisar",
IF(H1885="","Sin registro","En programación Frcst."))),"En programación")))),
"Error")</f>
        <v>En programación</v>
      </c>
      <c r="Q1885" s="9" t="str">
        <f t="shared" si="90"/>
        <v/>
      </c>
      <c r="R1885" s="25">
        <f>IF(P1885="En programación Frcst.",VLOOKUP(L1885,Meses!$A$1:$H$14,3+HLOOKUP(Cronograma!J1885,Meses!$D$1:$G$2,2,FALSE),FALSE),
IF(P1885="En programación",M1885,""))</f>
        <v>45400</v>
      </c>
      <c r="S1885" s="25" t="str">
        <f t="shared" si="89"/>
        <v>2024/4</v>
      </c>
      <c r="T1885" s="21">
        <f>IFERROR(
(VLOOKUP(MONTH(R1885),Meses!$B$3:$C$14,2,FALSE)-DAY(R1885))/VLOOKUP(MONTH(R1885),Meses!$B$3:$C$14,2,FALSE)*U1885,
"")</f>
        <v>860.40000000000009</v>
      </c>
      <c r="U1885" s="22">
        <f t="shared" si="91"/>
        <v>2151</v>
      </c>
    </row>
    <row r="1886" spans="1:21" ht="31.8" hidden="1" thickBot="1" x14ac:dyDescent="0.6">
      <c r="A1886" s="10" t="s">
        <v>2486</v>
      </c>
      <c r="B1886" s="10" t="s">
        <v>2489</v>
      </c>
      <c r="C1886" s="12"/>
      <c r="D1886" s="10" t="s">
        <v>74</v>
      </c>
      <c r="E1886" s="10" t="s">
        <v>74</v>
      </c>
      <c r="F1886" s="10">
        <v>2658</v>
      </c>
      <c r="G1886" s="10" t="s">
        <v>15</v>
      </c>
      <c r="H1886" s="10" t="s">
        <v>2917</v>
      </c>
      <c r="I1886" s="10" t="s">
        <v>43</v>
      </c>
      <c r="J1886" s="10" t="s">
        <v>143</v>
      </c>
      <c r="K1886" s="10" t="s">
        <v>2895</v>
      </c>
      <c r="L1886" s="10" t="s">
        <v>2292</v>
      </c>
      <c r="M1886" s="12">
        <v>45400</v>
      </c>
      <c r="N1886" s="10"/>
      <c r="O1886" s="10" t="s">
        <v>2057</v>
      </c>
      <c r="P1886" s="25" t="str">
        <f>IFERROR(
IF(OR(O1886="anulado",O1886="stand by"),CONCATENATE(O1886,": ",H1886),
IF(OR(YEAR(M1886)=2022,YEAR(M1886)=2023),CONCATENATE("Se activó en ",YEAR(M1886)),
IF(AND(OR(O1886="En proceso",O1886="facturando"),AND(J1886="-",M1886="")),"Por revisar",
IF(M1886="",IF(J1886="NUEVAS",CONCATENATE("Estado: ",O1886,", ",J1886),
IF(L1886=Meses!$A$3,"Por revisar",
IF(H1886="","Sin registro","En programación Frcst."))),"En programación")))),
"Error")</f>
        <v>En programación</v>
      </c>
      <c r="Q1886" s="9" t="str">
        <f t="shared" si="90"/>
        <v/>
      </c>
      <c r="R1886" s="25">
        <f>IF(P1886="En programación Frcst.",VLOOKUP(L1886,Meses!$A$1:$H$14,3+HLOOKUP(Cronograma!J1886,Meses!$D$1:$G$2,2,FALSE),FALSE),
IF(P1886="En programación",M1886,""))</f>
        <v>45400</v>
      </c>
      <c r="S1886" s="25" t="str">
        <f t="shared" si="89"/>
        <v>2024/4</v>
      </c>
      <c r="T1886" s="21">
        <f>IFERROR(
(VLOOKUP(MONTH(R1886),Meses!$B$3:$C$14,2,FALSE)-DAY(R1886))/VLOOKUP(MONTH(R1886),Meses!$B$3:$C$14,2,FALSE)*U1886,
"")</f>
        <v>1063.2</v>
      </c>
      <c r="U1886" s="22">
        <f t="shared" si="91"/>
        <v>2658</v>
      </c>
    </row>
    <row r="1887" spans="1:21" ht="31.8" hidden="1" thickBot="1" x14ac:dyDescent="0.6">
      <c r="A1887" s="10" t="s">
        <v>2486</v>
      </c>
      <c r="B1887" s="10" t="s">
        <v>2490</v>
      </c>
      <c r="C1887" s="12"/>
      <c r="D1887" s="10" t="s">
        <v>74</v>
      </c>
      <c r="E1887" s="10" t="s">
        <v>74</v>
      </c>
      <c r="F1887" s="10">
        <v>1845</v>
      </c>
      <c r="G1887" s="10" t="s">
        <v>15</v>
      </c>
      <c r="H1887" s="10" t="s">
        <v>2917</v>
      </c>
      <c r="I1887" s="10" t="s">
        <v>43</v>
      </c>
      <c r="J1887" s="10" t="s">
        <v>143</v>
      </c>
      <c r="K1887" s="10" t="s">
        <v>2895</v>
      </c>
      <c r="L1887" s="10" t="s">
        <v>2292</v>
      </c>
      <c r="M1887" s="12">
        <v>45400</v>
      </c>
      <c r="N1887" s="10"/>
      <c r="O1887" s="10" t="s">
        <v>2057</v>
      </c>
      <c r="P1887" s="25" t="str">
        <f>IFERROR(
IF(OR(O1887="anulado",O1887="stand by"),CONCATENATE(O1887,": ",H1887),
IF(OR(YEAR(M1887)=2022,YEAR(M1887)=2023),CONCATENATE("Se activó en ",YEAR(M1887)),
IF(AND(OR(O1887="En proceso",O1887="facturando"),AND(J1887="-",M1887="")),"Por revisar",
IF(M1887="",IF(J1887="NUEVAS",CONCATENATE("Estado: ",O1887,", ",J1887),
IF(L1887=Meses!$A$3,"Por revisar",
IF(H1887="","Sin registro","En programación Frcst."))),"En programación")))),
"Error")</f>
        <v>En programación</v>
      </c>
      <c r="Q1887" s="9" t="str">
        <f t="shared" si="90"/>
        <v/>
      </c>
      <c r="R1887" s="25">
        <f>IF(P1887="En programación Frcst.",VLOOKUP(L1887,Meses!$A$1:$H$14,3+HLOOKUP(Cronograma!J1887,Meses!$D$1:$G$2,2,FALSE),FALSE),
IF(P1887="En programación",M1887,""))</f>
        <v>45400</v>
      </c>
      <c r="S1887" s="25" t="str">
        <f t="shared" si="89"/>
        <v>2024/4</v>
      </c>
      <c r="T1887" s="21">
        <f>IFERROR(
(VLOOKUP(MONTH(R1887),Meses!$B$3:$C$14,2,FALSE)-DAY(R1887))/VLOOKUP(MONTH(R1887),Meses!$B$3:$C$14,2,FALSE)*U1887,
"")</f>
        <v>738</v>
      </c>
      <c r="U1887" s="22">
        <f t="shared" si="91"/>
        <v>1845</v>
      </c>
    </row>
    <row r="1888" spans="1:21" ht="31.8" hidden="1" thickBot="1" x14ac:dyDescent="0.6">
      <c r="A1888" s="10" t="s">
        <v>2486</v>
      </c>
      <c r="B1888" s="10" t="s">
        <v>2491</v>
      </c>
      <c r="C1888" s="12"/>
      <c r="D1888" s="10" t="s">
        <v>74</v>
      </c>
      <c r="E1888" s="10" t="s">
        <v>74</v>
      </c>
      <c r="F1888" s="10">
        <v>2261</v>
      </c>
      <c r="G1888" s="10" t="s">
        <v>15</v>
      </c>
      <c r="H1888" s="10" t="s">
        <v>2917</v>
      </c>
      <c r="I1888" s="10" t="s">
        <v>43</v>
      </c>
      <c r="J1888" s="10" t="s">
        <v>143</v>
      </c>
      <c r="K1888" s="10" t="s">
        <v>2895</v>
      </c>
      <c r="L1888" s="10" t="s">
        <v>2292</v>
      </c>
      <c r="M1888" s="12">
        <v>45400</v>
      </c>
      <c r="N1888" s="10"/>
      <c r="O1888" s="10" t="s">
        <v>2057</v>
      </c>
      <c r="P1888" s="25" t="str">
        <f>IFERROR(
IF(OR(O1888="anulado",O1888="stand by"),CONCATENATE(O1888,": ",H1888),
IF(OR(YEAR(M1888)=2022,YEAR(M1888)=2023),CONCATENATE("Se activó en ",YEAR(M1888)),
IF(AND(OR(O1888="En proceso",O1888="facturando"),AND(J1888="-",M1888="")),"Por revisar",
IF(M1888="",IF(J1888="NUEVAS",CONCATENATE("Estado: ",O1888,", ",J1888),
IF(L1888=Meses!$A$3,"Por revisar",
IF(H1888="","Sin registro","En programación Frcst."))),"En programación")))),
"Error")</f>
        <v>En programación</v>
      </c>
      <c r="Q1888" s="9" t="str">
        <f t="shared" si="90"/>
        <v/>
      </c>
      <c r="R1888" s="25">
        <f>IF(P1888="En programación Frcst.",VLOOKUP(L1888,Meses!$A$1:$H$14,3+HLOOKUP(Cronograma!J1888,Meses!$D$1:$G$2,2,FALSE),FALSE),
IF(P1888="En programación",M1888,""))</f>
        <v>45400</v>
      </c>
      <c r="S1888" s="25" t="str">
        <f t="shared" si="89"/>
        <v>2024/4</v>
      </c>
      <c r="T1888" s="21">
        <f>IFERROR(
(VLOOKUP(MONTH(R1888),Meses!$B$3:$C$14,2,FALSE)-DAY(R1888))/VLOOKUP(MONTH(R1888),Meses!$B$3:$C$14,2,FALSE)*U1888,
"")</f>
        <v>904.40000000000009</v>
      </c>
      <c r="U1888" s="22">
        <f t="shared" si="91"/>
        <v>2261</v>
      </c>
    </row>
    <row r="1889" spans="1:21" ht="31.8" hidden="1" thickBot="1" x14ac:dyDescent="0.6">
      <c r="A1889" s="10" t="s">
        <v>2486</v>
      </c>
      <c r="B1889" s="10" t="s">
        <v>2492</v>
      </c>
      <c r="C1889" s="12"/>
      <c r="D1889" s="10" t="s">
        <v>74</v>
      </c>
      <c r="E1889" s="10" t="s">
        <v>74</v>
      </c>
      <c r="F1889" s="10">
        <v>2529</v>
      </c>
      <c r="G1889" s="10" t="s">
        <v>15</v>
      </c>
      <c r="H1889" s="10" t="s">
        <v>2917</v>
      </c>
      <c r="I1889" s="10" t="s">
        <v>43</v>
      </c>
      <c r="J1889" s="10" t="s">
        <v>143</v>
      </c>
      <c r="K1889" s="10" t="s">
        <v>2895</v>
      </c>
      <c r="L1889" s="10" t="s">
        <v>2292</v>
      </c>
      <c r="M1889" s="12">
        <v>45400</v>
      </c>
      <c r="N1889" s="10"/>
      <c r="O1889" s="10" t="s">
        <v>2057</v>
      </c>
      <c r="P1889" s="25" t="str">
        <f>IFERROR(
IF(OR(O1889="anulado",O1889="stand by"),CONCATENATE(O1889,": ",H1889),
IF(OR(YEAR(M1889)=2022,YEAR(M1889)=2023),CONCATENATE("Se activó en ",YEAR(M1889)),
IF(AND(OR(O1889="En proceso",O1889="facturando"),AND(J1889="-",M1889="")),"Por revisar",
IF(M1889="",IF(J1889="NUEVAS",CONCATENATE("Estado: ",O1889,", ",J1889),
IF(L1889=Meses!$A$3,"Por revisar",
IF(H1889="","Sin registro","En programación Frcst."))),"En programación")))),
"Error")</f>
        <v>En programación</v>
      </c>
      <c r="Q1889" s="9" t="str">
        <f t="shared" si="90"/>
        <v/>
      </c>
      <c r="R1889" s="25">
        <f>IF(P1889="En programación Frcst.",VLOOKUP(L1889,Meses!$A$1:$H$14,3+HLOOKUP(Cronograma!J1889,Meses!$D$1:$G$2,2,FALSE),FALSE),
IF(P1889="En programación",M1889,""))</f>
        <v>45400</v>
      </c>
      <c r="S1889" s="25" t="str">
        <f t="shared" si="89"/>
        <v>2024/4</v>
      </c>
      <c r="T1889" s="21">
        <f>IFERROR(
(VLOOKUP(MONTH(R1889),Meses!$B$3:$C$14,2,FALSE)-DAY(R1889))/VLOOKUP(MONTH(R1889),Meses!$B$3:$C$14,2,FALSE)*U1889,
"")</f>
        <v>1011.6</v>
      </c>
      <c r="U1889" s="22">
        <f t="shared" si="91"/>
        <v>2529</v>
      </c>
    </row>
    <row r="1890" spans="1:21" ht="31.8" hidden="1" thickBot="1" x14ac:dyDescent="0.6">
      <c r="A1890" s="10" t="s">
        <v>2486</v>
      </c>
      <c r="B1890" s="10" t="s">
        <v>2493</v>
      </c>
      <c r="C1890" s="12"/>
      <c r="D1890" s="10" t="s">
        <v>74</v>
      </c>
      <c r="E1890" s="10" t="s">
        <v>74</v>
      </c>
      <c r="F1890" s="10">
        <v>2962</v>
      </c>
      <c r="G1890" s="10" t="s">
        <v>15</v>
      </c>
      <c r="H1890" s="10" t="s">
        <v>2917</v>
      </c>
      <c r="I1890" s="10" t="s">
        <v>43</v>
      </c>
      <c r="J1890" s="10" t="s">
        <v>143</v>
      </c>
      <c r="K1890" s="10" t="s">
        <v>2895</v>
      </c>
      <c r="L1890" s="10" t="s">
        <v>2292</v>
      </c>
      <c r="M1890" s="12">
        <v>45400</v>
      </c>
      <c r="N1890" s="10"/>
      <c r="O1890" s="10" t="s">
        <v>2057</v>
      </c>
      <c r="P1890" s="25" t="str">
        <f>IFERROR(
IF(OR(O1890="anulado",O1890="stand by"),CONCATENATE(O1890,": ",H1890),
IF(OR(YEAR(M1890)=2022,YEAR(M1890)=2023),CONCATENATE("Se activó en ",YEAR(M1890)),
IF(AND(OR(O1890="En proceso",O1890="facturando"),AND(J1890="-",M1890="")),"Por revisar",
IF(M1890="",IF(J1890="NUEVAS",CONCATENATE("Estado: ",O1890,", ",J1890),
IF(L1890=Meses!$A$3,"Por revisar",
IF(H1890="","Sin registro","En programación Frcst."))),"En programación")))),
"Error")</f>
        <v>En programación</v>
      </c>
      <c r="Q1890" s="9" t="str">
        <f t="shared" si="90"/>
        <v/>
      </c>
      <c r="R1890" s="25">
        <f>IF(P1890="En programación Frcst.",VLOOKUP(L1890,Meses!$A$1:$H$14,3+HLOOKUP(Cronograma!J1890,Meses!$D$1:$G$2,2,FALSE),FALSE),
IF(P1890="En programación",M1890,""))</f>
        <v>45400</v>
      </c>
      <c r="S1890" s="25" t="str">
        <f t="shared" si="89"/>
        <v>2024/4</v>
      </c>
      <c r="T1890" s="21">
        <f>IFERROR(
(VLOOKUP(MONTH(R1890),Meses!$B$3:$C$14,2,FALSE)-DAY(R1890))/VLOOKUP(MONTH(R1890),Meses!$B$3:$C$14,2,FALSE)*U1890,
"")</f>
        <v>1184.8</v>
      </c>
      <c r="U1890" s="22">
        <f t="shared" si="91"/>
        <v>2962</v>
      </c>
    </row>
    <row r="1891" spans="1:21" ht="31.8" hidden="1" thickBot="1" x14ac:dyDescent="0.6">
      <c r="A1891" s="10" t="s">
        <v>2922</v>
      </c>
      <c r="B1891" s="10" t="s">
        <v>2494</v>
      </c>
      <c r="C1891" s="12">
        <v>45008</v>
      </c>
      <c r="D1891" s="10"/>
      <c r="E1891" s="10"/>
      <c r="F1891" s="10"/>
      <c r="G1891" s="10" t="s">
        <v>15</v>
      </c>
      <c r="H1891" s="10" t="s">
        <v>17</v>
      </c>
      <c r="I1891" s="10" t="s">
        <v>3311</v>
      </c>
      <c r="J1891" s="10"/>
      <c r="K1891" s="10"/>
      <c r="L1891" s="10"/>
      <c r="M1891" s="12"/>
      <c r="N1891" s="10"/>
      <c r="O1891" s="10" t="s">
        <v>2054</v>
      </c>
      <c r="P1891" s="25" t="str">
        <f>IFERROR(
IF(OR(O1891="anulado",O1891="stand by"),CONCATENATE(O1891,": ",H1891),
IF(OR(YEAR(M1891)=2022,YEAR(M1891)=2023),CONCATENATE("Se activó en ",YEAR(M1891)),
IF(AND(OR(O1891="En proceso",O1891="facturando"),AND(J1891="-",M1891="")),"Por revisar",
IF(M1891="",IF(J1891="NUEVAS",CONCATENATE("Estado: ",O1891,", ",J1891),
IF(L1891=Meses!$A$3,"Por revisar",
IF(H1891="","Sin registro","En programación Frcst."))),"En programación")))),
"Error")</f>
        <v>En programación Frcst.</v>
      </c>
      <c r="Q1891" s="9" t="str">
        <f t="shared" si="90"/>
        <v/>
      </c>
      <c r="R1891" s="25" t="e">
        <f>IF(P1891="En programación Frcst.",VLOOKUP(L1891,Meses!$A$1:$H$14,3+HLOOKUP(Cronograma!J1891,Meses!$D$1:$G$2,2,FALSE),FALSE),
IF(P1891="En programación",M1891,""))</f>
        <v>#N/A</v>
      </c>
      <c r="S1891" s="25" t="str">
        <f t="shared" si="89"/>
        <v/>
      </c>
      <c r="T1891" s="21" t="str">
        <f>IFERROR(
(VLOOKUP(MONTH(R1891),Meses!$B$3:$C$14,2,FALSE)-DAY(R1891))/VLOOKUP(MONTH(R1891),Meses!$B$3:$C$14,2,FALSE)*U1891,
"")</f>
        <v/>
      </c>
      <c r="U1891" s="22">
        <f t="shared" si="91"/>
        <v>0</v>
      </c>
    </row>
    <row r="1892" spans="1:21" ht="47.4" hidden="1" thickBot="1" x14ac:dyDescent="0.6">
      <c r="A1892" s="10" t="s">
        <v>2923</v>
      </c>
      <c r="B1892" s="10" t="s">
        <v>2495</v>
      </c>
      <c r="C1892" s="12">
        <v>45029</v>
      </c>
      <c r="D1892" s="10" t="s">
        <v>323</v>
      </c>
      <c r="E1892" s="10" t="s">
        <v>291</v>
      </c>
      <c r="F1892" s="10"/>
      <c r="G1892" s="10" t="s">
        <v>15</v>
      </c>
      <c r="H1892" s="10" t="s">
        <v>17</v>
      </c>
      <c r="I1892" s="10" t="s">
        <v>66</v>
      </c>
      <c r="J1892" s="10"/>
      <c r="K1892" s="10"/>
      <c r="L1892" s="10"/>
      <c r="M1892" s="12"/>
      <c r="N1892" s="10"/>
      <c r="O1892" s="10" t="s">
        <v>2054</v>
      </c>
      <c r="P1892" s="25" t="str">
        <f>IFERROR(
IF(OR(O1892="anulado",O1892="stand by"),CONCATENATE(O1892,": ",H1892),
IF(OR(YEAR(M1892)=2022,YEAR(M1892)=2023),CONCATENATE("Se activó en ",YEAR(M1892)),
IF(AND(OR(O1892="En proceso",O1892="facturando"),AND(J1892="-",M1892="")),"Por revisar",
IF(M1892="",IF(J1892="NUEVAS",CONCATENATE("Estado: ",O1892,", ",J1892),
IF(L1892=Meses!$A$3,"Por revisar",
IF(H1892="","Sin registro","En programación Frcst."))),"En programación")))),
"Error")</f>
        <v>En programación Frcst.</v>
      </c>
      <c r="Q1892" s="9" t="str">
        <f t="shared" si="90"/>
        <v/>
      </c>
      <c r="R1892" s="25" t="e">
        <f>IF(P1892="En programación Frcst.",VLOOKUP(L1892,Meses!$A$1:$H$14,3+HLOOKUP(Cronograma!J1892,Meses!$D$1:$G$2,2,FALSE),FALSE),
IF(P1892="En programación",M1892,""))</f>
        <v>#N/A</v>
      </c>
      <c r="S1892" s="25" t="str">
        <f t="shared" si="89"/>
        <v/>
      </c>
      <c r="T1892" s="21" t="str">
        <f>IFERROR(
(VLOOKUP(MONTH(R1892),Meses!$B$3:$C$14,2,FALSE)-DAY(R1892))/VLOOKUP(MONTH(R1892),Meses!$B$3:$C$14,2,FALSE)*U1892,
"")</f>
        <v/>
      </c>
      <c r="U1892" s="22">
        <f t="shared" si="91"/>
        <v>0</v>
      </c>
    </row>
    <row r="1893" spans="1:21" ht="47.4" hidden="1" thickBot="1" x14ac:dyDescent="0.6">
      <c r="A1893" s="10" t="s">
        <v>2924</v>
      </c>
      <c r="B1893" s="10" t="s">
        <v>2496</v>
      </c>
      <c r="C1893" s="12">
        <v>45029</v>
      </c>
      <c r="D1893" s="10" t="s">
        <v>323</v>
      </c>
      <c r="E1893" s="10" t="s">
        <v>298</v>
      </c>
      <c r="F1893" s="10"/>
      <c r="G1893" s="10" t="s">
        <v>15</v>
      </c>
      <c r="H1893" s="10" t="s">
        <v>17</v>
      </c>
      <c r="I1893" s="10" t="s">
        <v>66</v>
      </c>
      <c r="J1893" s="10"/>
      <c r="K1893" s="10"/>
      <c r="L1893" s="10"/>
      <c r="M1893" s="12"/>
      <c r="N1893" s="10"/>
      <c r="O1893" s="10" t="s">
        <v>2054</v>
      </c>
      <c r="P1893" s="25" t="str">
        <f>IFERROR(
IF(OR(O1893="anulado",O1893="stand by"),CONCATENATE(O1893,": ",H1893),
IF(OR(YEAR(M1893)=2022,YEAR(M1893)=2023),CONCATENATE("Se activó en ",YEAR(M1893)),
IF(AND(OR(O1893="En proceso",O1893="facturando"),AND(J1893="-",M1893="")),"Por revisar",
IF(M1893="",IF(J1893="NUEVAS",CONCATENATE("Estado: ",O1893,", ",J1893),
IF(L1893=Meses!$A$3,"Por revisar",
IF(H1893="","Sin registro","En programación Frcst."))),"En programación")))),
"Error")</f>
        <v>En programación Frcst.</v>
      </c>
      <c r="Q1893" s="9" t="str">
        <f t="shared" si="90"/>
        <v/>
      </c>
      <c r="R1893" s="25" t="e">
        <f>IF(P1893="En programación Frcst.",VLOOKUP(L1893,Meses!$A$1:$H$14,3+HLOOKUP(Cronograma!J1893,Meses!$D$1:$G$2,2,FALSE),FALSE),
IF(P1893="En programación",M1893,""))</f>
        <v>#N/A</v>
      </c>
      <c r="S1893" s="25" t="str">
        <f t="shared" si="89"/>
        <v/>
      </c>
      <c r="T1893" s="21" t="str">
        <f>IFERROR(
(VLOOKUP(MONTH(R1893),Meses!$B$3:$C$14,2,FALSE)-DAY(R1893))/VLOOKUP(MONTH(R1893),Meses!$B$3:$C$14,2,FALSE)*U1893,
"")</f>
        <v/>
      </c>
      <c r="U1893" s="22">
        <f t="shared" si="91"/>
        <v>0</v>
      </c>
    </row>
    <row r="1894" spans="1:21" ht="47.4" hidden="1" thickBot="1" x14ac:dyDescent="0.6">
      <c r="A1894" s="10" t="s">
        <v>2925</v>
      </c>
      <c r="B1894" s="10" t="s">
        <v>2497</v>
      </c>
      <c r="C1894" s="12">
        <v>45029</v>
      </c>
      <c r="D1894" s="10" t="s">
        <v>323</v>
      </c>
      <c r="E1894" s="10" t="s">
        <v>291</v>
      </c>
      <c r="F1894" s="10"/>
      <c r="G1894" s="10" t="s">
        <v>15</v>
      </c>
      <c r="H1894" s="10" t="s">
        <v>17</v>
      </c>
      <c r="I1894" s="10" t="s">
        <v>66</v>
      </c>
      <c r="J1894" s="10"/>
      <c r="K1894" s="10"/>
      <c r="L1894" s="10"/>
      <c r="M1894" s="12"/>
      <c r="N1894" s="10"/>
      <c r="O1894" s="10" t="s">
        <v>2054</v>
      </c>
      <c r="P1894" s="25" t="str">
        <f>IFERROR(
IF(OR(O1894="anulado",O1894="stand by"),CONCATENATE(O1894,": ",H1894),
IF(OR(YEAR(M1894)=2022,YEAR(M1894)=2023),CONCATENATE("Se activó en ",YEAR(M1894)),
IF(AND(OR(O1894="En proceso",O1894="facturando"),AND(J1894="-",M1894="")),"Por revisar",
IF(M1894="",IF(J1894="NUEVAS",CONCATENATE("Estado: ",O1894,", ",J1894),
IF(L1894=Meses!$A$3,"Por revisar",
IF(H1894="","Sin registro","En programación Frcst."))),"En programación")))),
"Error")</f>
        <v>En programación Frcst.</v>
      </c>
      <c r="Q1894" s="9" t="str">
        <f t="shared" si="90"/>
        <v/>
      </c>
      <c r="R1894" s="25" t="e">
        <f>IF(P1894="En programación Frcst.",VLOOKUP(L1894,Meses!$A$1:$H$14,3+HLOOKUP(Cronograma!J1894,Meses!$D$1:$G$2,2,FALSE),FALSE),
IF(P1894="En programación",M1894,""))</f>
        <v>#N/A</v>
      </c>
      <c r="S1894" s="25" t="str">
        <f t="shared" si="89"/>
        <v/>
      </c>
      <c r="T1894" s="21" t="str">
        <f>IFERROR(
(VLOOKUP(MONTH(R1894),Meses!$B$3:$C$14,2,FALSE)-DAY(R1894))/VLOOKUP(MONTH(R1894),Meses!$B$3:$C$14,2,FALSE)*U1894,
"")</f>
        <v/>
      </c>
      <c r="U1894" s="22">
        <f t="shared" si="91"/>
        <v>0</v>
      </c>
    </row>
    <row r="1895" spans="1:21" ht="78.599999999999994" hidden="1" thickBot="1" x14ac:dyDescent="0.6">
      <c r="A1895" s="10" t="s">
        <v>2926</v>
      </c>
      <c r="B1895" s="10" t="s">
        <v>2498</v>
      </c>
      <c r="C1895" s="12">
        <v>45036</v>
      </c>
      <c r="D1895" s="10" t="s">
        <v>323</v>
      </c>
      <c r="E1895" s="10" t="s">
        <v>14</v>
      </c>
      <c r="F1895" s="10"/>
      <c r="G1895" s="10" t="s">
        <v>15</v>
      </c>
      <c r="H1895" s="10" t="s">
        <v>17</v>
      </c>
      <c r="I1895" s="10" t="s">
        <v>66</v>
      </c>
      <c r="J1895" s="10"/>
      <c r="K1895" s="10"/>
      <c r="L1895" s="10"/>
      <c r="M1895" s="12"/>
      <c r="N1895" s="10"/>
      <c r="O1895" s="10" t="s">
        <v>2054</v>
      </c>
      <c r="P1895" s="25" t="str">
        <f>IFERROR(
IF(OR(O1895="anulado",O1895="stand by"),CONCATENATE(O1895,": ",H1895),
IF(OR(YEAR(M1895)=2022,YEAR(M1895)=2023),CONCATENATE("Se activó en ",YEAR(M1895)),
IF(AND(OR(O1895="En proceso",O1895="facturando"),AND(J1895="-",M1895="")),"Por revisar",
IF(M1895="",IF(J1895="NUEVAS",CONCATENATE("Estado: ",O1895,", ",J1895),
IF(L1895=Meses!$A$3,"Por revisar",
IF(H1895="","Sin registro","En programación Frcst."))),"En programación")))),
"Error")</f>
        <v>En programación Frcst.</v>
      </c>
      <c r="Q1895" s="9" t="str">
        <f t="shared" si="90"/>
        <v/>
      </c>
      <c r="R1895" s="25" t="e">
        <f>IF(P1895="En programación Frcst.",VLOOKUP(L1895,Meses!$A$1:$H$14,3+HLOOKUP(Cronograma!J1895,Meses!$D$1:$G$2,2,FALSE),FALSE),
IF(P1895="En programación",M1895,""))</f>
        <v>#N/A</v>
      </c>
      <c r="S1895" s="25" t="str">
        <f t="shared" si="89"/>
        <v/>
      </c>
      <c r="T1895" s="21" t="str">
        <f>IFERROR(
(VLOOKUP(MONTH(R1895),Meses!$B$3:$C$14,2,FALSE)-DAY(R1895))/VLOOKUP(MONTH(R1895),Meses!$B$3:$C$14,2,FALSE)*U1895,
"")</f>
        <v/>
      </c>
      <c r="U1895" s="22">
        <f t="shared" si="91"/>
        <v>0</v>
      </c>
    </row>
    <row r="1896" spans="1:21" ht="63" hidden="1" thickBot="1" x14ac:dyDescent="0.6">
      <c r="A1896" s="10" t="s">
        <v>2927</v>
      </c>
      <c r="B1896" s="10" t="s">
        <v>2499</v>
      </c>
      <c r="C1896" s="12">
        <v>45029</v>
      </c>
      <c r="D1896" s="10" t="s">
        <v>323</v>
      </c>
      <c r="E1896" s="10" t="s">
        <v>298</v>
      </c>
      <c r="F1896" s="10"/>
      <c r="G1896" s="10" t="s">
        <v>15</v>
      </c>
      <c r="H1896" s="10" t="s">
        <v>17</v>
      </c>
      <c r="I1896" s="10" t="s">
        <v>66</v>
      </c>
      <c r="J1896" s="10"/>
      <c r="K1896" s="10"/>
      <c r="L1896" s="10"/>
      <c r="M1896" s="12"/>
      <c r="N1896" s="10"/>
      <c r="O1896" s="10" t="s">
        <v>2054</v>
      </c>
      <c r="P1896" s="25" t="str">
        <f>IFERROR(
IF(OR(O1896="anulado",O1896="stand by"),CONCATENATE(O1896,": ",H1896),
IF(OR(YEAR(M1896)=2022,YEAR(M1896)=2023),CONCATENATE("Se activó en ",YEAR(M1896)),
IF(AND(OR(O1896="En proceso",O1896="facturando"),AND(J1896="-",M1896="")),"Por revisar",
IF(M1896="",IF(J1896="NUEVAS",CONCATENATE("Estado: ",O1896,", ",J1896),
IF(L1896=Meses!$A$3,"Por revisar",
IF(H1896="","Sin registro","En programación Frcst."))),"En programación")))),
"Error")</f>
        <v>En programación Frcst.</v>
      </c>
      <c r="Q1896" s="9" t="str">
        <f t="shared" si="90"/>
        <v/>
      </c>
      <c r="R1896" s="25" t="e">
        <f>IF(P1896="En programación Frcst.",VLOOKUP(L1896,Meses!$A$1:$H$14,3+HLOOKUP(Cronograma!J1896,Meses!$D$1:$G$2,2,FALSE),FALSE),
IF(P1896="En programación",M1896,""))</f>
        <v>#N/A</v>
      </c>
      <c r="S1896" s="25" t="str">
        <f t="shared" si="89"/>
        <v/>
      </c>
      <c r="T1896" s="21" t="str">
        <f>IFERROR(
(VLOOKUP(MONTH(R1896),Meses!$B$3:$C$14,2,FALSE)-DAY(R1896))/VLOOKUP(MONTH(R1896),Meses!$B$3:$C$14,2,FALSE)*U1896,
"")</f>
        <v/>
      </c>
      <c r="U1896" s="22">
        <f t="shared" si="91"/>
        <v>0</v>
      </c>
    </row>
    <row r="1897" spans="1:21" ht="47.4" hidden="1" thickBot="1" x14ac:dyDescent="0.6">
      <c r="A1897" s="10" t="s">
        <v>2928</v>
      </c>
      <c r="B1897" s="10" t="s">
        <v>2500</v>
      </c>
      <c r="C1897" s="12">
        <v>45029</v>
      </c>
      <c r="D1897" s="10" t="s">
        <v>323</v>
      </c>
      <c r="E1897" s="10" t="s">
        <v>291</v>
      </c>
      <c r="F1897" s="10"/>
      <c r="G1897" s="10" t="s">
        <v>15</v>
      </c>
      <c r="H1897" s="10" t="s">
        <v>17</v>
      </c>
      <c r="I1897" s="10" t="s">
        <v>66</v>
      </c>
      <c r="J1897" s="10"/>
      <c r="K1897" s="10"/>
      <c r="L1897" s="10"/>
      <c r="M1897" s="12"/>
      <c r="N1897" s="10"/>
      <c r="O1897" s="10" t="s">
        <v>2054</v>
      </c>
      <c r="P1897" s="25" t="str">
        <f>IFERROR(
IF(OR(O1897="anulado",O1897="stand by"),CONCATENATE(O1897,": ",H1897),
IF(OR(YEAR(M1897)=2022,YEAR(M1897)=2023),CONCATENATE("Se activó en ",YEAR(M1897)),
IF(AND(OR(O1897="En proceso",O1897="facturando"),AND(J1897="-",M1897="")),"Por revisar",
IF(M1897="",IF(J1897="NUEVAS",CONCATENATE("Estado: ",O1897,", ",J1897),
IF(L1897=Meses!$A$3,"Por revisar",
IF(H1897="","Sin registro","En programación Frcst."))),"En programación")))),
"Error")</f>
        <v>En programación Frcst.</v>
      </c>
      <c r="Q1897" s="9" t="str">
        <f t="shared" si="90"/>
        <v/>
      </c>
      <c r="R1897" s="25" t="e">
        <f>IF(P1897="En programación Frcst.",VLOOKUP(L1897,Meses!$A$1:$H$14,3+HLOOKUP(Cronograma!J1897,Meses!$D$1:$G$2,2,FALSE),FALSE),
IF(P1897="En programación",M1897,""))</f>
        <v>#N/A</v>
      </c>
      <c r="S1897" s="25" t="str">
        <f t="shared" si="89"/>
        <v/>
      </c>
      <c r="T1897" s="21" t="str">
        <f>IFERROR(
(VLOOKUP(MONTH(R1897),Meses!$B$3:$C$14,2,FALSE)-DAY(R1897))/VLOOKUP(MONTH(R1897),Meses!$B$3:$C$14,2,FALSE)*U1897,
"")</f>
        <v/>
      </c>
      <c r="U1897" s="22">
        <f t="shared" si="91"/>
        <v>0</v>
      </c>
    </row>
    <row r="1898" spans="1:21" ht="31.8" hidden="1" thickBot="1" x14ac:dyDescent="0.6">
      <c r="A1898" s="10" t="s">
        <v>2929</v>
      </c>
      <c r="B1898" s="10" t="s">
        <v>2501</v>
      </c>
      <c r="C1898" s="12">
        <v>45029</v>
      </c>
      <c r="D1898" s="10" t="s">
        <v>323</v>
      </c>
      <c r="E1898" s="10" t="s">
        <v>14</v>
      </c>
      <c r="F1898" s="10"/>
      <c r="G1898" s="10" t="s">
        <v>15</v>
      </c>
      <c r="H1898" s="10" t="s">
        <v>17</v>
      </c>
      <c r="I1898" s="10" t="s">
        <v>66</v>
      </c>
      <c r="J1898" s="10"/>
      <c r="K1898" s="10"/>
      <c r="L1898" s="10"/>
      <c r="M1898" s="12"/>
      <c r="N1898" s="10"/>
      <c r="O1898" s="10" t="s">
        <v>2054</v>
      </c>
      <c r="P1898" s="25" t="str">
        <f>IFERROR(
IF(OR(O1898="anulado",O1898="stand by"),CONCATENATE(O1898,": ",H1898),
IF(OR(YEAR(M1898)=2022,YEAR(M1898)=2023),CONCATENATE("Se activó en ",YEAR(M1898)),
IF(AND(OR(O1898="En proceso",O1898="facturando"),AND(J1898="-",M1898="")),"Por revisar",
IF(M1898="",IF(J1898="NUEVAS",CONCATENATE("Estado: ",O1898,", ",J1898),
IF(L1898=Meses!$A$3,"Por revisar",
IF(H1898="","Sin registro","En programación Frcst."))),"En programación")))),
"Error")</f>
        <v>En programación Frcst.</v>
      </c>
      <c r="Q1898" s="9" t="str">
        <f t="shared" si="90"/>
        <v/>
      </c>
      <c r="R1898" s="25" t="e">
        <f>IF(P1898="En programación Frcst.",VLOOKUP(L1898,Meses!$A$1:$H$14,3+HLOOKUP(Cronograma!J1898,Meses!$D$1:$G$2,2,FALSE),FALSE),
IF(P1898="En programación",M1898,""))</f>
        <v>#N/A</v>
      </c>
      <c r="S1898" s="25" t="str">
        <f t="shared" si="89"/>
        <v/>
      </c>
      <c r="T1898" s="21" t="str">
        <f>IFERROR(
(VLOOKUP(MONTH(R1898),Meses!$B$3:$C$14,2,FALSE)-DAY(R1898))/VLOOKUP(MONTH(R1898),Meses!$B$3:$C$14,2,FALSE)*U1898,
"")</f>
        <v/>
      </c>
      <c r="U1898" s="22">
        <f t="shared" si="91"/>
        <v>0</v>
      </c>
    </row>
    <row r="1899" spans="1:21" ht="31.8" hidden="1" thickBot="1" x14ac:dyDescent="0.6">
      <c r="A1899" s="10" t="s">
        <v>2930</v>
      </c>
      <c r="B1899" s="10" t="s">
        <v>2502</v>
      </c>
      <c r="C1899" s="12">
        <v>45029</v>
      </c>
      <c r="D1899" s="10" t="s">
        <v>323</v>
      </c>
      <c r="E1899" s="10" t="s">
        <v>298</v>
      </c>
      <c r="F1899" s="10"/>
      <c r="G1899" s="10" t="s">
        <v>15</v>
      </c>
      <c r="H1899" s="10" t="s">
        <v>17</v>
      </c>
      <c r="I1899" s="10" t="s">
        <v>66</v>
      </c>
      <c r="J1899" s="10"/>
      <c r="K1899" s="10"/>
      <c r="L1899" s="10"/>
      <c r="M1899" s="12"/>
      <c r="N1899" s="10"/>
      <c r="O1899" s="10" t="s">
        <v>2054</v>
      </c>
      <c r="P1899" s="25" t="str">
        <f>IFERROR(
IF(OR(O1899="anulado",O1899="stand by"),CONCATENATE(O1899,": ",H1899),
IF(OR(YEAR(M1899)=2022,YEAR(M1899)=2023),CONCATENATE("Se activó en ",YEAR(M1899)),
IF(AND(OR(O1899="En proceso",O1899="facturando"),AND(J1899="-",M1899="")),"Por revisar",
IF(M1899="",IF(J1899="NUEVAS",CONCATENATE("Estado: ",O1899,", ",J1899),
IF(L1899=Meses!$A$3,"Por revisar",
IF(H1899="","Sin registro","En programación Frcst."))),"En programación")))),
"Error")</f>
        <v>En programación Frcst.</v>
      </c>
      <c r="Q1899" s="9" t="str">
        <f t="shared" si="90"/>
        <v/>
      </c>
      <c r="R1899" s="25" t="e">
        <f>IF(P1899="En programación Frcst.",VLOOKUP(L1899,Meses!$A$1:$H$14,3+HLOOKUP(Cronograma!J1899,Meses!$D$1:$G$2,2,FALSE),FALSE),
IF(P1899="En programación",M1899,""))</f>
        <v>#N/A</v>
      </c>
      <c r="S1899" s="25" t="str">
        <f t="shared" si="89"/>
        <v/>
      </c>
      <c r="T1899" s="21" t="str">
        <f>IFERROR(
(VLOOKUP(MONTH(R1899),Meses!$B$3:$C$14,2,FALSE)-DAY(R1899))/VLOOKUP(MONTH(R1899),Meses!$B$3:$C$14,2,FALSE)*U1899,
"")</f>
        <v/>
      </c>
      <c r="U1899" s="22">
        <f t="shared" si="91"/>
        <v>0</v>
      </c>
    </row>
    <row r="1900" spans="1:21" ht="31.8" hidden="1" thickBot="1" x14ac:dyDescent="0.6">
      <c r="A1900" s="10" t="s">
        <v>2931</v>
      </c>
      <c r="B1900" s="10" t="s">
        <v>2503</v>
      </c>
      <c r="C1900" s="12">
        <v>45029</v>
      </c>
      <c r="D1900" s="10" t="s">
        <v>323</v>
      </c>
      <c r="E1900" s="10" t="s">
        <v>14</v>
      </c>
      <c r="F1900" s="10"/>
      <c r="G1900" s="10" t="s">
        <v>15</v>
      </c>
      <c r="H1900" s="10" t="s">
        <v>17</v>
      </c>
      <c r="I1900" s="10" t="s">
        <v>66</v>
      </c>
      <c r="J1900" s="10"/>
      <c r="K1900" s="10"/>
      <c r="L1900" s="10"/>
      <c r="M1900" s="12"/>
      <c r="N1900" s="10"/>
      <c r="O1900" s="10" t="s">
        <v>2054</v>
      </c>
      <c r="P1900" s="25" t="str">
        <f>IFERROR(
IF(OR(O1900="anulado",O1900="stand by"),CONCATENATE(O1900,": ",H1900),
IF(OR(YEAR(M1900)=2022,YEAR(M1900)=2023),CONCATENATE("Se activó en ",YEAR(M1900)),
IF(AND(OR(O1900="En proceso",O1900="facturando"),AND(J1900="-",M1900="")),"Por revisar",
IF(M1900="",IF(J1900="NUEVAS",CONCATENATE("Estado: ",O1900,", ",J1900),
IF(L1900=Meses!$A$3,"Por revisar",
IF(H1900="","Sin registro","En programación Frcst."))),"En programación")))),
"Error")</f>
        <v>En programación Frcst.</v>
      </c>
      <c r="Q1900" s="9" t="str">
        <f t="shared" si="90"/>
        <v/>
      </c>
      <c r="R1900" s="25" t="e">
        <f>IF(P1900="En programación Frcst.",VLOOKUP(L1900,Meses!$A$1:$H$14,3+HLOOKUP(Cronograma!J1900,Meses!$D$1:$G$2,2,FALSE),FALSE),
IF(P1900="En programación",M1900,""))</f>
        <v>#N/A</v>
      </c>
      <c r="S1900" s="25" t="str">
        <f t="shared" si="89"/>
        <v/>
      </c>
      <c r="T1900" s="21" t="str">
        <f>IFERROR(
(VLOOKUP(MONTH(R1900),Meses!$B$3:$C$14,2,FALSE)-DAY(R1900))/VLOOKUP(MONTH(R1900),Meses!$B$3:$C$14,2,FALSE)*U1900,
"")</f>
        <v/>
      </c>
      <c r="U1900" s="22">
        <f t="shared" si="91"/>
        <v>0</v>
      </c>
    </row>
    <row r="1901" spans="1:21" ht="47.4" hidden="1" thickBot="1" x14ac:dyDescent="0.6">
      <c r="A1901" s="10" t="s">
        <v>2932</v>
      </c>
      <c r="B1901" s="10" t="s">
        <v>2504</v>
      </c>
      <c r="C1901" s="12">
        <v>45029</v>
      </c>
      <c r="D1901" s="10" t="s">
        <v>323</v>
      </c>
      <c r="E1901" s="10" t="s">
        <v>14</v>
      </c>
      <c r="F1901" s="10"/>
      <c r="G1901" s="10" t="s">
        <v>15</v>
      </c>
      <c r="H1901" s="10" t="s">
        <v>17</v>
      </c>
      <c r="I1901" s="10" t="s">
        <v>66</v>
      </c>
      <c r="J1901" s="10"/>
      <c r="K1901" s="10"/>
      <c r="L1901" s="10"/>
      <c r="M1901" s="12"/>
      <c r="N1901" s="10"/>
      <c r="O1901" s="10" t="s">
        <v>2054</v>
      </c>
      <c r="P1901" s="25" t="str">
        <f>IFERROR(
IF(OR(O1901="anulado",O1901="stand by"),CONCATENATE(O1901,": ",H1901),
IF(OR(YEAR(M1901)=2022,YEAR(M1901)=2023),CONCATENATE("Se activó en ",YEAR(M1901)),
IF(AND(OR(O1901="En proceso",O1901="facturando"),AND(J1901="-",M1901="")),"Por revisar",
IF(M1901="",IF(J1901="NUEVAS",CONCATENATE("Estado: ",O1901,", ",J1901),
IF(L1901=Meses!$A$3,"Por revisar",
IF(H1901="","Sin registro","En programación Frcst."))),"En programación")))),
"Error")</f>
        <v>En programación Frcst.</v>
      </c>
      <c r="Q1901" s="9" t="str">
        <f t="shared" si="90"/>
        <v/>
      </c>
      <c r="R1901" s="25" t="e">
        <f>IF(P1901="En programación Frcst.",VLOOKUP(L1901,Meses!$A$1:$H$14,3+HLOOKUP(Cronograma!J1901,Meses!$D$1:$G$2,2,FALSE),FALSE),
IF(P1901="En programación",M1901,""))</f>
        <v>#N/A</v>
      </c>
      <c r="S1901" s="25" t="str">
        <f t="shared" si="89"/>
        <v/>
      </c>
      <c r="T1901" s="21" t="str">
        <f>IFERROR(
(VLOOKUP(MONTH(R1901),Meses!$B$3:$C$14,2,FALSE)-DAY(R1901))/VLOOKUP(MONTH(R1901),Meses!$B$3:$C$14,2,FALSE)*U1901,
"")</f>
        <v/>
      </c>
      <c r="U1901" s="22">
        <f t="shared" si="91"/>
        <v>0</v>
      </c>
    </row>
    <row r="1902" spans="1:21" ht="47.4" hidden="1" thickBot="1" x14ac:dyDescent="0.6">
      <c r="A1902" s="10" t="s">
        <v>2933</v>
      </c>
      <c r="B1902" s="10" t="s">
        <v>2505</v>
      </c>
      <c r="C1902" s="12">
        <v>45029</v>
      </c>
      <c r="D1902" s="10" t="s">
        <v>323</v>
      </c>
      <c r="E1902" s="10" t="s">
        <v>291</v>
      </c>
      <c r="F1902" s="10"/>
      <c r="G1902" s="10" t="s">
        <v>15</v>
      </c>
      <c r="H1902" s="10" t="s">
        <v>17</v>
      </c>
      <c r="I1902" s="10" t="s">
        <v>66</v>
      </c>
      <c r="J1902" s="10"/>
      <c r="K1902" s="10"/>
      <c r="L1902" s="10"/>
      <c r="M1902" s="12"/>
      <c r="N1902" s="10"/>
      <c r="O1902" s="10" t="s">
        <v>2054</v>
      </c>
      <c r="P1902" s="25" t="str">
        <f>IFERROR(
IF(OR(O1902="anulado",O1902="stand by"),CONCATENATE(O1902,": ",H1902),
IF(OR(YEAR(M1902)=2022,YEAR(M1902)=2023),CONCATENATE("Se activó en ",YEAR(M1902)),
IF(AND(OR(O1902="En proceso",O1902="facturando"),AND(J1902="-",M1902="")),"Por revisar",
IF(M1902="",IF(J1902="NUEVAS",CONCATENATE("Estado: ",O1902,", ",J1902),
IF(L1902=Meses!$A$3,"Por revisar",
IF(H1902="","Sin registro","En programación Frcst."))),"En programación")))),
"Error")</f>
        <v>En programación Frcst.</v>
      </c>
      <c r="Q1902" s="9" t="str">
        <f t="shared" si="90"/>
        <v/>
      </c>
      <c r="R1902" s="25" t="e">
        <f>IF(P1902="En programación Frcst.",VLOOKUP(L1902,Meses!$A$1:$H$14,3+HLOOKUP(Cronograma!J1902,Meses!$D$1:$G$2,2,FALSE),FALSE),
IF(P1902="En programación",M1902,""))</f>
        <v>#N/A</v>
      </c>
      <c r="S1902" s="25" t="str">
        <f t="shared" si="89"/>
        <v/>
      </c>
      <c r="T1902" s="21" t="str">
        <f>IFERROR(
(VLOOKUP(MONTH(R1902),Meses!$B$3:$C$14,2,FALSE)-DAY(R1902))/VLOOKUP(MONTH(R1902),Meses!$B$3:$C$14,2,FALSE)*U1902,
"")</f>
        <v/>
      </c>
      <c r="U1902" s="22">
        <f t="shared" si="91"/>
        <v>0</v>
      </c>
    </row>
    <row r="1903" spans="1:21" ht="31.8" hidden="1" thickBot="1" x14ac:dyDescent="0.6">
      <c r="A1903" s="10" t="s">
        <v>2934</v>
      </c>
      <c r="B1903" s="10" t="s">
        <v>2506</v>
      </c>
      <c r="C1903" s="12">
        <v>45029</v>
      </c>
      <c r="D1903" s="10" t="s">
        <v>323</v>
      </c>
      <c r="E1903" s="10" t="s">
        <v>291</v>
      </c>
      <c r="F1903" s="10"/>
      <c r="G1903" s="10" t="s">
        <v>15</v>
      </c>
      <c r="H1903" s="10" t="s">
        <v>17</v>
      </c>
      <c r="I1903" s="10" t="s">
        <v>66</v>
      </c>
      <c r="J1903" s="10"/>
      <c r="K1903" s="10"/>
      <c r="L1903" s="10"/>
      <c r="M1903" s="12"/>
      <c r="N1903" s="10"/>
      <c r="O1903" s="10" t="s">
        <v>2054</v>
      </c>
      <c r="P1903" s="25" t="str">
        <f>IFERROR(
IF(OR(O1903="anulado",O1903="stand by"),CONCATENATE(O1903,": ",H1903),
IF(OR(YEAR(M1903)=2022,YEAR(M1903)=2023),CONCATENATE("Se activó en ",YEAR(M1903)),
IF(AND(OR(O1903="En proceso",O1903="facturando"),AND(J1903="-",M1903="")),"Por revisar",
IF(M1903="",IF(J1903="NUEVAS",CONCATENATE("Estado: ",O1903,", ",J1903),
IF(L1903=Meses!$A$3,"Por revisar",
IF(H1903="","Sin registro","En programación Frcst."))),"En programación")))),
"Error")</f>
        <v>En programación Frcst.</v>
      </c>
      <c r="Q1903" s="9" t="str">
        <f t="shared" si="90"/>
        <v/>
      </c>
      <c r="R1903" s="25" t="e">
        <f>IF(P1903="En programación Frcst.",VLOOKUP(L1903,Meses!$A$1:$H$14,3+HLOOKUP(Cronograma!J1903,Meses!$D$1:$G$2,2,FALSE),FALSE),
IF(P1903="En programación",M1903,""))</f>
        <v>#N/A</v>
      </c>
      <c r="S1903" s="25" t="str">
        <f t="shared" si="89"/>
        <v/>
      </c>
      <c r="T1903" s="21" t="str">
        <f>IFERROR(
(VLOOKUP(MONTH(R1903),Meses!$B$3:$C$14,2,FALSE)-DAY(R1903))/VLOOKUP(MONTH(R1903),Meses!$B$3:$C$14,2,FALSE)*U1903,
"")</f>
        <v/>
      </c>
      <c r="U1903" s="22">
        <f t="shared" si="91"/>
        <v>0</v>
      </c>
    </row>
    <row r="1904" spans="1:21" ht="31.8" hidden="1" thickBot="1" x14ac:dyDescent="0.6">
      <c r="A1904" s="10" t="s">
        <v>2934</v>
      </c>
      <c r="B1904" s="10" t="s">
        <v>2507</v>
      </c>
      <c r="C1904" s="12">
        <v>45029</v>
      </c>
      <c r="D1904" s="10" t="s">
        <v>323</v>
      </c>
      <c r="E1904" s="10" t="s">
        <v>291</v>
      </c>
      <c r="F1904" s="10"/>
      <c r="G1904" s="10" t="s">
        <v>15</v>
      </c>
      <c r="H1904" s="10" t="s">
        <v>17</v>
      </c>
      <c r="I1904" s="10" t="s">
        <v>66</v>
      </c>
      <c r="J1904" s="10"/>
      <c r="K1904" s="10"/>
      <c r="L1904" s="10"/>
      <c r="M1904" s="12"/>
      <c r="N1904" s="10"/>
      <c r="O1904" s="10" t="s">
        <v>2054</v>
      </c>
      <c r="P1904" s="25" t="str">
        <f>IFERROR(
IF(OR(O1904="anulado",O1904="stand by"),CONCATENATE(O1904,": ",H1904),
IF(OR(YEAR(M1904)=2022,YEAR(M1904)=2023),CONCATENATE("Se activó en ",YEAR(M1904)),
IF(AND(OR(O1904="En proceso",O1904="facturando"),AND(J1904="-",M1904="")),"Por revisar",
IF(M1904="",IF(J1904="NUEVAS",CONCATENATE("Estado: ",O1904,", ",J1904),
IF(L1904=Meses!$A$3,"Por revisar",
IF(H1904="","Sin registro","En programación Frcst."))),"En programación")))),
"Error")</f>
        <v>En programación Frcst.</v>
      </c>
      <c r="Q1904" s="9" t="str">
        <f t="shared" si="90"/>
        <v/>
      </c>
      <c r="R1904" s="25" t="e">
        <f>IF(P1904="En programación Frcst.",VLOOKUP(L1904,Meses!$A$1:$H$14,3+HLOOKUP(Cronograma!J1904,Meses!$D$1:$G$2,2,FALSE),FALSE),
IF(P1904="En programación",M1904,""))</f>
        <v>#N/A</v>
      </c>
      <c r="S1904" s="25" t="str">
        <f t="shared" si="89"/>
        <v/>
      </c>
      <c r="T1904" s="21" t="str">
        <f>IFERROR(
(VLOOKUP(MONTH(R1904),Meses!$B$3:$C$14,2,FALSE)-DAY(R1904))/VLOOKUP(MONTH(R1904),Meses!$B$3:$C$14,2,FALSE)*U1904,
"")</f>
        <v/>
      </c>
      <c r="U1904" s="22">
        <f t="shared" si="91"/>
        <v>0</v>
      </c>
    </row>
    <row r="1905" spans="1:21" ht="31.8" hidden="1" thickBot="1" x14ac:dyDescent="0.6">
      <c r="A1905" s="10" t="s">
        <v>2935</v>
      </c>
      <c r="B1905" s="10" t="s">
        <v>2508</v>
      </c>
      <c r="C1905" s="12">
        <v>45029</v>
      </c>
      <c r="D1905" s="10" t="s">
        <v>323</v>
      </c>
      <c r="E1905" s="10" t="s">
        <v>291</v>
      </c>
      <c r="F1905" s="10"/>
      <c r="G1905" s="10" t="s">
        <v>15</v>
      </c>
      <c r="H1905" s="10" t="s">
        <v>17</v>
      </c>
      <c r="I1905" s="10" t="s">
        <v>66</v>
      </c>
      <c r="J1905" s="10"/>
      <c r="K1905" s="10"/>
      <c r="L1905" s="10"/>
      <c r="M1905" s="12"/>
      <c r="N1905" s="10"/>
      <c r="O1905" s="10" t="s">
        <v>2054</v>
      </c>
      <c r="P1905" s="25" t="str">
        <f>IFERROR(
IF(OR(O1905="anulado",O1905="stand by"),CONCATENATE(O1905,": ",H1905),
IF(OR(YEAR(M1905)=2022,YEAR(M1905)=2023),CONCATENATE("Se activó en ",YEAR(M1905)),
IF(AND(OR(O1905="En proceso",O1905="facturando"),AND(J1905="-",M1905="")),"Por revisar",
IF(M1905="",IF(J1905="NUEVAS",CONCATENATE("Estado: ",O1905,", ",J1905),
IF(L1905=Meses!$A$3,"Por revisar",
IF(H1905="","Sin registro","En programación Frcst."))),"En programación")))),
"Error")</f>
        <v>En programación Frcst.</v>
      </c>
      <c r="Q1905" s="9" t="str">
        <f t="shared" si="90"/>
        <v/>
      </c>
      <c r="R1905" s="25" t="e">
        <f>IF(P1905="En programación Frcst.",VLOOKUP(L1905,Meses!$A$1:$H$14,3+HLOOKUP(Cronograma!J1905,Meses!$D$1:$G$2,2,FALSE),FALSE),
IF(P1905="En programación",M1905,""))</f>
        <v>#N/A</v>
      </c>
      <c r="S1905" s="25" t="str">
        <f t="shared" si="89"/>
        <v/>
      </c>
      <c r="T1905" s="21" t="str">
        <f>IFERROR(
(VLOOKUP(MONTH(R1905),Meses!$B$3:$C$14,2,FALSE)-DAY(R1905))/VLOOKUP(MONTH(R1905),Meses!$B$3:$C$14,2,FALSE)*U1905,
"")</f>
        <v/>
      </c>
      <c r="U1905" s="22">
        <f t="shared" si="91"/>
        <v>0</v>
      </c>
    </row>
    <row r="1906" spans="1:21" ht="47.4" hidden="1" thickBot="1" x14ac:dyDescent="0.6">
      <c r="A1906" s="10" t="s">
        <v>2936</v>
      </c>
      <c r="B1906" s="10" t="s">
        <v>2509</v>
      </c>
      <c r="C1906" s="12">
        <v>45029</v>
      </c>
      <c r="D1906" s="10" t="s">
        <v>323</v>
      </c>
      <c r="E1906" s="10" t="s">
        <v>291</v>
      </c>
      <c r="F1906" s="10"/>
      <c r="G1906" s="10" t="s">
        <v>15</v>
      </c>
      <c r="H1906" s="10" t="s">
        <v>17</v>
      </c>
      <c r="I1906" s="10" t="s">
        <v>66</v>
      </c>
      <c r="J1906" s="10"/>
      <c r="K1906" s="10"/>
      <c r="L1906" s="10"/>
      <c r="M1906" s="12"/>
      <c r="N1906" s="10"/>
      <c r="O1906" s="10" t="s">
        <v>2054</v>
      </c>
      <c r="P1906" s="25" t="str">
        <f>IFERROR(
IF(OR(O1906="anulado",O1906="stand by"),CONCATENATE(O1906,": ",H1906),
IF(OR(YEAR(M1906)=2022,YEAR(M1906)=2023),CONCATENATE("Se activó en ",YEAR(M1906)),
IF(AND(OR(O1906="En proceso",O1906="facturando"),AND(J1906="-",M1906="")),"Por revisar",
IF(M1906="",IF(J1906="NUEVAS",CONCATENATE("Estado: ",O1906,", ",J1906),
IF(L1906=Meses!$A$3,"Por revisar",
IF(H1906="","Sin registro","En programación Frcst."))),"En programación")))),
"Error")</f>
        <v>En programación Frcst.</v>
      </c>
      <c r="Q1906" s="9" t="str">
        <f t="shared" si="90"/>
        <v/>
      </c>
      <c r="R1906" s="25" t="e">
        <f>IF(P1906="En programación Frcst.",VLOOKUP(L1906,Meses!$A$1:$H$14,3+HLOOKUP(Cronograma!J1906,Meses!$D$1:$G$2,2,FALSE),FALSE),
IF(P1906="En programación",M1906,""))</f>
        <v>#N/A</v>
      </c>
      <c r="S1906" s="25" t="str">
        <f t="shared" si="89"/>
        <v/>
      </c>
      <c r="T1906" s="21" t="str">
        <f>IFERROR(
(VLOOKUP(MONTH(R1906),Meses!$B$3:$C$14,2,FALSE)-DAY(R1906))/VLOOKUP(MONTH(R1906),Meses!$B$3:$C$14,2,FALSE)*U1906,
"")</f>
        <v/>
      </c>
      <c r="U1906" s="22">
        <f t="shared" si="91"/>
        <v>0</v>
      </c>
    </row>
    <row r="1907" spans="1:21" ht="47.4" hidden="1" thickBot="1" x14ac:dyDescent="0.6">
      <c r="A1907" s="10" t="s">
        <v>2936</v>
      </c>
      <c r="B1907" s="10" t="s">
        <v>2510</v>
      </c>
      <c r="C1907" s="12">
        <v>45029</v>
      </c>
      <c r="D1907" s="10" t="s">
        <v>323</v>
      </c>
      <c r="E1907" s="10" t="s">
        <v>291</v>
      </c>
      <c r="F1907" s="10"/>
      <c r="G1907" s="10" t="s">
        <v>15</v>
      </c>
      <c r="H1907" s="10" t="s">
        <v>17</v>
      </c>
      <c r="I1907" s="10" t="s">
        <v>66</v>
      </c>
      <c r="J1907" s="10"/>
      <c r="K1907" s="10"/>
      <c r="L1907" s="10"/>
      <c r="M1907" s="12"/>
      <c r="N1907" s="10"/>
      <c r="O1907" s="10" t="s">
        <v>2054</v>
      </c>
      <c r="P1907" s="25" t="str">
        <f>IFERROR(
IF(OR(O1907="anulado",O1907="stand by"),CONCATENATE(O1907,": ",H1907),
IF(OR(YEAR(M1907)=2022,YEAR(M1907)=2023),CONCATENATE("Se activó en ",YEAR(M1907)),
IF(AND(OR(O1907="En proceso",O1907="facturando"),AND(J1907="-",M1907="")),"Por revisar",
IF(M1907="",IF(J1907="NUEVAS",CONCATENATE("Estado: ",O1907,", ",J1907),
IF(L1907=Meses!$A$3,"Por revisar",
IF(H1907="","Sin registro","En programación Frcst."))),"En programación")))),
"Error")</f>
        <v>En programación Frcst.</v>
      </c>
      <c r="Q1907" s="9" t="str">
        <f t="shared" si="90"/>
        <v/>
      </c>
      <c r="R1907" s="25" t="e">
        <f>IF(P1907="En programación Frcst.",VLOOKUP(L1907,Meses!$A$1:$H$14,3+HLOOKUP(Cronograma!J1907,Meses!$D$1:$G$2,2,FALSE),FALSE),
IF(P1907="En programación",M1907,""))</f>
        <v>#N/A</v>
      </c>
      <c r="S1907" s="25" t="str">
        <f t="shared" si="89"/>
        <v/>
      </c>
      <c r="T1907" s="21" t="str">
        <f>IFERROR(
(VLOOKUP(MONTH(R1907),Meses!$B$3:$C$14,2,FALSE)-DAY(R1907))/VLOOKUP(MONTH(R1907),Meses!$B$3:$C$14,2,FALSE)*U1907,
"")</f>
        <v/>
      </c>
      <c r="U1907" s="22">
        <f t="shared" si="91"/>
        <v>0</v>
      </c>
    </row>
    <row r="1908" spans="1:21" ht="47.4" hidden="1" thickBot="1" x14ac:dyDescent="0.6">
      <c r="A1908" s="10" t="s">
        <v>2936</v>
      </c>
      <c r="B1908" s="10" t="s">
        <v>2511</v>
      </c>
      <c r="C1908" s="12">
        <v>45029</v>
      </c>
      <c r="D1908" s="10" t="s">
        <v>323</v>
      </c>
      <c r="E1908" s="10" t="s">
        <v>291</v>
      </c>
      <c r="F1908" s="10"/>
      <c r="G1908" s="10" t="s">
        <v>15</v>
      </c>
      <c r="H1908" s="10" t="s">
        <v>17</v>
      </c>
      <c r="I1908" s="10" t="s">
        <v>66</v>
      </c>
      <c r="J1908" s="10"/>
      <c r="K1908" s="10"/>
      <c r="L1908" s="10"/>
      <c r="M1908" s="12"/>
      <c r="N1908" s="10"/>
      <c r="O1908" s="10" t="s">
        <v>2054</v>
      </c>
      <c r="P1908" s="25" t="str">
        <f>IFERROR(
IF(OR(O1908="anulado",O1908="stand by"),CONCATENATE(O1908,": ",H1908),
IF(OR(YEAR(M1908)=2022,YEAR(M1908)=2023),CONCATENATE("Se activó en ",YEAR(M1908)),
IF(AND(OR(O1908="En proceso",O1908="facturando"),AND(J1908="-",M1908="")),"Por revisar",
IF(M1908="",IF(J1908="NUEVAS",CONCATENATE("Estado: ",O1908,", ",J1908),
IF(L1908=Meses!$A$3,"Por revisar",
IF(H1908="","Sin registro","En programación Frcst."))),"En programación")))),
"Error")</f>
        <v>En programación Frcst.</v>
      </c>
      <c r="Q1908" s="9" t="str">
        <f t="shared" si="90"/>
        <v/>
      </c>
      <c r="R1908" s="25" t="e">
        <f>IF(P1908="En programación Frcst.",VLOOKUP(L1908,Meses!$A$1:$H$14,3+HLOOKUP(Cronograma!J1908,Meses!$D$1:$G$2,2,FALSE),FALSE),
IF(P1908="En programación",M1908,""))</f>
        <v>#N/A</v>
      </c>
      <c r="S1908" s="25" t="str">
        <f t="shared" si="89"/>
        <v/>
      </c>
      <c r="T1908" s="21" t="str">
        <f>IFERROR(
(VLOOKUP(MONTH(R1908),Meses!$B$3:$C$14,2,FALSE)-DAY(R1908))/VLOOKUP(MONTH(R1908),Meses!$B$3:$C$14,2,FALSE)*U1908,
"")</f>
        <v/>
      </c>
      <c r="U1908" s="22">
        <f t="shared" si="91"/>
        <v>0</v>
      </c>
    </row>
    <row r="1909" spans="1:21" ht="47.4" hidden="1" thickBot="1" x14ac:dyDescent="0.6">
      <c r="A1909" s="10" t="s">
        <v>2936</v>
      </c>
      <c r="B1909" s="10" t="s">
        <v>2512</v>
      </c>
      <c r="C1909" s="12">
        <v>45029</v>
      </c>
      <c r="D1909" s="10" t="s">
        <v>323</v>
      </c>
      <c r="E1909" s="10" t="s">
        <v>291</v>
      </c>
      <c r="F1909" s="10"/>
      <c r="G1909" s="10" t="s">
        <v>15</v>
      </c>
      <c r="H1909" s="10" t="s">
        <v>17</v>
      </c>
      <c r="I1909" s="10" t="s">
        <v>66</v>
      </c>
      <c r="J1909" s="10"/>
      <c r="K1909" s="10"/>
      <c r="L1909" s="10"/>
      <c r="M1909" s="12"/>
      <c r="N1909" s="10"/>
      <c r="O1909" s="10" t="s">
        <v>2054</v>
      </c>
      <c r="P1909" s="25" t="str">
        <f>IFERROR(
IF(OR(O1909="anulado",O1909="stand by"),CONCATENATE(O1909,": ",H1909),
IF(OR(YEAR(M1909)=2022,YEAR(M1909)=2023),CONCATENATE("Se activó en ",YEAR(M1909)),
IF(AND(OR(O1909="En proceso",O1909="facturando"),AND(J1909="-",M1909="")),"Por revisar",
IF(M1909="",IF(J1909="NUEVAS",CONCATENATE("Estado: ",O1909,", ",J1909),
IF(L1909=Meses!$A$3,"Por revisar",
IF(H1909="","Sin registro","En programación Frcst."))),"En programación")))),
"Error")</f>
        <v>En programación Frcst.</v>
      </c>
      <c r="Q1909" s="9" t="str">
        <f t="shared" si="90"/>
        <v/>
      </c>
      <c r="R1909" s="25" t="e">
        <f>IF(P1909="En programación Frcst.",VLOOKUP(L1909,Meses!$A$1:$H$14,3+HLOOKUP(Cronograma!J1909,Meses!$D$1:$G$2,2,FALSE),FALSE),
IF(P1909="En programación",M1909,""))</f>
        <v>#N/A</v>
      </c>
      <c r="S1909" s="25" t="str">
        <f t="shared" si="89"/>
        <v/>
      </c>
      <c r="T1909" s="21" t="str">
        <f>IFERROR(
(VLOOKUP(MONTH(R1909),Meses!$B$3:$C$14,2,FALSE)-DAY(R1909))/VLOOKUP(MONTH(R1909),Meses!$B$3:$C$14,2,FALSE)*U1909,
"")</f>
        <v/>
      </c>
      <c r="U1909" s="22">
        <f t="shared" si="91"/>
        <v>0</v>
      </c>
    </row>
    <row r="1910" spans="1:21" ht="47.4" hidden="1" thickBot="1" x14ac:dyDescent="0.6">
      <c r="A1910" s="10" t="s">
        <v>2937</v>
      </c>
      <c r="B1910" s="10" t="s">
        <v>2513</v>
      </c>
      <c r="C1910" s="12">
        <v>45029</v>
      </c>
      <c r="D1910" s="10" t="s">
        <v>323</v>
      </c>
      <c r="E1910" s="10" t="s">
        <v>14</v>
      </c>
      <c r="F1910" s="10"/>
      <c r="G1910" s="10" t="s">
        <v>15</v>
      </c>
      <c r="H1910" s="10" t="s">
        <v>17</v>
      </c>
      <c r="I1910" s="10" t="s">
        <v>66</v>
      </c>
      <c r="J1910" s="10"/>
      <c r="K1910" s="10"/>
      <c r="L1910" s="10"/>
      <c r="M1910" s="12"/>
      <c r="N1910" s="10"/>
      <c r="O1910" s="10" t="s">
        <v>2054</v>
      </c>
      <c r="P1910" s="25" t="str">
        <f>IFERROR(
IF(OR(O1910="anulado",O1910="stand by"),CONCATENATE(O1910,": ",H1910),
IF(OR(YEAR(M1910)=2022,YEAR(M1910)=2023),CONCATENATE("Se activó en ",YEAR(M1910)),
IF(AND(OR(O1910="En proceso",O1910="facturando"),AND(J1910="-",M1910="")),"Por revisar",
IF(M1910="",IF(J1910="NUEVAS",CONCATENATE("Estado: ",O1910,", ",J1910),
IF(L1910=Meses!$A$3,"Por revisar",
IF(H1910="","Sin registro","En programación Frcst."))),"En programación")))),
"Error")</f>
        <v>En programación Frcst.</v>
      </c>
      <c r="Q1910" s="9" t="str">
        <f t="shared" si="90"/>
        <v/>
      </c>
      <c r="R1910" s="25" t="e">
        <f>IF(P1910="En programación Frcst.",VLOOKUP(L1910,Meses!$A$1:$H$14,3+HLOOKUP(Cronograma!J1910,Meses!$D$1:$G$2,2,FALSE),FALSE),
IF(P1910="En programación",M1910,""))</f>
        <v>#N/A</v>
      </c>
      <c r="S1910" s="25" t="str">
        <f t="shared" si="89"/>
        <v/>
      </c>
      <c r="T1910" s="21" t="str">
        <f>IFERROR(
(VLOOKUP(MONTH(R1910),Meses!$B$3:$C$14,2,FALSE)-DAY(R1910))/VLOOKUP(MONTH(R1910),Meses!$B$3:$C$14,2,FALSE)*U1910,
"")</f>
        <v/>
      </c>
      <c r="U1910" s="22">
        <f t="shared" si="91"/>
        <v>0</v>
      </c>
    </row>
    <row r="1911" spans="1:21" ht="63" hidden="1" thickBot="1" x14ac:dyDescent="0.6">
      <c r="A1911" s="10" t="s">
        <v>2938</v>
      </c>
      <c r="B1911" s="10" t="s">
        <v>2514</v>
      </c>
      <c r="C1911" s="12">
        <v>45029</v>
      </c>
      <c r="D1911" s="10" t="s">
        <v>323</v>
      </c>
      <c r="E1911" s="10" t="s">
        <v>289</v>
      </c>
      <c r="F1911" s="10"/>
      <c r="G1911" s="10" t="s">
        <v>15</v>
      </c>
      <c r="H1911" s="10" t="s">
        <v>17</v>
      </c>
      <c r="I1911" s="10" t="s">
        <v>66</v>
      </c>
      <c r="J1911" s="10"/>
      <c r="K1911" s="10"/>
      <c r="L1911" s="10"/>
      <c r="M1911" s="12"/>
      <c r="N1911" s="10"/>
      <c r="O1911" s="10" t="s">
        <v>2054</v>
      </c>
      <c r="P1911" s="25" t="str">
        <f>IFERROR(
IF(OR(O1911="anulado",O1911="stand by"),CONCATENATE(O1911,": ",H1911),
IF(OR(YEAR(M1911)=2022,YEAR(M1911)=2023),CONCATENATE("Se activó en ",YEAR(M1911)),
IF(AND(OR(O1911="En proceso",O1911="facturando"),AND(J1911="-",M1911="")),"Por revisar",
IF(M1911="",IF(J1911="NUEVAS",CONCATENATE("Estado: ",O1911,", ",J1911),
IF(L1911=Meses!$A$3,"Por revisar",
IF(H1911="","Sin registro","En programación Frcst."))),"En programación")))),
"Error")</f>
        <v>En programación Frcst.</v>
      </c>
      <c r="Q1911" s="9" t="str">
        <f t="shared" si="90"/>
        <v/>
      </c>
      <c r="R1911" s="25" t="e">
        <f>IF(P1911="En programación Frcst.",VLOOKUP(L1911,Meses!$A$1:$H$14,3+HLOOKUP(Cronograma!J1911,Meses!$D$1:$G$2,2,FALSE),FALSE),
IF(P1911="En programación",M1911,""))</f>
        <v>#N/A</v>
      </c>
      <c r="S1911" s="25" t="str">
        <f t="shared" si="89"/>
        <v/>
      </c>
      <c r="T1911" s="21" t="str">
        <f>IFERROR(
(VLOOKUP(MONTH(R1911),Meses!$B$3:$C$14,2,FALSE)-DAY(R1911))/VLOOKUP(MONTH(R1911),Meses!$B$3:$C$14,2,FALSE)*U1911,
"")</f>
        <v/>
      </c>
      <c r="U1911" s="22">
        <f t="shared" si="91"/>
        <v>0</v>
      </c>
    </row>
    <row r="1912" spans="1:21" ht="31.8" hidden="1" thickBot="1" x14ac:dyDescent="0.6">
      <c r="A1912" s="10" t="s">
        <v>2939</v>
      </c>
      <c r="B1912" s="10" t="s">
        <v>2515</v>
      </c>
      <c r="C1912" s="12">
        <v>45029</v>
      </c>
      <c r="D1912" s="10" t="s">
        <v>323</v>
      </c>
      <c r="E1912" s="10" t="s">
        <v>14</v>
      </c>
      <c r="F1912" s="10"/>
      <c r="G1912" s="10" t="s">
        <v>15</v>
      </c>
      <c r="H1912" s="10" t="s">
        <v>17</v>
      </c>
      <c r="I1912" s="10" t="s">
        <v>66</v>
      </c>
      <c r="J1912" s="10"/>
      <c r="K1912" s="10"/>
      <c r="L1912" s="10"/>
      <c r="M1912" s="12"/>
      <c r="N1912" s="10"/>
      <c r="O1912" s="10" t="s">
        <v>2054</v>
      </c>
      <c r="P1912" s="25" t="str">
        <f>IFERROR(
IF(OR(O1912="anulado",O1912="stand by"),CONCATENATE(O1912,": ",H1912),
IF(OR(YEAR(M1912)=2022,YEAR(M1912)=2023),CONCATENATE("Se activó en ",YEAR(M1912)),
IF(AND(OR(O1912="En proceso",O1912="facturando"),AND(J1912="-",M1912="")),"Por revisar",
IF(M1912="",IF(J1912="NUEVAS",CONCATENATE("Estado: ",O1912,", ",J1912),
IF(L1912=Meses!$A$3,"Por revisar",
IF(H1912="","Sin registro","En programación Frcst."))),"En programación")))),
"Error")</f>
        <v>En programación Frcst.</v>
      </c>
      <c r="Q1912" s="9" t="str">
        <f t="shared" si="90"/>
        <v/>
      </c>
      <c r="R1912" s="25" t="e">
        <f>IF(P1912="En programación Frcst.",VLOOKUP(L1912,Meses!$A$1:$H$14,3+HLOOKUP(Cronograma!J1912,Meses!$D$1:$G$2,2,FALSE),FALSE),
IF(P1912="En programación",M1912,""))</f>
        <v>#N/A</v>
      </c>
      <c r="S1912" s="25" t="str">
        <f t="shared" si="89"/>
        <v/>
      </c>
      <c r="T1912" s="21" t="str">
        <f>IFERROR(
(VLOOKUP(MONTH(R1912),Meses!$B$3:$C$14,2,FALSE)-DAY(R1912))/VLOOKUP(MONTH(R1912),Meses!$B$3:$C$14,2,FALSE)*U1912,
"")</f>
        <v/>
      </c>
      <c r="U1912" s="22">
        <f t="shared" si="91"/>
        <v>0</v>
      </c>
    </row>
    <row r="1913" spans="1:21" ht="31.8" hidden="1" thickBot="1" x14ac:dyDescent="0.6">
      <c r="A1913" s="10" t="s">
        <v>2939</v>
      </c>
      <c r="B1913" s="10" t="s">
        <v>2516</v>
      </c>
      <c r="C1913" s="12">
        <v>45029</v>
      </c>
      <c r="D1913" s="10" t="s">
        <v>323</v>
      </c>
      <c r="E1913" s="10" t="s">
        <v>14</v>
      </c>
      <c r="F1913" s="10"/>
      <c r="G1913" s="10" t="s">
        <v>15</v>
      </c>
      <c r="H1913" s="10" t="s">
        <v>17</v>
      </c>
      <c r="I1913" s="10" t="s">
        <v>66</v>
      </c>
      <c r="J1913" s="10"/>
      <c r="K1913" s="10"/>
      <c r="L1913" s="10"/>
      <c r="M1913" s="12"/>
      <c r="N1913" s="10"/>
      <c r="O1913" s="10" t="s">
        <v>2054</v>
      </c>
      <c r="P1913" s="25" t="str">
        <f>IFERROR(
IF(OR(O1913="anulado",O1913="stand by"),CONCATENATE(O1913,": ",H1913),
IF(OR(YEAR(M1913)=2022,YEAR(M1913)=2023),CONCATENATE("Se activó en ",YEAR(M1913)),
IF(AND(OR(O1913="En proceso",O1913="facturando"),AND(J1913="-",M1913="")),"Por revisar",
IF(M1913="",IF(J1913="NUEVAS",CONCATENATE("Estado: ",O1913,", ",J1913),
IF(L1913=Meses!$A$3,"Por revisar",
IF(H1913="","Sin registro","En programación Frcst."))),"En programación")))),
"Error")</f>
        <v>En programación Frcst.</v>
      </c>
      <c r="Q1913" s="9" t="str">
        <f t="shared" si="90"/>
        <v/>
      </c>
      <c r="R1913" s="25" t="e">
        <f>IF(P1913="En programación Frcst.",VLOOKUP(L1913,Meses!$A$1:$H$14,3+HLOOKUP(Cronograma!J1913,Meses!$D$1:$G$2,2,FALSE),FALSE),
IF(P1913="En programación",M1913,""))</f>
        <v>#N/A</v>
      </c>
      <c r="S1913" s="25" t="str">
        <f t="shared" si="89"/>
        <v/>
      </c>
      <c r="T1913" s="21" t="str">
        <f>IFERROR(
(VLOOKUP(MONTH(R1913),Meses!$B$3:$C$14,2,FALSE)-DAY(R1913))/VLOOKUP(MONTH(R1913),Meses!$B$3:$C$14,2,FALSE)*U1913,
"")</f>
        <v/>
      </c>
      <c r="U1913" s="22">
        <f t="shared" si="91"/>
        <v>0</v>
      </c>
    </row>
    <row r="1914" spans="1:21" ht="31.8" hidden="1" thickBot="1" x14ac:dyDescent="0.6">
      <c r="A1914" s="10" t="s">
        <v>2940</v>
      </c>
      <c r="B1914" s="10" t="s">
        <v>2517</v>
      </c>
      <c r="C1914" s="12">
        <v>45029</v>
      </c>
      <c r="D1914" s="10" t="s">
        <v>323</v>
      </c>
      <c r="E1914" s="10" t="s">
        <v>14</v>
      </c>
      <c r="F1914" s="10"/>
      <c r="G1914" s="10" t="s">
        <v>15</v>
      </c>
      <c r="H1914" s="10" t="s">
        <v>17</v>
      </c>
      <c r="I1914" s="10" t="s">
        <v>66</v>
      </c>
      <c r="J1914" s="10"/>
      <c r="K1914" s="10"/>
      <c r="L1914" s="10"/>
      <c r="M1914" s="12"/>
      <c r="N1914" s="10"/>
      <c r="O1914" s="10" t="s">
        <v>2054</v>
      </c>
      <c r="P1914" s="25" t="str">
        <f>IFERROR(
IF(OR(O1914="anulado",O1914="stand by"),CONCATENATE(O1914,": ",H1914),
IF(OR(YEAR(M1914)=2022,YEAR(M1914)=2023),CONCATENATE("Se activó en ",YEAR(M1914)),
IF(AND(OR(O1914="En proceso",O1914="facturando"),AND(J1914="-",M1914="")),"Por revisar",
IF(M1914="",IF(J1914="NUEVAS",CONCATENATE("Estado: ",O1914,", ",J1914),
IF(L1914=Meses!$A$3,"Por revisar",
IF(H1914="","Sin registro","En programación Frcst."))),"En programación")))),
"Error")</f>
        <v>En programación Frcst.</v>
      </c>
      <c r="Q1914" s="9" t="str">
        <f t="shared" si="90"/>
        <v/>
      </c>
      <c r="R1914" s="25" t="e">
        <f>IF(P1914="En programación Frcst.",VLOOKUP(L1914,Meses!$A$1:$H$14,3+HLOOKUP(Cronograma!J1914,Meses!$D$1:$G$2,2,FALSE),FALSE),
IF(P1914="En programación",M1914,""))</f>
        <v>#N/A</v>
      </c>
      <c r="S1914" s="25" t="str">
        <f t="shared" si="89"/>
        <v/>
      </c>
      <c r="T1914" s="21" t="str">
        <f>IFERROR(
(VLOOKUP(MONTH(R1914),Meses!$B$3:$C$14,2,FALSE)-DAY(R1914))/VLOOKUP(MONTH(R1914),Meses!$B$3:$C$14,2,FALSE)*U1914,
"")</f>
        <v/>
      </c>
      <c r="U1914" s="22">
        <f t="shared" si="91"/>
        <v>0</v>
      </c>
    </row>
    <row r="1915" spans="1:21" ht="63" hidden="1" thickBot="1" x14ac:dyDescent="0.6">
      <c r="A1915" s="10" t="s">
        <v>2941</v>
      </c>
      <c r="B1915" s="10" t="s">
        <v>2518</v>
      </c>
      <c r="C1915" s="12">
        <v>45029</v>
      </c>
      <c r="D1915" s="10" t="s">
        <v>323</v>
      </c>
      <c r="E1915" s="10" t="s">
        <v>289</v>
      </c>
      <c r="F1915" s="10"/>
      <c r="G1915" s="10" t="s">
        <v>15</v>
      </c>
      <c r="H1915" s="10" t="s">
        <v>17</v>
      </c>
      <c r="I1915" s="10" t="s">
        <v>66</v>
      </c>
      <c r="J1915" s="10"/>
      <c r="K1915" s="10"/>
      <c r="L1915" s="10"/>
      <c r="M1915" s="12"/>
      <c r="N1915" s="10"/>
      <c r="O1915" s="10" t="s">
        <v>2054</v>
      </c>
      <c r="P1915" s="25" t="str">
        <f>IFERROR(
IF(OR(O1915="anulado",O1915="stand by"),CONCATENATE(O1915,": ",H1915),
IF(OR(YEAR(M1915)=2022,YEAR(M1915)=2023),CONCATENATE("Se activó en ",YEAR(M1915)),
IF(AND(OR(O1915="En proceso",O1915="facturando"),AND(J1915="-",M1915="")),"Por revisar",
IF(M1915="",IF(J1915="NUEVAS",CONCATENATE("Estado: ",O1915,", ",J1915),
IF(L1915=Meses!$A$3,"Por revisar",
IF(H1915="","Sin registro","En programación Frcst."))),"En programación")))),
"Error")</f>
        <v>En programación Frcst.</v>
      </c>
      <c r="Q1915" s="9" t="str">
        <f t="shared" si="90"/>
        <v/>
      </c>
      <c r="R1915" s="25" t="e">
        <f>IF(P1915="En programación Frcst.",VLOOKUP(L1915,Meses!$A$1:$H$14,3+HLOOKUP(Cronograma!J1915,Meses!$D$1:$G$2,2,FALSE),FALSE),
IF(P1915="En programación",M1915,""))</f>
        <v>#N/A</v>
      </c>
      <c r="S1915" s="25" t="str">
        <f t="shared" si="89"/>
        <v/>
      </c>
      <c r="T1915" s="21" t="str">
        <f>IFERROR(
(VLOOKUP(MONTH(R1915),Meses!$B$3:$C$14,2,FALSE)-DAY(R1915))/VLOOKUP(MONTH(R1915),Meses!$B$3:$C$14,2,FALSE)*U1915,
"")</f>
        <v/>
      </c>
      <c r="U1915" s="22">
        <f t="shared" si="91"/>
        <v>0</v>
      </c>
    </row>
    <row r="1916" spans="1:21" ht="125.4" hidden="1" thickBot="1" x14ac:dyDescent="0.6">
      <c r="A1916" s="10" t="s">
        <v>2942</v>
      </c>
      <c r="B1916" s="10" t="s">
        <v>2519</v>
      </c>
      <c r="C1916" s="12">
        <v>45029</v>
      </c>
      <c r="D1916" s="10" t="s">
        <v>323</v>
      </c>
      <c r="E1916" s="10" t="s">
        <v>291</v>
      </c>
      <c r="F1916" s="10"/>
      <c r="G1916" s="10" t="s">
        <v>15</v>
      </c>
      <c r="H1916" s="10" t="s">
        <v>17</v>
      </c>
      <c r="I1916" s="10" t="s">
        <v>66</v>
      </c>
      <c r="J1916" s="10"/>
      <c r="K1916" s="10"/>
      <c r="L1916" s="10"/>
      <c r="M1916" s="12"/>
      <c r="N1916" s="10"/>
      <c r="O1916" s="10" t="s">
        <v>2054</v>
      </c>
      <c r="P1916" s="25" t="str">
        <f>IFERROR(
IF(OR(O1916="anulado",O1916="stand by"),CONCATENATE(O1916,": ",H1916),
IF(OR(YEAR(M1916)=2022,YEAR(M1916)=2023),CONCATENATE("Se activó en ",YEAR(M1916)),
IF(AND(OR(O1916="En proceso",O1916="facturando"),AND(J1916="-",M1916="")),"Por revisar",
IF(M1916="",IF(J1916="NUEVAS",CONCATENATE("Estado: ",O1916,", ",J1916),
IF(L1916=Meses!$A$3,"Por revisar",
IF(H1916="","Sin registro","En programación Frcst."))),"En programación")))),
"Error")</f>
        <v>En programación Frcst.</v>
      </c>
      <c r="Q1916" s="9" t="str">
        <f t="shared" si="90"/>
        <v/>
      </c>
      <c r="R1916" s="25" t="e">
        <f>IF(P1916="En programación Frcst.",VLOOKUP(L1916,Meses!$A$1:$H$14,3+HLOOKUP(Cronograma!J1916,Meses!$D$1:$G$2,2,FALSE),FALSE),
IF(P1916="En programación",M1916,""))</f>
        <v>#N/A</v>
      </c>
      <c r="S1916" s="25" t="str">
        <f t="shared" si="89"/>
        <v/>
      </c>
      <c r="T1916" s="21" t="str">
        <f>IFERROR(
(VLOOKUP(MONTH(R1916),Meses!$B$3:$C$14,2,FALSE)-DAY(R1916))/VLOOKUP(MONTH(R1916),Meses!$B$3:$C$14,2,FALSE)*U1916,
"")</f>
        <v/>
      </c>
      <c r="U1916" s="22">
        <f t="shared" si="91"/>
        <v>0</v>
      </c>
    </row>
    <row r="1917" spans="1:21" ht="31.8" hidden="1" thickBot="1" x14ac:dyDescent="0.6">
      <c r="A1917" s="10" t="s">
        <v>2943</v>
      </c>
      <c r="B1917" s="10" t="s">
        <v>2520</v>
      </c>
      <c r="C1917" s="12">
        <v>45029</v>
      </c>
      <c r="D1917" s="10" t="s">
        <v>323</v>
      </c>
      <c r="E1917" s="10" t="s">
        <v>291</v>
      </c>
      <c r="F1917" s="10"/>
      <c r="G1917" s="10" t="s">
        <v>15</v>
      </c>
      <c r="H1917" s="10" t="s">
        <v>17</v>
      </c>
      <c r="I1917" s="10" t="s">
        <v>66</v>
      </c>
      <c r="J1917" s="10"/>
      <c r="K1917" s="10"/>
      <c r="L1917" s="10"/>
      <c r="M1917" s="12"/>
      <c r="N1917" s="10"/>
      <c r="O1917" s="10" t="s">
        <v>2054</v>
      </c>
      <c r="P1917" s="25" t="str">
        <f>IFERROR(
IF(OR(O1917="anulado",O1917="stand by"),CONCATENATE(O1917,": ",H1917),
IF(OR(YEAR(M1917)=2022,YEAR(M1917)=2023),CONCATENATE("Se activó en ",YEAR(M1917)),
IF(AND(OR(O1917="En proceso",O1917="facturando"),AND(J1917="-",M1917="")),"Por revisar",
IF(M1917="",IF(J1917="NUEVAS",CONCATENATE("Estado: ",O1917,", ",J1917),
IF(L1917=Meses!$A$3,"Por revisar",
IF(H1917="","Sin registro","En programación Frcst."))),"En programación")))),
"Error")</f>
        <v>En programación Frcst.</v>
      </c>
      <c r="Q1917" s="9" t="str">
        <f t="shared" si="90"/>
        <v/>
      </c>
      <c r="R1917" s="25" t="e">
        <f>IF(P1917="En programación Frcst.",VLOOKUP(L1917,Meses!$A$1:$H$14,3+HLOOKUP(Cronograma!J1917,Meses!$D$1:$G$2,2,FALSE),FALSE),
IF(P1917="En programación",M1917,""))</f>
        <v>#N/A</v>
      </c>
      <c r="S1917" s="25" t="str">
        <f t="shared" ref="S1917:S1980" si="92">IFERROR(CONCATENATE(YEAR(R1917),"/",MONTH(R1917)),"")</f>
        <v/>
      </c>
      <c r="T1917" s="21" t="str">
        <f>IFERROR(
(VLOOKUP(MONTH(R1917),Meses!$B$3:$C$14,2,FALSE)-DAY(R1917))/VLOOKUP(MONTH(R1917),Meses!$B$3:$C$14,2,FALSE)*U1917,
"")</f>
        <v/>
      </c>
      <c r="U1917" s="22">
        <f t="shared" si="91"/>
        <v>0</v>
      </c>
    </row>
    <row r="1918" spans="1:21" ht="63" hidden="1" thickBot="1" x14ac:dyDescent="0.6">
      <c r="A1918" s="10" t="s">
        <v>2944</v>
      </c>
      <c r="B1918" s="10" t="s">
        <v>2521</v>
      </c>
      <c r="C1918" s="12">
        <v>45029</v>
      </c>
      <c r="D1918" s="10" t="s">
        <v>323</v>
      </c>
      <c r="E1918" s="10" t="s">
        <v>291</v>
      </c>
      <c r="F1918" s="10"/>
      <c r="G1918" s="10" t="s">
        <v>15</v>
      </c>
      <c r="H1918" s="10" t="s">
        <v>17</v>
      </c>
      <c r="I1918" s="10" t="s">
        <v>66</v>
      </c>
      <c r="J1918" s="10"/>
      <c r="K1918" s="10"/>
      <c r="L1918" s="10"/>
      <c r="M1918" s="12"/>
      <c r="N1918" s="10"/>
      <c r="O1918" s="10" t="s">
        <v>2054</v>
      </c>
      <c r="P1918" s="25" t="str">
        <f>IFERROR(
IF(OR(O1918="anulado",O1918="stand by"),CONCATENATE(O1918,": ",H1918),
IF(OR(YEAR(M1918)=2022,YEAR(M1918)=2023),CONCATENATE("Se activó en ",YEAR(M1918)),
IF(AND(OR(O1918="En proceso",O1918="facturando"),AND(J1918="-",M1918="")),"Por revisar",
IF(M1918="",IF(J1918="NUEVAS",CONCATENATE("Estado: ",O1918,", ",J1918),
IF(L1918=Meses!$A$3,"Por revisar",
IF(H1918="","Sin registro","En programación Frcst."))),"En programación")))),
"Error")</f>
        <v>En programación Frcst.</v>
      </c>
      <c r="Q1918" s="9" t="str">
        <f t="shared" si="90"/>
        <v/>
      </c>
      <c r="R1918" s="25" t="e">
        <f>IF(P1918="En programación Frcst.",VLOOKUP(L1918,Meses!$A$1:$H$14,3+HLOOKUP(Cronograma!J1918,Meses!$D$1:$G$2,2,FALSE),FALSE),
IF(P1918="En programación",M1918,""))</f>
        <v>#N/A</v>
      </c>
      <c r="S1918" s="25" t="str">
        <f t="shared" si="92"/>
        <v/>
      </c>
      <c r="T1918" s="21" t="str">
        <f>IFERROR(
(VLOOKUP(MONTH(R1918),Meses!$B$3:$C$14,2,FALSE)-DAY(R1918))/VLOOKUP(MONTH(R1918),Meses!$B$3:$C$14,2,FALSE)*U1918,
"")</f>
        <v/>
      </c>
      <c r="U1918" s="22">
        <f t="shared" si="91"/>
        <v>0</v>
      </c>
    </row>
    <row r="1919" spans="1:21" ht="63" hidden="1" thickBot="1" x14ac:dyDescent="0.6">
      <c r="A1919" s="10" t="s">
        <v>2945</v>
      </c>
      <c r="B1919" s="10" t="s">
        <v>2522</v>
      </c>
      <c r="C1919" s="12">
        <v>45029</v>
      </c>
      <c r="D1919" s="10" t="s">
        <v>323</v>
      </c>
      <c r="E1919" s="10" t="s">
        <v>291</v>
      </c>
      <c r="F1919" s="10"/>
      <c r="G1919" s="10" t="s">
        <v>15</v>
      </c>
      <c r="H1919" s="10" t="s">
        <v>17</v>
      </c>
      <c r="I1919" s="10" t="s">
        <v>66</v>
      </c>
      <c r="J1919" s="10"/>
      <c r="K1919" s="10"/>
      <c r="L1919" s="10"/>
      <c r="M1919" s="12"/>
      <c r="N1919" s="10"/>
      <c r="O1919" s="10" t="s">
        <v>2054</v>
      </c>
      <c r="P1919" s="25" t="str">
        <f>IFERROR(
IF(OR(O1919="anulado",O1919="stand by"),CONCATENATE(O1919,": ",H1919),
IF(OR(YEAR(M1919)=2022,YEAR(M1919)=2023),CONCATENATE("Se activó en ",YEAR(M1919)),
IF(AND(OR(O1919="En proceso",O1919="facturando"),AND(J1919="-",M1919="")),"Por revisar",
IF(M1919="",IF(J1919="NUEVAS",CONCATENATE("Estado: ",O1919,", ",J1919),
IF(L1919=Meses!$A$3,"Por revisar",
IF(H1919="","Sin registro","En programación Frcst."))),"En programación")))),
"Error")</f>
        <v>En programación Frcst.</v>
      </c>
      <c r="Q1919" s="9" t="str">
        <f t="shared" si="90"/>
        <v/>
      </c>
      <c r="R1919" s="25" t="e">
        <f>IF(P1919="En programación Frcst.",VLOOKUP(L1919,Meses!$A$1:$H$14,3+HLOOKUP(Cronograma!J1919,Meses!$D$1:$G$2,2,FALSE),FALSE),
IF(P1919="En programación",M1919,""))</f>
        <v>#N/A</v>
      </c>
      <c r="S1919" s="25" t="str">
        <f t="shared" si="92"/>
        <v/>
      </c>
      <c r="T1919" s="21" t="str">
        <f>IFERROR(
(VLOOKUP(MONTH(R1919),Meses!$B$3:$C$14,2,FALSE)-DAY(R1919))/VLOOKUP(MONTH(R1919),Meses!$B$3:$C$14,2,FALSE)*U1919,
"")</f>
        <v/>
      </c>
      <c r="U1919" s="22">
        <f t="shared" si="91"/>
        <v>0</v>
      </c>
    </row>
    <row r="1920" spans="1:21" ht="47.4" hidden="1" thickBot="1" x14ac:dyDescent="0.6">
      <c r="A1920" s="10" t="s">
        <v>2946</v>
      </c>
      <c r="B1920" s="10" t="s">
        <v>2523</v>
      </c>
      <c r="C1920" s="12">
        <v>45029</v>
      </c>
      <c r="D1920" s="10" t="s">
        <v>323</v>
      </c>
      <c r="E1920" s="10" t="s">
        <v>677</v>
      </c>
      <c r="F1920" s="10"/>
      <c r="G1920" s="10" t="s">
        <v>15</v>
      </c>
      <c r="H1920" s="10" t="s">
        <v>17</v>
      </c>
      <c r="I1920" s="10" t="s">
        <v>66</v>
      </c>
      <c r="J1920" s="10"/>
      <c r="K1920" s="10"/>
      <c r="L1920" s="10"/>
      <c r="M1920" s="12"/>
      <c r="N1920" s="10"/>
      <c r="O1920" s="10" t="s">
        <v>2054</v>
      </c>
      <c r="P1920" s="25" t="str">
        <f>IFERROR(
IF(OR(O1920="anulado",O1920="stand by"),CONCATENATE(O1920,": ",H1920),
IF(OR(YEAR(M1920)=2022,YEAR(M1920)=2023),CONCATENATE("Se activó en ",YEAR(M1920)),
IF(AND(OR(O1920="En proceso",O1920="facturando"),AND(J1920="-",M1920="")),"Por revisar",
IF(M1920="",IF(J1920="NUEVAS",CONCATENATE("Estado: ",O1920,", ",J1920),
IF(L1920=Meses!$A$3,"Por revisar",
IF(H1920="","Sin registro","En programación Frcst."))),"En programación")))),
"Error")</f>
        <v>En programación Frcst.</v>
      </c>
      <c r="Q1920" s="9" t="str">
        <f t="shared" si="90"/>
        <v/>
      </c>
      <c r="R1920" s="25" t="e">
        <f>IF(P1920="En programación Frcst.",VLOOKUP(L1920,Meses!$A$1:$H$14,3+HLOOKUP(Cronograma!J1920,Meses!$D$1:$G$2,2,FALSE),FALSE),
IF(P1920="En programación",M1920,""))</f>
        <v>#N/A</v>
      </c>
      <c r="S1920" s="25" t="str">
        <f t="shared" si="92"/>
        <v/>
      </c>
      <c r="T1920" s="21" t="str">
        <f>IFERROR(
(VLOOKUP(MONTH(R1920),Meses!$B$3:$C$14,2,FALSE)-DAY(R1920))/VLOOKUP(MONTH(R1920),Meses!$B$3:$C$14,2,FALSE)*U1920,
"")</f>
        <v/>
      </c>
      <c r="U1920" s="22">
        <f t="shared" si="91"/>
        <v>0</v>
      </c>
    </row>
    <row r="1921" spans="1:21" ht="47.4" hidden="1" thickBot="1" x14ac:dyDescent="0.6">
      <c r="A1921" s="10" t="s">
        <v>2946</v>
      </c>
      <c r="B1921" s="10" t="s">
        <v>2524</v>
      </c>
      <c r="C1921" s="12">
        <v>45029</v>
      </c>
      <c r="D1921" s="10" t="s">
        <v>323</v>
      </c>
      <c r="E1921" s="10" t="s">
        <v>677</v>
      </c>
      <c r="F1921" s="10"/>
      <c r="G1921" s="10" t="s">
        <v>15</v>
      </c>
      <c r="H1921" s="10" t="s">
        <v>17</v>
      </c>
      <c r="I1921" s="10" t="s">
        <v>66</v>
      </c>
      <c r="J1921" s="10"/>
      <c r="K1921" s="10"/>
      <c r="L1921" s="10"/>
      <c r="M1921" s="12"/>
      <c r="N1921" s="10"/>
      <c r="O1921" s="10" t="s">
        <v>2054</v>
      </c>
      <c r="P1921" s="25" t="str">
        <f>IFERROR(
IF(OR(O1921="anulado",O1921="stand by"),CONCATENATE(O1921,": ",H1921),
IF(OR(YEAR(M1921)=2022,YEAR(M1921)=2023),CONCATENATE("Se activó en ",YEAR(M1921)),
IF(AND(OR(O1921="En proceso",O1921="facturando"),AND(J1921="-",M1921="")),"Por revisar",
IF(M1921="",IF(J1921="NUEVAS",CONCATENATE("Estado: ",O1921,", ",J1921),
IF(L1921=Meses!$A$3,"Por revisar",
IF(H1921="","Sin registro","En programación Frcst."))),"En programación")))),
"Error")</f>
        <v>En programación Frcst.</v>
      </c>
      <c r="Q1921" s="9" t="str">
        <f t="shared" si="90"/>
        <v/>
      </c>
      <c r="R1921" s="25" t="e">
        <f>IF(P1921="En programación Frcst.",VLOOKUP(L1921,Meses!$A$1:$H$14,3+HLOOKUP(Cronograma!J1921,Meses!$D$1:$G$2,2,FALSE),FALSE),
IF(P1921="En programación",M1921,""))</f>
        <v>#N/A</v>
      </c>
      <c r="S1921" s="25" t="str">
        <f t="shared" si="92"/>
        <v/>
      </c>
      <c r="T1921" s="21" t="str">
        <f>IFERROR(
(VLOOKUP(MONTH(R1921),Meses!$B$3:$C$14,2,FALSE)-DAY(R1921))/VLOOKUP(MONTH(R1921),Meses!$B$3:$C$14,2,FALSE)*U1921,
"")</f>
        <v/>
      </c>
      <c r="U1921" s="22">
        <f t="shared" si="91"/>
        <v>0</v>
      </c>
    </row>
    <row r="1922" spans="1:21" ht="63" hidden="1" thickBot="1" x14ac:dyDescent="0.6">
      <c r="A1922" s="10" t="s">
        <v>2947</v>
      </c>
      <c r="B1922" s="10" t="s">
        <v>2525</v>
      </c>
      <c r="C1922" s="12">
        <v>45029</v>
      </c>
      <c r="D1922" s="10" t="s">
        <v>323</v>
      </c>
      <c r="E1922" s="10" t="s">
        <v>289</v>
      </c>
      <c r="F1922" s="10"/>
      <c r="G1922" s="10" t="s">
        <v>15</v>
      </c>
      <c r="H1922" s="10" t="s">
        <v>17</v>
      </c>
      <c r="I1922" s="10" t="s">
        <v>66</v>
      </c>
      <c r="J1922" s="10"/>
      <c r="K1922" s="10"/>
      <c r="L1922" s="10"/>
      <c r="M1922" s="12"/>
      <c r="N1922" s="10"/>
      <c r="O1922" s="10" t="s">
        <v>2054</v>
      </c>
      <c r="P1922" s="25" t="str">
        <f>IFERROR(
IF(OR(O1922="anulado",O1922="stand by"),CONCATENATE(O1922,": ",H1922),
IF(OR(YEAR(M1922)=2022,YEAR(M1922)=2023),CONCATENATE("Se activó en ",YEAR(M1922)),
IF(AND(OR(O1922="En proceso",O1922="facturando"),AND(J1922="-",M1922="")),"Por revisar",
IF(M1922="",IF(J1922="NUEVAS",CONCATENATE("Estado: ",O1922,", ",J1922),
IF(L1922=Meses!$A$3,"Por revisar",
IF(H1922="","Sin registro","En programación Frcst."))),"En programación")))),
"Error")</f>
        <v>En programación Frcst.</v>
      </c>
      <c r="Q1922" s="9" t="str">
        <f t="shared" ref="Q1922:Q1985" si="93">IF(P1922="Por revisar",CONCATENATE("programación de act. ",N1922,", estado: ",O1922,", Comercializador: ",D1922,", Etapa: ",H1922),"")</f>
        <v/>
      </c>
      <c r="R1922" s="25" t="e">
        <f>IF(P1922="En programación Frcst.",VLOOKUP(L1922,Meses!$A$1:$H$14,3+HLOOKUP(Cronograma!J1922,Meses!$D$1:$G$2,2,FALSE),FALSE),
IF(P1922="En programación",M1922,""))</f>
        <v>#N/A</v>
      </c>
      <c r="S1922" s="25" t="str">
        <f t="shared" si="92"/>
        <v/>
      </c>
      <c r="T1922" s="21" t="str">
        <f>IFERROR(
(VLOOKUP(MONTH(R1922),Meses!$B$3:$C$14,2,FALSE)-DAY(R1922))/VLOOKUP(MONTH(R1922),Meses!$B$3:$C$14,2,FALSE)*U1922,
"")</f>
        <v/>
      </c>
      <c r="U1922" s="22">
        <f t="shared" ref="U1922:U1985" si="94">F1922</f>
        <v>0</v>
      </c>
    </row>
    <row r="1923" spans="1:21" ht="63" hidden="1" thickBot="1" x14ac:dyDescent="0.6">
      <c r="A1923" s="10" t="s">
        <v>2947</v>
      </c>
      <c r="B1923" s="10" t="s">
        <v>2526</v>
      </c>
      <c r="C1923" s="12">
        <v>45029</v>
      </c>
      <c r="D1923" s="10" t="s">
        <v>323</v>
      </c>
      <c r="E1923" s="10" t="s">
        <v>289</v>
      </c>
      <c r="F1923" s="10"/>
      <c r="G1923" s="10" t="s">
        <v>15</v>
      </c>
      <c r="H1923" s="10" t="s">
        <v>17</v>
      </c>
      <c r="I1923" s="10" t="s">
        <v>66</v>
      </c>
      <c r="J1923" s="10"/>
      <c r="K1923" s="10"/>
      <c r="L1923" s="10"/>
      <c r="M1923" s="12"/>
      <c r="N1923" s="10"/>
      <c r="O1923" s="10" t="s">
        <v>2054</v>
      </c>
      <c r="P1923" s="25" t="str">
        <f>IFERROR(
IF(OR(O1923="anulado",O1923="stand by"),CONCATENATE(O1923,": ",H1923),
IF(OR(YEAR(M1923)=2022,YEAR(M1923)=2023),CONCATENATE("Se activó en ",YEAR(M1923)),
IF(AND(OR(O1923="En proceso",O1923="facturando"),AND(J1923="-",M1923="")),"Por revisar",
IF(M1923="",IF(J1923="NUEVAS",CONCATENATE("Estado: ",O1923,", ",J1923),
IF(L1923=Meses!$A$3,"Por revisar",
IF(H1923="","Sin registro","En programación Frcst."))),"En programación")))),
"Error")</f>
        <v>En programación Frcst.</v>
      </c>
      <c r="Q1923" s="9" t="str">
        <f t="shared" si="93"/>
        <v/>
      </c>
      <c r="R1923" s="25" t="e">
        <f>IF(P1923="En programación Frcst.",VLOOKUP(L1923,Meses!$A$1:$H$14,3+HLOOKUP(Cronograma!J1923,Meses!$D$1:$G$2,2,FALSE),FALSE),
IF(P1923="En programación",M1923,""))</f>
        <v>#N/A</v>
      </c>
      <c r="S1923" s="25" t="str">
        <f t="shared" si="92"/>
        <v/>
      </c>
      <c r="T1923" s="21" t="str">
        <f>IFERROR(
(VLOOKUP(MONTH(R1923),Meses!$B$3:$C$14,2,FALSE)-DAY(R1923))/VLOOKUP(MONTH(R1923),Meses!$B$3:$C$14,2,FALSE)*U1923,
"")</f>
        <v/>
      </c>
      <c r="U1923" s="22">
        <f t="shared" si="94"/>
        <v>0</v>
      </c>
    </row>
    <row r="1924" spans="1:21" ht="47.4" hidden="1" thickBot="1" x14ac:dyDescent="0.6">
      <c r="A1924" s="10" t="s">
        <v>2948</v>
      </c>
      <c r="B1924" s="10" t="s">
        <v>2527</v>
      </c>
      <c r="C1924" s="12">
        <v>45029</v>
      </c>
      <c r="D1924" s="10" t="s">
        <v>323</v>
      </c>
      <c r="E1924" s="10" t="s">
        <v>298</v>
      </c>
      <c r="F1924" s="10"/>
      <c r="G1924" s="10" t="s">
        <v>15</v>
      </c>
      <c r="H1924" s="10" t="s">
        <v>17</v>
      </c>
      <c r="I1924" s="10" t="s">
        <v>66</v>
      </c>
      <c r="J1924" s="10"/>
      <c r="K1924" s="10"/>
      <c r="L1924" s="10"/>
      <c r="M1924" s="12"/>
      <c r="N1924" s="10"/>
      <c r="O1924" s="10" t="s">
        <v>2054</v>
      </c>
      <c r="P1924" s="25" t="str">
        <f>IFERROR(
IF(OR(O1924="anulado",O1924="stand by"),CONCATENATE(O1924,": ",H1924),
IF(OR(YEAR(M1924)=2022,YEAR(M1924)=2023),CONCATENATE("Se activó en ",YEAR(M1924)),
IF(AND(OR(O1924="En proceso",O1924="facturando"),AND(J1924="-",M1924="")),"Por revisar",
IF(M1924="",IF(J1924="NUEVAS",CONCATENATE("Estado: ",O1924,", ",J1924),
IF(L1924=Meses!$A$3,"Por revisar",
IF(H1924="","Sin registro","En programación Frcst."))),"En programación")))),
"Error")</f>
        <v>En programación Frcst.</v>
      </c>
      <c r="Q1924" s="9" t="str">
        <f t="shared" si="93"/>
        <v/>
      </c>
      <c r="R1924" s="25" t="e">
        <f>IF(P1924="En programación Frcst.",VLOOKUP(L1924,Meses!$A$1:$H$14,3+HLOOKUP(Cronograma!J1924,Meses!$D$1:$G$2,2,FALSE),FALSE),
IF(P1924="En programación",M1924,""))</f>
        <v>#N/A</v>
      </c>
      <c r="S1924" s="25" t="str">
        <f t="shared" si="92"/>
        <v/>
      </c>
      <c r="T1924" s="21" t="str">
        <f>IFERROR(
(VLOOKUP(MONTH(R1924),Meses!$B$3:$C$14,2,FALSE)-DAY(R1924))/VLOOKUP(MONTH(R1924),Meses!$B$3:$C$14,2,FALSE)*U1924,
"")</f>
        <v/>
      </c>
      <c r="U1924" s="22">
        <f t="shared" si="94"/>
        <v>0</v>
      </c>
    </row>
    <row r="1925" spans="1:21" ht="47.4" hidden="1" thickBot="1" x14ac:dyDescent="0.6">
      <c r="A1925" s="10" t="s">
        <v>2949</v>
      </c>
      <c r="B1925" s="10" t="s">
        <v>2528</v>
      </c>
      <c r="C1925" s="12">
        <v>45029</v>
      </c>
      <c r="D1925" s="10" t="s">
        <v>323</v>
      </c>
      <c r="E1925" s="10" t="s">
        <v>291</v>
      </c>
      <c r="F1925" s="10"/>
      <c r="G1925" s="10" t="s">
        <v>15</v>
      </c>
      <c r="H1925" s="10" t="s">
        <v>17</v>
      </c>
      <c r="I1925" s="10" t="s">
        <v>66</v>
      </c>
      <c r="J1925" s="10"/>
      <c r="K1925" s="10"/>
      <c r="L1925" s="10"/>
      <c r="M1925" s="12"/>
      <c r="N1925" s="10"/>
      <c r="O1925" s="10" t="s">
        <v>2054</v>
      </c>
      <c r="P1925" s="25" t="str">
        <f>IFERROR(
IF(OR(O1925="anulado",O1925="stand by"),CONCATENATE(O1925,": ",H1925),
IF(OR(YEAR(M1925)=2022,YEAR(M1925)=2023),CONCATENATE("Se activó en ",YEAR(M1925)),
IF(AND(OR(O1925="En proceso",O1925="facturando"),AND(J1925="-",M1925="")),"Por revisar",
IF(M1925="",IF(J1925="NUEVAS",CONCATENATE("Estado: ",O1925,", ",J1925),
IF(L1925=Meses!$A$3,"Por revisar",
IF(H1925="","Sin registro","En programación Frcst."))),"En programación")))),
"Error")</f>
        <v>En programación Frcst.</v>
      </c>
      <c r="Q1925" s="9" t="str">
        <f t="shared" si="93"/>
        <v/>
      </c>
      <c r="R1925" s="25" t="e">
        <f>IF(P1925="En programación Frcst.",VLOOKUP(L1925,Meses!$A$1:$H$14,3+HLOOKUP(Cronograma!J1925,Meses!$D$1:$G$2,2,FALSE),FALSE),
IF(P1925="En programación",M1925,""))</f>
        <v>#N/A</v>
      </c>
      <c r="S1925" s="25" t="str">
        <f t="shared" si="92"/>
        <v/>
      </c>
      <c r="T1925" s="21" t="str">
        <f>IFERROR(
(VLOOKUP(MONTH(R1925),Meses!$B$3:$C$14,2,FALSE)-DAY(R1925))/VLOOKUP(MONTH(R1925),Meses!$B$3:$C$14,2,FALSE)*U1925,
"")</f>
        <v/>
      </c>
      <c r="U1925" s="22">
        <f t="shared" si="94"/>
        <v>0</v>
      </c>
    </row>
    <row r="1926" spans="1:21" ht="47.4" hidden="1" thickBot="1" x14ac:dyDescent="0.6">
      <c r="A1926" s="10" t="s">
        <v>2950</v>
      </c>
      <c r="B1926" s="10" t="s">
        <v>2529</v>
      </c>
      <c r="C1926" s="12">
        <v>45029</v>
      </c>
      <c r="D1926" s="10" t="s">
        <v>323</v>
      </c>
      <c r="E1926" s="10" t="s">
        <v>959</v>
      </c>
      <c r="F1926" s="10"/>
      <c r="G1926" s="10" t="s">
        <v>15</v>
      </c>
      <c r="H1926" s="10" t="s">
        <v>17</v>
      </c>
      <c r="I1926" s="10" t="s">
        <v>66</v>
      </c>
      <c r="J1926" s="10"/>
      <c r="K1926" s="10"/>
      <c r="L1926" s="10"/>
      <c r="M1926" s="12"/>
      <c r="N1926" s="10"/>
      <c r="O1926" s="10" t="s">
        <v>2054</v>
      </c>
      <c r="P1926" s="25" t="str">
        <f>IFERROR(
IF(OR(O1926="anulado",O1926="stand by"),CONCATENATE(O1926,": ",H1926),
IF(OR(YEAR(M1926)=2022,YEAR(M1926)=2023),CONCATENATE("Se activó en ",YEAR(M1926)),
IF(AND(OR(O1926="En proceso",O1926="facturando"),AND(J1926="-",M1926="")),"Por revisar",
IF(M1926="",IF(J1926="NUEVAS",CONCATENATE("Estado: ",O1926,", ",J1926),
IF(L1926=Meses!$A$3,"Por revisar",
IF(H1926="","Sin registro","En programación Frcst."))),"En programación")))),
"Error")</f>
        <v>En programación Frcst.</v>
      </c>
      <c r="Q1926" s="9" t="str">
        <f t="shared" si="93"/>
        <v/>
      </c>
      <c r="R1926" s="25" t="e">
        <f>IF(P1926="En programación Frcst.",VLOOKUP(L1926,Meses!$A$1:$H$14,3+HLOOKUP(Cronograma!J1926,Meses!$D$1:$G$2,2,FALSE),FALSE),
IF(P1926="En programación",M1926,""))</f>
        <v>#N/A</v>
      </c>
      <c r="S1926" s="25" t="str">
        <f t="shared" si="92"/>
        <v/>
      </c>
      <c r="T1926" s="21" t="str">
        <f>IFERROR(
(VLOOKUP(MONTH(R1926),Meses!$B$3:$C$14,2,FALSE)-DAY(R1926))/VLOOKUP(MONTH(R1926),Meses!$B$3:$C$14,2,FALSE)*U1926,
"")</f>
        <v/>
      </c>
      <c r="U1926" s="22">
        <f t="shared" si="94"/>
        <v>0</v>
      </c>
    </row>
    <row r="1927" spans="1:21" ht="31.8" hidden="1" thickBot="1" x14ac:dyDescent="0.6">
      <c r="A1927" s="10" t="s">
        <v>2951</v>
      </c>
      <c r="B1927" s="10" t="s">
        <v>2530</v>
      </c>
      <c r="C1927" s="12">
        <v>45029</v>
      </c>
      <c r="D1927" s="10" t="s">
        <v>323</v>
      </c>
      <c r="E1927" s="10" t="s">
        <v>14</v>
      </c>
      <c r="F1927" s="10"/>
      <c r="G1927" s="10" t="s">
        <v>15</v>
      </c>
      <c r="H1927" s="10" t="s">
        <v>17</v>
      </c>
      <c r="I1927" s="10" t="s">
        <v>66</v>
      </c>
      <c r="J1927" s="10"/>
      <c r="K1927" s="10"/>
      <c r="L1927" s="10"/>
      <c r="M1927" s="12"/>
      <c r="N1927" s="10"/>
      <c r="O1927" s="10" t="s">
        <v>2054</v>
      </c>
      <c r="P1927" s="25" t="str">
        <f>IFERROR(
IF(OR(O1927="anulado",O1927="stand by"),CONCATENATE(O1927,": ",H1927),
IF(OR(YEAR(M1927)=2022,YEAR(M1927)=2023),CONCATENATE("Se activó en ",YEAR(M1927)),
IF(AND(OR(O1927="En proceso",O1927="facturando"),AND(J1927="-",M1927="")),"Por revisar",
IF(M1927="",IF(J1927="NUEVAS",CONCATENATE("Estado: ",O1927,", ",J1927),
IF(L1927=Meses!$A$3,"Por revisar",
IF(H1927="","Sin registro","En programación Frcst."))),"En programación")))),
"Error")</f>
        <v>En programación Frcst.</v>
      </c>
      <c r="Q1927" s="9" t="str">
        <f t="shared" si="93"/>
        <v/>
      </c>
      <c r="R1927" s="25" t="e">
        <f>IF(P1927="En programación Frcst.",VLOOKUP(L1927,Meses!$A$1:$H$14,3+HLOOKUP(Cronograma!J1927,Meses!$D$1:$G$2,2,FALSE),FALSE),
IF(P1927="En programación",M1927,""))</f>
        <v>#N/A</v>
      </c>
      <c r="S1927" s="25" t="str">
        <f t="shared" si="92"/>
        <v/>
      </c>
      <c r="T1927" s="21" t="str">
        <f>IFERROR(
(VLOOKUP(MONTH(R1927),Meses!$B$3:$C$14,2,FALSE)-DAY(R1927))/VLOOKUP(MONTH(R1927),Meses!$B$3:$C$14,2,FALSE)*U1927,
"")</f>
        <v/>
      </c>
      <c r="U1927" s="22">
        <f t="shared" si="94"/>
        <v>0</v>
      </c>
    </row>
    <row r="1928" spans="1:21" ht="47.4" hidden="1" thickBot="1" x14ac:dyDescent="0.6">
      <c r="A1928" s="10" t="s">
        <v>2952</v>
      </c>
      <c r="B1928" s="10" t="s">
        <v>2531</v>
      </c>
      <c r="C1928" s="12">
        <v>45029</v>
      </c>
      <c r="D1928" s="10" t="s">
        <v>323</v>
      </c>
      <c r="E1928" s="10" t="s">
        <v>677</v>
      </c>
      <c r="F1928" s="10"/>
      <c r="G1928" s="10" t="s">
        <v>15</v>
      </c>
      <c r="H1928" s="10" t="s">
        <v>17</v>
      </c>
      <c r="I1928" s="10" t="s">
        <v>66</v>
      </c>
      <c r="J1928" s="10"/>
      <c r="K1928" s="10"/>
      <c r="L1928" s="10"/>
      <c r="M1928" s="12"/>
      <c r="N1928" s="10"/>
      <c r="O1928" s="10" t="s">
        <v>2054</v>
      </c>
      <c r="P1928" s="25" t="str">
        <f>IFERROR(
IF(OR(O1928="anulado",O1928="stand by"),CONCATENATE(O1928,": ",H1928),
IF(OR(YEAR(M1928)=2022,YEAR(M1928)=2023),CONCATENATE("Se activó en ",YEAR(M1928)),
IF(AND(OR(O1928="En proceso",O1928="facturando"),AND(J1928="-",M1928="")),"Por revisar",
IF(M1928="",IF(J1928="NUEVAS",CONCATENATE("Estado: ",O1928,", ",J1928),
IF(L1928=Meses!$A$3,"Por revisar",
IF(H1928="","Sin registro","En programación Frcst."))),"En programación")))),
"Error")</f>
        <v>En programación Frcst.</v>
      </c>
      <c r="Q1928" s="9" t="str">
        <f t="shared" si="93"/>
        <v/>
      </c>
      <c r="R1928" s="25" t="e">
        <f>IF(P1928="En programación Frcst.",VLOOKUP(L1928,Meses!$A$1:$H$14,3+HLOOKUP(Cronograma!J1928,Meses!$D$1:$G$2,2,FALSE),FALSE),
IF(P1928="En programación",M1928,""))</f>
        <v>#N/A</v>
      </c>
      <c r="S1928" s="25" t="str">
        <f t="shared" si="92"/>
        <v/>
      </c>
      <c r="T1928" s="21" t="str">
        <f>IFERROR(
(VLOOKUP(MONTH(R1928),Meses!$B$3:$C$14,2,FALSE)-DAY(R1928))/VLOOKUP(MONTH(R1928),Meses!$B$3:$C$14,2,FALSE)*U1928,
"")</f>
        <v/>
      </c>
      <c r="U1928" s="22">
        <f t="shared" si="94"/>
        <v>0</v>
      </c>
    </row>
    <row r="1929" spans="1:21" ht="47.4" hidden="1" thickBot="1" x14ac:dyDescent="0.6">
      <c r="A1929" s="10" t="s">
        <v>2952</v>
      </c>
      <c r="B1929" s="10" t="s">
        <v>2532</v>
      </c>
      <c r="C1929" s="12">
        <v>45029</v>
      </c>
      <c r="D1929" s="10" t="s">
        <v>323</v>
      </c>
      <c r="E1929" s="10" t="s">
        <v>677</v>
      </c>
      <c r="F1929" s="10"/>
      <c r="G1929" s="10" t="s">
        <v>15</v>
      </c>
      <c r="H1929" s="10" t="s">
        <v>17</v>
      </c>
      <c r="I1929" s="10" t="s">
        <v>66</v>
      </c>
      <c r="J1929" s="10"/>
      <c r="K1929" s="10"/>
      <c r="L1929" s="10"/>
      <c r="M1929" s="12"/>
      <c r="N1929" s="10"/>
      <c r="O1929" s="10" t="s">
        <v>2054</v>
      </c>
      <c r="P1929" s="25" t="str">
        <f>IFERROR(
IF(OR(O1929="anulado",O1929="stand by"),CONCATENATE(O1929,": ",H1929),
IF(OR(YEAR(M1929)=2022,YEAR(M1929)=2023),CONCATENATE("Se activó en ",YEAR(M1929)),
IF(AND(OR(O1929="En proceso",O1929="facturando"),AND(J1929="-",M1929="")),"Por revisar",
IF(M1929="",IF(J1929="NUEVAS",CONCATENATE("Estado: ",O1929,", ",J1929),
IF(L1929=Meses!$A$3,"Por revisar",
IF(H1929="","Sin registro","En programación Frcst."))),"En programación")))),
"Error")</f>
        <v>En programación Frcst.</v>
      </c>
      <c r="Q1929" s="9" t="str">
        <f t="shared" si="93"/>
        <v/>
      </c>
      <c r="R1929" s="25" t="e">
        <f>IF(P1929="En programación Frcst.",VLOOKUP(L1929,Meses!$A$1:$H$14,3+HLOOKUP(Cronograma!J1929,Meses!$D$1:$G$2,2,FALSE),FALSE),
IF(P1929="En programación",M1929,""))</f>
        <v>#N/A</v>
      </c>
      <c r="S1929" s="25" t="str">
        <f t="shared" si="92"/>
        <v/>
      </c>
      <c r="T1929" s="21" t="str">
        <f>IFERROR(
(VLOOKUP(MONTH(R1929),Meses!$B$3:$C$14,2,FALSE)-DAY(R1929))/VLOOKUP(MONTH(R1929),Meses!$B$3:$C$14,2,FALSE)*U1929,
"")</f>
        <v/>
      </c>
      <c r="U1929" s="22">
        <f t="shared" si="94"/>
        <v>0</v>
      </c>
    </row>
    <row r="1930" spans="1:21" ht="47.4" hidden="1" thickBot="1" x14ac:dyDescent="0.6">
      <c r="A1930" s="10" t="s">
        <v>2953</v>
      </c>
      <c r="B1930" s="10" t="s">
        <v>2533</v>
      </c>
      <c r="C1930" s="12">
        <v>45029</v>
      </c>
      <c r="D1930" s="10" t="s">
        <v>323</v>
      </c>
      <c r="E1930" s="10" t="s">
        <v>298</v>
      </c>
      <c r="F1930" s="10"/>
      <c r="G1930" s="10" t="s">
        <v>15</v>
      </c>
      <c r="H1930" s="10" t="s">
        <v>17</v>
      </c>
      <c r="I1930" s="10" t="s">
        <v>66</v>
      </c>
      <c r="J1930" s="10"/>
      <c r="K1930" s="10"/>
      <c r="L1930" s="10"/>
      <c r="M1930" s="12"/>
      <c r="N1930" s="10"/>
      <c r="O1930" s="10" t="s">
        <v>2054</v>
      </c>
      <c r="P1930" s="25" t="str">
        <f>IFERROR(
IF(OR(O1930="anulado",O1930="stand by"),CONCATENATE(O1930,": ",H1930),
IF(OR(YEAR(M1930)=2022,YEAR(M1930)=2023),CONCATENATE("Se activó en ",YEAR(M1930)),
IF(AND(OR(O1930="En proceso",O1930="facturando"),AND(J1930="-",M1930="")),"Por revisar",
IF(M1930="",IF(J1930="NUEVAS",CONCATENATE("Estado: ",O1930,", ",J1930),
IF(L1930=Meses!$A$3,"Por revisar",
IF(H1930="","Sin registro","En programación Frcst."))),"En programación")))),
"Error")</f>
        <v>En programación Frcst.</v>
      </c>
      <c r="Q1930" s="9" t="str">
        <f t="shared" si="93"/>
        <v/>
      </c>
      <c r="R1930" s="25" t="e">
        <f>IF(P1930="En programación Frcst.",VLOOKUP(L1930,Meses!$A$1:$H$14,3+HLOOKUP(Cronograma!J1930,Meses!$D$1:$G$2,2,FALSE),FALSE),
IF(P1930="En programación",M1930,""))</f>
        <v>#N/A</v>
      </c>
      <c r="S1930" s="25" t="str">
        <f t="shared" si="92"/>
        <v/>
      </c>
      <c r="T1930" s="21" t="str">
        <f>IFERROR(
(VLOOKUP(MONTH(R1930),Meses!$B$3:$C$14,2,FALSE)-DAY(R1930))/VLOOKUP(MONTH(R1930),Meses!$B$3:$C$14,2,FALSE)*U1930,
"")</f>
        <v/>
      </c>
      <c r="U1930" s="22">
        <f t="shared" si="94"/>
        <v>0</v>
      </c>
    </row>
    <row r="1931" spans="1:21" ht="31.8" hidden="1" thickBot="1" x14ac:dyDescent="0.6">
      <c r="A1931" s="10" t="s">
        <v>2954</v>
      </c>
      <c r="B1931" s="10" t="s">
        <v>2534</v>
      </c>
      <c r="C1931" s="12">
        <v>45029</v>
      </c>
      <c r="D1931" s="10" t="s">
        <v>323</v>
      </c>
      <c r="E1931" s="10" t="s">
        <v>298</v>
      </c>
      <c r="F1931" s="10"/>
      <c r="G1931" s="10" t="s">
        <v>15</v>
      </c>
      <c r="H1931" s="10" t="s">
        <v>17</v>
      </c>
      <c r="I1931" s="10" t="s">
        <v>66</v>
      </c>
      <c r="J1931" s="10"/>
      <c r="K1931" s="10"/>
      <c r="L1931" s="10"/>
      <c r="M1931" s="12"/>
      <c r="N1931" s="10"/>
      <c r="O1931" s="10" t="s">
        <v>2054</v>
      </c>
      <c r="P1931" s="25" t="str">
        <f>IFERROR(
IF(OR(O1931="anulado",O1931="stand by"),CONCATENATE(O1931,": ",H1931),
IF(OR(YEAR(M1931)=2022,YEAR(M1931)=2023),CONCATENATE("Se activó en ",YEAR(M1931)),
IF(AND(OR(O1931="En proceso",O1931="facturando"),AND(J1931="-",M1931="")),"Por revisar",
IF(M1931="",IF(J1931="NUEVAS",CONCATENATE("Estado: ",O1931,", ",J1931),
IF(L1931=Meses!$A$3,"Por revisar",
IF(H1931="","Sin registro","En programación Frcst."))),"En programación")))),
"Error")</f>
        <v>En programación Frcst.</v>
      </c>
      <c r="Q1931" s="9" t="str">
        <f t="shared" si="93"/>
        <v/>
      </c>
      <c r="R1931" s="25" t="e">
        <f>IF(P1931="En programación Frcst.",VLOOKUP(L1931,Meses!$A$1:$H$14,3+HLOOKUP(Cronograma!J1931,Meses!$D$1:$G$2,2,FALSE),FALSE),
IF(P1931="En programación",M1931,""))</f>
        <v>#N/A</v>
      </c>
      <c r="S1931" s="25" t="str">
        <f t="shared" si="92"/>
        <v/>
      </c>
      <c r="T1931" s="21" t="str">
        <f>IFERROR(
(VLOOKUP(MONTH(R1931),Meses!$B$3:$C$14,2,FALSE)-DAY(R1931))/VLOOKUP(MONTH(R1931),Meses!$B$3:$C$14,2,FALSE)*U1931,
"")</f>
        <v/>
      </c>
      <c r="U1931" s="22">
        <f t="shared" si="94"/>
        <v>0</v>
      </c>
    </row>
    <row r="1932" spans="1:21" ht="63" hidden="1" thickBot="1" x14ac:dyDescent="0.6">
      <c r="A1932" s="10" t="s">
        <v>2955</v>
      </c>
      <c r="B1932" s="10" t="s">
        <v>2535</v>
      </c>
      <c r="C1932" s="12">
        <v>45029</v>
      </c>
      <c r="D1932" s="10" t="s">
        <v>323</v>
      </c>
      <c r="E1932" s="10" t="s">
        <v>14</v>
      </c>
      <c r="F1932" s="10"/>
      <c r="G1932" s="10" t="s">
        <v>15</v>
      </c>
      <c r="H1932" s="10" t="s">
        <v>17</v>
      </c>
      <c r="I1932" s="10" t="s">
        <v>66</v>
      </c>
      <c r="J1932" s="10"/>
      <c r="K1932" s="10"/>
      <c r="L1932" s="10"/>
      <c r="M1932" s="12"/>
      <c r="N1932" s="10"/>
      <c r="O1932" s="10" t="s">
        <v>2054</v>
      </c>
      <c r="P1932" s="25" t="str">
        <f>IFERROR(
IF(OR(O1932="anulado",O1932="stand by"),CONCATENATE(O1932,": ",H1932),
IF(OR(YEAR(M1932)=2022,YEAR(M1932)=2023),CONCATENATE("Se activó en ",YEAR(M1932)),
IF(AND(OR(O1932="En proceso",O1932="facturando"),AND(J1932="-",M1932="")),"Por revisar",
IF(M1932="",IF(J1932="NUEVAS",CONCATENATE("Estado: ",O1932,", ",J1932),
IF(L1932=Meses!$A$3,"Por revisar",
IF(H1932="","Sin registro","En programación Frcst."))),"En programación")))),
"Error")</f>
        <v>En programación Frcst.</v>
      </c>
      <c r="Q1932" s="9" t="str">
        <f t="shared" si="93"/>
        <v/>
      </c>
      <c r="R1932" s="25" t="e">
        <f>IF(P1932="En programación Frcst.",VLOOKUP(L1932,Meses!$A$1:$H$14,3+HLOOKUP(Cronograma!J1932,Meses!$D$1:$G$2,2,FALSE),FALSE),
IF(P1932="En programación",M1932,""))</f>
        <v>#N/A</v>
      </c>
      <c r="S1932" s="25" t="str">
        <f t="shared" si="92"/>
        <v/>
      </c>
      <c r="T1932" s="21" t="str">
        <f>IFERROR(
(VLOOKUP(MONTH(R1932),Meses!$B$3:$C$14,2,FALSE)-DAY(R1932))/VLOOKUP(MONTH(R1932),Meses!$B$3:$C$14,2,FALSE)*U1932,
"")</f>
        <v/>
      </c>
      <c r="U1932" s="22">
        <f t="shared" si="94"/>
        <v>0</v>
      </c>
    </row>
    <row r="1933" spans="1:21" ht="47.4" hidden="1" thickBot="1" x14ac:dyDescent="0.6">
      <c r="A1933" s="10" t="s">
        <v>2956</v>
      </c>
      <c r="B1933" s="10" t="s">
        <v>2536</v>
      </c>
      <c r="C1933" s="12">
        <v>45029</v>
      </c>
      <c r="D1933" s="10" t="s">
        <v>323</v>
      </c>
      <c r="E1933" s="10" t="s">
        <v>289</v>
      </c>
      <c r="F1933" s="10"/>
      <c r="G1933" s="10" t="s">
        <v>15</v>
      </c>
      <c r="H1933" s="10" t="s">
        <v>17</v>
      </c>
      <c r="I1933" s="10" t="s">
        <v>66</v>
      </c>
      <c r="J1933" s="10"/>
      <c r="K1933" s="10"/>
      <c r="L1933" s="10"/>
      <c r="M1933" s="12"/>
      <c r="N1933" s="10"/>
      <c r="O1933" s="10" t="s">
        <v>2054</v>
      </c>
      <c r="P1933" s="25" t="str">
        <f>IFERROR(
IF(OR(O1933="anulado",O1933="stand by"),CONCATENATE(O1933,": ",H1933),
IF(OR(YEAR(M1933)=2022,YEAR(M1933)=2023),CONCATENATE("Se activó en ",YEAR(M1933)),
IF(AND(OR(O1933="En proceso",O1933="facturando"),AND(J1933="-",M1933="")),"Por revisar",
IF(M1933="",IF(J1933="NUEVAS",CONCATENATE("Estado: ",O1933,", ",J1933),
IF(L1933=Meses!$A$3,"Por revisar",
IF(H1933="","Sin registro","En programación Frcst."))),"En programación")))),
"Error")</f>
        <v>En programación Frcst.</v>
      </c>
      <c r="Q1933" s="9" t="str">
        <f t="shared" si="93"/>
        <v/>
      </c>
      <c r="R1933" s="25" t="e">
        <f>IF(P1933="En programación Frcst.",VLOOKUP(L1933,Meses!$A$1:$H$14,3+HLOOKUP(Cronograma!J1933,Meses!$D$1:$G$2,2,FALSE),FALSE),
IF(P1933="En programación",M1933,""))</f>
        <v>#N/A</v>
      </c>
      <c r="S1933" s="25" t="str">
        <f t="shared" si="92"/>
        <v/>
      </c>
      <c r="T1933" s="21" t="str">
        <f>IFERROR(
(VLOOKUP(MONTH(R1933),Meses!$B$3:$C$14,2,FALSE)-DAY(R1933))/VLOOKUP(MONTH(R1933),Meses!$B$3:$C$14,2,FALSE)*U1933,
"")</f>
        <v/>
      </c>
      <c r="U1933" s="22">
        <f t="shared" si="94"/>
        <v>0</v>
      </c>
    </row>
    <row r="1934" spans="1:21" ht="47.4" hidden="1" thickBot="1" x14ac:dyDescent="0.6">
      <c r="A1934" s="10" t="s">
        <v>2957</v>
      </c>
      <c r="B1934" s="10" t="s">
        <v>2537</v>
      </c>
      <c r="C1934" s="12">
        <v>45029</v>
      </c>
      <c r="D1934" s="10" t="s">
        <v>323</v>
      </c>
      <c r="E1934" s="10" t="s">
        <v>959</v>
      </c>
      <c r="F1934" s="10"/>
      <c r="G1934" s="10" t="s">
        <v>15</v>
      </c>
      <c r="H1934" s="10" t="s">
        <v>17</v>
      </c>
      <c r="I1934" s="10" t="s">
        <v>66</v>
      </c>
      <c r="J1934" s="10"/>
      <c r="K1934" s="10"/>
      <c r="L1934" s="10"/>
      <c r="M1934" s="12"/>
      <c r="N1934" s="10"/>
      <c r="O1934" s="10" t="s">
        <v>2054</v>
      </c>
      <c r="P1934" s="25" t="str">
        <f>IFERROR(
IF(OR(O1934="anulado",O1934="stand by"),CONCATENATE(O1934,": ",H1934),
IF(OR(YEAR(M1934)=2022,YEAR(M1934)=2023),CONCATENATE("Se activó en ",YEAR(M1934)),
IF(AND(OR(O1934="En proceso",O1934="facturando"),AND(J1934="-",M1934="")),"Por revisar",
IF(M1934="",IF(J1934="NUEVAS",CONCATENATE("Estado: ",O1934,", ",J1934),
IF(L1934=Meses!$A$3,"Por revisar",
IF(H1934="","Sin registro","En programación Frcst."))),"En programación")))),
"Error")</f>
        <v>En programación Frcst.</v>
      </c>
      <c r="Q1934" s="9" t="str">
        <f t="shared" si="93"/>
        <v/>
      </c>
      <c r="R1934" s="25" t="e">
        <f>IF(P1934="En programación Frcst.",VLOOKUP(L1934,Meses!$A$1:$H$14,3+HLOOKUP(Cronograma!J1934,Meses!$D$1:$G$2,2,FALSE),FALSE),
IF(P1934="En programación",M1934,""))</f>
        <v>#N/A</v>
      </c>
      <c r="S1934" s="25" t="str">
        <f t="shared" si="92"/>
        <v/>
      </c>
      <c r="T1934" s="21" t="str">
        <f>IFERROR(
(VLOOKUP(MONTH(R1934),Meses!$B$3:$C$14,2,FALSE)-DAY(R1934))/VLOOKUP(MONTH(R1934),Meses!$B$3:$C$14,2,FALSE)*U1934,
"")</f>
        <v/>
      </c>
      <c r="U1934" s="22">
        <f t="shared" si="94"/>
        <v>0</v>
      </c>
    </row>
    <row r="1935" spans="1:21" ht="47.4" hidden="1" thickBot="1" x14ac:dyDescent="0.6">
      <c r="A1935" s="10" t="s">
        <v>2958</v>
      </c>
      <c r="B1935" s="10" t="s">
        <v>2538</v>
      </c>
      <c r="C1935" s="12">
        <v>45029</v>
      </c>
      <c r="D1935" s="10" t="s">
        <v>323</v>
      </c>
      <c r="E1935" s="10" t="s">
        <v>959</v>
      </c>
      <c r="F1935" s="10"/>
      <c r="G1935" s="10" t="s">
        <v>15</v>
      </c>
      <c r="H1935" s="10" t="s">
        <v>17</v>
      </c>
      <c r="I1935" s="10" t="s">
        <v>66</v>
      </c>
      <c r="J1935" s="10"/>
      <c r="K1935" s="10"/>
      <c r="L1935" s="10"/>
      <c r="M1935" s="12"/>
      <c r="N1935" s="10"/>
      <c r="O1935" s="10" t="s">
        <v>2054</v>
      </c>
      <c r="P1935" s="25" t="str">
        <f>IFERROR(
IF(OR(O1935="anulado",O1935="stand by"),CONCATENATE(O1935,": ",H1935),
IF(OR(YEAR(M1935)=2022,YEAR(M1935)=2023),CONCATENATE("Se activó en ",YEAR(M1935)),
IF(AND(OR(O1935="En proceso",O1935="facturando"),AND(J1935="-",M1935="")),"Por revisar",
IF(M1935="",IF(J1935="NUEVAS",CONCATENATE("Estado: ",O1935,", ",J1935),
IF(L1935=Meses!$A$3,"Por revisar",
IF(H1935="","Sin registro","En programación Frcst."))),"En programación")))),
"Error")</f>
        <v>En programación Frcst.</v>
      </c>
      <c r="Q1935" s="9" t="str">
        <f t="shared" si="93"/>
        <v/>
      </c>
      <c r="R1935" s="25" t="e">
        <f>IF(P1935="En programación Frcst.",VLOOKUP(L1935,Meses!$A$1:$H$14,3+HLOOKUP(Cronograma!J1935,Meses!$D$1:$G$2,2,FALSE),FALSE),
IF(P1935="En programación",M1935,""))</f>
        <v>#N/A</v>
      </c>
      <c r="S1935" s="25" t="str">
        <f t="shared" si="92"/>
        <v/>
      </c>
      <c r="T1935" s="21" t="str">
        <f>IFERROR(
(VLOOKUP(MONTH(R1935),Meses!$B$3:$C$14,2,FALSE)-DAY(R1935))/VLOOKUP(MONTH(R1935),Meses!$B$3:$C$14,2,FALSE)*U1935,
"")</f>
        <v/>
      </c>
      <c r="U1935" s="22">
        <f t="shared" si="94"/>
        <v>0</v>
      </c>
    </row>
    <row r="1936" spans="1:21" ht="63" hidden="1" thickBot="1" x14ac:dyDescent="0.6">
      <c r="A1936" s="10" t="s">
        <v>2959</v>
      </c>
      <c r="B1936" s="10" t="s">
        <v>2539</v>
      </c>
      <c r="C1936" s="12">
        <v>45029</v>
      </c>
      <c r="D1936" s="10" t="s">
        <v>323</v>
      </c>
      <c r="E1936" s="10" t="s">
        <v>291</v>
      </c>
      <c r="F1936" s="10"/>
      <c r="G1936" s="10" t="s">
        <v>15</v>
      </c>
      <c r="H1936" s="10" t="s">
        <v>17</v>
      </c>
      <c r="I1936" s="10" t="s">
        <v>66</v>
      </c>
      <c r="J1936" s="10"/>
      <c r="K1936" s="10"/>
      <c r="L1936" s="10"/>
      <c r="M1936" s="12"/>
      <c r="N1936" s="10"/>
      <c r="O1936" s="10" t="s">
        <v>2054</v>
      </c>
      <c r="P1936" s="25" t="str">
        <f>IFERROR(
IF(OR(O1936="anulado",O1936="stand by"),CONCATENATE(O1936,": ",H1936),
IF(OR(YEAR(M1936)=2022,YEAR(M1936)=2023),CONCATENATE("Se activó en ",YEAR(M1936)),
IF(AND(OR(O1936="En proceso",O1936="facturando"),AND(J1936="-",M1936="")),"Por revisar",
IF(M1936="",IF(J1936="NUEVAS",CONCATENATE("Estado: ",O1936,", ",J1936),
IF(L1936=Meses!$A$3,"Por revisar",
IF(H1936="","Sin registro","En programación Frcst."))),"En programación")))),
"Error")</f>
        <v>En programación Frcst.</v>
      </c>
      <c r="Q1936" s="9" t="str">
        <f t="shared" si="93"/>
        <v/>
      </c>
      <c r="R1936" s="25" t="e">
        <f>IF(P1936="En programación Frcst.",VLOOKUP(L1936,Meses!$A$1:$H$14,3+HLOOKUP(Cronograma!J1936,Meses!$D$1:$G$2,2,FALSE),FALSE),
IF(P1936="En programación",M1936,""))</f>
        <v>#N/A</v>
      </c>
      <c r="S1936" s="25" t="str">
        <f t="shared" si="92"/>
        <v/>
      </c>
      <c r="T1936" s="21" t="str">
        <f>IFERROR(
(VLOOKUP(MONTH(R1936),Meses!$B$3:$C$14,2,FALSE)-DAY(R1936))/VLOOKUP(MONTH(R1936),Meses!$B$3:$C$14,2,FALSE)*U1936,
"")</f>
        <v/>
      </c>
      <c r="U1936" s="22">
        <f t="shared" si="94"/>
        <v>0</v>
      </c>
    </row>
    <row r="1937" spans="1:21" ht="31.8" hidden="1" thickBot="1" x14ac:dyDescent="0.6">
      <c r="A1937" s="10" t="s">
        <v>2960</v>
      </c>
      <c r="B1937" s="10" t="s">
        <v>2540</v>
      </c>
      <c r="C1937" s="12">
        <v>45029</v>
      </c>
      <c r="D1937" s="10" t="s">
        <v>323</v>
      </c>
      <c r="E1937" s="10" t="s">
        <v>289</v>
      </c>
      <c r="F1937" s="10"/>
      <c r="G1937" s="10" t="s">
        <v>15</v>
      </c>
      <c r="H1937" s="10" t="s">
        <v>17</v>
      </c>
      <c r="I1937" s="10" t="s">
        <v>66</v>
      </c>
      <c r="J1937" s="10"/>
      <c r="K1937" s="10"/>
      <c r="L1937" s="10"/>
      <c r="M1937" s="12"/>
      <c r="N1937" s="10"/>
      <c r="O1937" s="10" t="s">
        <v>2054</v>
      </c>
      <c r="P1937" s="25" t="str">
        <f>IFERROR(
IF(OR(O1937="anulado",O1937="stand by"),CONCATENATE(O1937,": ",H1937),
IF(OR(YEAR(M1937)=2022,YEAR(M1937)=2023),CONCATENATE("Se activó en ",YEAR(M1937)),
IF(AND(OR(O1937="En proceso",O1937="facturando"),AND(J1937="-",M1937="")),"Por revisar",
IF(M1937="",IF(J1937="NUEVAS",CONCATENATE("Estado: ",O1937,", ",J1937),
IF(L1937=Meses!$A$3,"Por revisar",
IF(H1937="","Sin registro","En programación Frcst."))),"En programación")))),
"Error")</f>
        <v>En programación Frcst.</v>
      </c>
      <c r="Q1937" s="9" t="str">
        <f t="shared" si="93"/>
        <v/>
      </c>
      <c r="R1937" s="25" t="e">
        <f>IF(P1937="En programación Frcst.",VLOOKUP(L1937,Meses!$A$1:$H$14,3+HLOOKUP(Cronograma!J1937,Meses!$D$1:$G$2,2,FALSE),FALSE),
IF(P1937="En programación",M1937,""))</f>
        <v>#N/A</v>
      </c>
      <c r="S1937" s="25" t="str">
        <f t="shared" si="92"/>
        <v/>
      </c>
      <c r="T1937" s="21" t="str">
        <f>IFERROR(
(VLOOKUP(MONTH(R1937),Meses!$B$3:$C$14,2,FALSE)-DAY(R1937))/VLOOKUP(MONTH(R1937),Meses!$B$3:$C$14,2,FALSE)*U1937,
"")</f>
        <v/>
      </c>
      <c r="U1937" s="22">
        <f t="shared" si="94"/>
        <v>0</v>
      </c>
    </row>
    <row r="1938" spans="1:21" ht="78.599999999999994" hidden="1" thickBot="1" x14ac:dyDescent="0.6">
      <c r="A1938" s="10" t="s">
        <v>2961</v>
      </c>
      <c r="B1938" s="10" t="s">
        <v>2541</v>
      </c>
      <c r="C1938" s="12">
        <v>45029</v>
      </c>
      <c r="D1938" s="10" t="s">
        <v>323</v>
      </c>
      <c r="E1938" s="10" t="s">
        <v>14</v>
      </c>
      <c r="F1938" s="10"/>
      <c r="G1938" s="10" t="s">
        <v>15</v>
      </c>
      <c r="H1938" s="10" t="s">
        <v>17</v>
      </c>
      <c r="I1938" s="10" t="s">
        <v>66</v>
      </c>
      <c r="J1938" s="10"/>
      <c r="K1938" s="10"/>
      <c r="L1938" s="10"/>
      <c r="M1938" s="12"/>
      <c r="N1938" s="10"/>
      <c r="O1938" s="10" t="s">
        <v>2054</v>
      </c>
      <c r="P1938" s="25" t="str">
        <f>IFERROR(
IF(OR(O1938="anulado",O1938="stand by"),CONCATENATE(O1938,": ",H1938),
IF(OR(YEAR(M1938)=2022,YEAR(M1938)=2023),CONCATENATE("Se activó en ",YEAR(M1938)),
IF(AND(OR(O1938="En proceso",O1938="facturando"),AND(J1938="-",M1938="")),"Por revisar",
IF(M1938="",IF(J1938="NUEVAS",CONCATENATE("Estado: ",O1938,", ",J1938),
IF(L1938=Meses!$A$3,"Por revisar",
IF(H1938="","Sin registro","En programación Frcst."))),"En programación")))),
"Error")</f>
        <v>En programación Frcst.</v>
      </c>
      <c r="Q1938" s="9" t="str">
        <f t="shared" si="93"/>
        <v/>
      </c>
      <c r="R1938" s="25" t="e">
        <f>IF(P1938="En programación Frcst.",VLOOKUP(L1938,Meses!$A$1:$H$14,3+HLOOKUP(Cronograma!J1938,Meses!$D$1:$G$2,2,FALSE),FALSE),
IF(P1938="En programación",M1938,""))</f>
        <v>#N/A</v>
      </c>
      <c r="S1938" s="25" t="str">
        <f t="shared" si="92"/>
        <v/>
      </c>
      <c r="T1938" s="21" t="str">
        <f>IFERROR(
(VLOOKUP(MONTH(R1938),Meses!$B$3:$C$14,2,FALSE)-DAY(R1938))/VLOOKUP(MONTH(R1938),Meses!$B$3:$C$14,2,FALSE)*U1938,
"")</f>
        <v/>
      </c>
      <c r="U1938" s="22">
        <f t="shared" si="94"/>
        <v>0</v>
      </c>
    </row>
    <row r="1939" spans="1:21" ht="78.599999999999994" hidden="1" thickBot="1" x14ac:dyDescent="0.6">
      <c r="A1939" s="10" t="s">
        <v>2962</v>
      </c>
      <c r="B1939" s="10" t="s">
        <v>2542</v>
      </c>
      <c r="C1939" s="12">
        <v>45036</v>
      </c>
      <c r="D1939" s="10" t="s">
        <v>323</v>
      </c>
      <c r="E1939" s="10" t="s">
        <v>14</v>
      </c>
      <c r="F1939" s="10"/>
      <c r="G1939" s="10" t="s">
        <v>15</v>
      </c>
      <c r="H1939" s="10" t="s">
        <v>17</v>
      </c>
      <c r="I1939" s="10" t="s">
        <v>66</v>
      </c>
      <c r="J1939" s="10"/>
      <c r="K1939" s="10"/>
      <c r="L1939" s="10"/>
      <c r="M1939" s="12"/>
      <c r="N1939" s="10"/>
      <c r="O1939" s="10" t="s">
        <v>2054</v>
      </c>
      <c r="P1939" s="25" t="str">
        <f>IFERROR(
IF(OR(O1939="anulado",O1939="stand by"),CONCATENATE(O1939,": ",H1939),
IF(OR(YEAR(M1939)=2022,YEAR(M1939)=2023),CONCATENATE("Se activó en ",YEAR(M1939)),
IF(AND(OR(O1939="En proceso",O1939="facturando"),AND(J1939="-",M1939="")),"Por revisar",
IF(M1939="",IF(J1939="NUEVAS",CONCATENATE("Estado: ",O1939,", ",J1939),
IF(L1939=Meses!$A$3,"Por revisar",
IF(H1939="","Sin registro","En programación Frcst."))),"En programación")))),
"Error")</f>
        <v>En programación Frcst.</v>
      </c>
      <c r="Q1939" s="9" t="str">
        <f t="shared" si="93"/>
        <v/>
      </c>
      <c r="R1939" s="25" t="e">
        <f>IF(P1939="En programación Frcst.",VLOOKUP(L1939,Meses!$A$1:$H$14,3+HLOOKUP(Cronograma!J1939,Meses!$D$1:$G$2,2,FALSE),FALSE),
IF(P1939="En programación",M1939,""))</f>
        <v>#N/A</v>
      </c>
      <c r="S1939" s="25" t="str">
        <f t="shared" si="92"/>
        <v/>
      </c>
      <c r="T1939" s="21" t="str">
        <f>IFERROR(
(VLOOKUP(MONTH(R1939),Meses!$B$3:$C$14,2,FALSE)-DAY(R1939))/VLOOKUP(MONTH(R1939),Meses!$B$3:$C$14,2,FALSE)*U1939,
"")</f>
        <v/>
      </c>
      <c r="U1939" s="22">
        <f t="shared" si="94"/>
        <v>0</v>
      </c>
    </row>
    <row r="1940" spans="1:21" ht="63" hidden="1" thickBot="1" x14ac:dyDescent="0.6">
      <c r="A1940" s="10" t="s">
        <v>2963</v>
      </c>
      <c r="B1940" s="10" t="s">
        <v>2543</v>
      </c>
      <c r="C1940" s="12">
        <v>45029</v>
      </c>
      <c r="D1940" s="10" t="s">
        <v>323</v>
      </c>
      <c r="E1940" s="10" t="s">
        <v>14</v>
      </c>
      <c r="F1940" s="10"/>
      <c r="G1940" s="10" t="s">
        <v>15</v>
      </c>
      <c r="H1940" s="10" t="s">
        <v>17</v>
      </c>
      <c r="I1940" s="10" t="s">
        <v>66</v>
      </c>
      <c r="J1940" s="10"/>
      <c r="K1940" s="10"/>
      <c r="L1940" s="10"/>
      <c r="M1940" s="12"/>
      <c r="N1940" s="10"/>
      <c r="O1940" s="10" t="s">
        <v>2054</v>
      </c>
      <c r="P1940" s="25" t="str">
        <f>IFERROR(
IF(OR(O1940="anulado",O1940="stand by"),CONCATENATE(O1940,": ",H1940),
IF(OR(YEAR(M1940)=2022,YEAR(M1940)=2023),CONCATENATE("Se activó en ",YEAR(M1940)),
IF(AND(OR(O1940="En proceso",O1940="facturando"),AND(J1940="-",M1940="")),"Por revisar",
IF(M1940="",IF(J1940="NUEVAS",CONCATENATE("Estado: ",O1940,", ",J1940),
IF(L1940=Meses!$A$3,"Por revisar",
IF(H1940="","Sin registro","En programación Frcst."))),"En programación")))),
"Error")</f>
        <v>En programación Frcst.</v>
      </c>
      <c r="Q1940" s="9" t="str">
        <f t="shared" si="93"/>
        <v/>
      </c>
      <c r="R1940" s="25" t="e">
        <f>IF(P1940="En programación Frcst.",VLOOKUP(L1940,Meses!$A$1:$H$14,3+HLOOKUP(Cronograma!J1940,Meses!$D$1:$G$2,2,FALSE),FALSE),
IF(P1940="En programación",M1940,""))</f>
        <v>#N/A</v>
      </c>
      <c r="S1940" s="25" t="str">
        <f t="shared" si="92"/>
        <v/>
      </c>
      <c r="T1940" s="21" t="str">
        <f>IFERROR(
(VLOOKUP(MONTH(R1940),Meses!$B$3:$C$14,2,FALSE)-DAY(R1940))/VLOOKUP(MONTH(R1940),Meses!$B$3:$C$14,2,FALSE)*U1940,
"")</f>
        <v/>
      </c>
      <c r="U1940" s="22">
        <f t="shared" si="94"/>
        <v>0</v>
      </c>
    </row>
    <row r="1941" spans="1:21" ht="31.8" hidden="1" thickBot="1" x14ac:dyDescent="0.6">
      <c r="A1941" s="10" t="s">
        <v>2964</v>
      </c>
      <c r="B1941" s="10" t="s">
        <v>2544</v>
      </c>
      <c r="C1941" s="12">
        <v>45029</v>
      </c>
      <c r="D1941" s="10" t="s">
        <v>323</v>
      </c>
      <c r="E1941" s="10" t="s">
        <v>291</v>
      </c>
      <c r="F1941" s="10"/>
      <c r="G1941" s="10" t="s">
        <v>15</v>
      </c>
      <c r="H1941" s="10" t="s">
        <v>17</v>
      </c>
      <c r="I1941" s="10" t="s">
        <v>66</v>
      </c>
      <c r="J1941" s="10"/>
      <c r="K1941" s="10"/>
      <c r="L1941" s="10"/>
      <c r="M1941" s="12"/>
      <c r="N1941" s="10"/>
      <c r="O1941" s="10" t="s">
        <v>2054</v>
      </c>
      <c r="P1941" s="25" t="str">
        <f>IFERROR(
IF(OR(O1941="anulado",O1941="stand by"),CONCATENATE(O1941,": ",H1941),
IF(OR(YEAR(M1941)=2022,YEAR(M1941)=2023),CONCATENATE("Se activó en ",YEAR(M1941)),
IF(AND(OR(O1941="En proceso",O1941="facturando"),AND(J1941="-",M1941="")),"Por revisar",
IF(M1941="",IF(J1941="NUEVAS",CONCATENATE("Estado: ",O1941,", ",J1941),
IF(L1941=Meses!$A$3,"Por revisar",
IF(H1941="","Sin registro","En programación Frcst."))),"En programación")))),
"Error")</f>
        <v>En programación Frcst.</v>
      </c>
      <c r="Q1941" s="9" t="str">
        <f t="shared" si="93"/>
        <v/>
      </c>
      <c r="R1941" s="25" t="e">
        <f>IF(P1941="En programación Frcst.",VLOOKUP(L1941,Meses!$A$1:$H$14,3+HLOOKUP(Cronograma!J1941,Meses!$D$1:$G$2,2,FALSE),FALSE),
IF(P1941="En programación",M1941,""))</f>
        <v>#N/A</v>
      </c>
      <c r="S1941" s="25" t="str">
        <f t="shared" si="92"/>
        <v/>
      </c>
      <c r="T1941" s="21" t="str">
        <f>IFERROR(
(VLOOKUP(MONTH(R1941),Meses!$B$3:$C$14,2,FALSE)-DAY(R1941))/VLOOKUP(MONTH(R1941),Meses!$B$3:$C$14,2,FALSE)*U1941,
"")</f>
        <v/>
      </c>
      <c r="U1941" s="22">
        <f t="shared" si="94"/>
        <v>0</v>
      </c>
    </row>
    <row r="1942" spans="1:21" ht="63" hidden="1" thickBot="1" x14ac:dyDescent="0.6">
      <c r="A1942" s="10" t="s">
        <v>2965</v>
      </c>
      <c r="B1942" s="10" t="s">
        <v>2545</v>
      </c>
      <c r="C1942" s="12">
        <v>45029</v>
      </c>
      <c r="D1942" s="10" t="s">
        <v>323</v>
      </c>
      <c r="E1942" s="10" t="s">
        <v>291</v>
      </c>
      <c r="F1942" s="10"/>
      <c r="G1942" s="10" t="s">
        <v>15</v>
      </c>
      <c r="H1942" s="10" t="s">
        <v>17</v>
      </c>
      <c r="I1942" s="10" t="s">
        <v>66</v>
      </c>
      <c r="J1942" s="10"/>
      <c r="K1942" s="10"/>
      <c r="L1942" s="10"/>
      <c r="M1942" s="12"/>
      <c r="N1942" s="10"/>
      <c r="O1942" s="10" t="s">
        <v>2054</v>
      </c>
      <c r="P1942" s="25" t="str">
        <f>IFERROR(
IF(OR(O1942="anulado",O1942="stand by"),CONCATENATE(O1942,": ",H1942),
IF(OR(YEAR(M1942)=2022,YEAR(M1942)=2023),CONCATENATE("Se activó en ",YEAR(M1942)),
IF(AND(OR(O1942="En proceso",O1942="facturando"),AND(J1942="-",M1942="")),"Por revisar",
IF(M1942="",IF(J1942="NUEVAS",CONCATENATE("Estado: ",O1942,", ",J1942),
IF(L1942=Meses!$A$3,"Por revisar",
IF(H1942="","Sin registro","En programación Frcst."))),"En programación")))),
"Error")</f>
        <v>En programación Frcst.</v>
      </c>
      <c r="Q1942" s="9" t="str">
        <f t="shared" si="93"/>
        <v/>
      </c>
      <c r="R1942" s="25" t="e">
        <f>IF(P1942="En programación Frcst.",VLOOKUP(L1942,Meses!$A$1:$H$14,3+HLOOKUP(Cronograma!J1942,Meses!$D$1:$G$2,2,FALSE),FALSE),
IF(P1942="En programación",M1942,""))</f>
        <v>#N/A</v>
      </c>
      <c r="S1942" s="25" t="str">
        <f t="shared" si="92"/>
        <v/>
      </c>
      <c r="T1942" s="21" t="str">
        <f>IFERROR(
(VLOOKUP(MONTH(R1942),Meses!$B$3:$C$14,2,FALSE)-DAY(R1942))/VLOOKUP(MONTH(R1942),Meses!$B$3:$C$14,2,FALSE)*U1942,
"")</f>
        <v/>
      </c>
      <c r="U1942" s="22">
        <f t="shared" si="94"/>
        <v>0</v>
      </c>
    </row>
    <row r="1943" spans="1:21" ht="63" hidden="1" thickBot="1" x14ac:dyDescent="0.6">
      <c r="A1943" s="10" t="s">
        <v>2965</v>
      </c>
      <c r="B1943" s="10" t="s">
        <v>2546</v>
      </c>
      <c r="C1943" s="12">
        <v>45029</v>
      </c>
      <c r="D1943" s="10" t="s">
        <v>323</v>
      </c>
      <c r="E1943" s="10" t="s">
        <v>291</v>
      </c>
      <c r="F1943" s="10"/>
      <c r="G1943" s="10" t="s">
        <v>15</v>
      </c>
      <c r="H1943" s="10" t="s">
        <v>17</v>
      </c>
      <c r="I1943" s="10" t="s">
        <v>66</v>
      </c>
      <c r="J1943" s="10"/>
      <c r="K1943" s="10"/>
      <c r="L1943" s="10"/>
      <c r="M1943" s="12"/>
      <c r="N1943" s="10"/>
      <c r="O1943" s="10" t="s">
        <v>2054</v>
      </c>
      <c r="P1943" s="25" t="str">
        <f>IFERROR(
IF(OR(O1943="anulado",O1943="stand by"),CONCATENATE(O1943,": ",H1943),
IF(OR(YEAR(M1943)=2022,YEAR(M1943)=2023),CONCATENATE("Se activó en ",YEAR(M1943)),
IF(AND(OR(O1943="En proceso",O1943="facturando"),AND(J1943="-",M1943="")),"Por revisar",
IF(M1943="",IF(J1943="NUEVAS",CONCATENATE("Estado: ",O1943,", ",J1943),
IF(L1943=Meses!$A$3,"Por revisar",
IF(H1943="","Sin registro","En programación Frcst."))),"En programación")))),
"Error")</f>
        <v>En programación Frcst.</v>
      </c>
      <c r="Q1943" s="9" t="str">
        <f t="shared" si="93"/>
        <v/>
      </c>
      <c r="R1943" s="25" t="e">
        <f>IF(P1943="En programación Frcst.",VLOOKUP(L1943,Meses!$A$1:$H$14,3+HLOOKUP(Cronograma!J1943,Meses!$D$1:$G$2,2,FALSE),FALSE),
IF(P1943="En programación",M1943,""))</f>
        <v>#N/A</v>
      </c>
      <c r="S1943" s="25" t="str">
        <f t="shared" si="92"/>
        <v/>
      </c>
      <c r="T1943" s="21" t="str">
        <f>IFERROR(
(VLOOKUP(MONTH(R1943),Meses!$B$3:$C$14,2,FALSE)-DAY(R1943))/VLOOKUP(MONTH(R1943),Meses!$B$3:$C$14,2,FALSE)*U1943,
"")</f>
        <v/>
      </c>
      <c r="U1943" s="22">
        <f t="shared" si="94"/>
        <v>0</v>
      </c>
    </row>
    <row r="1944" spans="1:21" ht="63" hidden="1" thickBot="1" x14ac:dyDescent="0.6">
      <c r="A1944" s="10" t="s">
        <v>2966</v>
      </c>
      <c r="B1944" s="10" t="s">
        <v>2547</v>
      </c>
      <c r="C1944" s="12">
        <v>45029</v>
      </c>
      <c r="D1944" s="10" t="s">
        <v>323</v>
      </c>
      <c r="E1944" s="10" t="s">
        <v>23</v>
      </c>
      <c r="F1944" s="10"/>
      <c r="G1944" s="10" t="s">
        <v>15</v>
      </c>
      <c r="H1944" s="10" t="s">
        <v>17</v>
      </c>
      <c r="I1944" s="10" t="s">
        <v>66</v>
      </c>
      <c r="J1944" s="10"/>
      <c r="K1944" s="10"/>
      <c r="L1944" s="10"/>
      <c r="M1944" s="12"/>
      <c r="N1944" s="10"/>
      <c r="O1944" s="10" t="s">
        <v>2054</v>
      </c>
      <c r="P1944" s="25" t="str">
        <f>IFERROR(
IF(OR(O1944="anulado",O1944="stand by"),CONCATENATE(O1944,": ",H1944),
IF(OR(YEAR(M1944)=2022,YEAR(M1944)=2023),CONCATENATE("Se activó en ",YEAR(M1944)),
IF(AND(OR(O1944="En proceso",O1944="facturando"),AND(J1944="-",M1944="")),"Por revisar",
IF(M1944="",IF(J1944="NUEVAS",CONCATENATE("Estado: ",O1944,", ",J1944),
IF(L1944=Meses!$A$3,"Por revisar",
IF(H1944="","Sin registro","En programación Frcst."))),"En programación")))),
"Error")</f>
        <v>En programación Frcst.</v>
      </c>
      <c r="Q1944" s="9" t="str">
        <f t="shared" si="93"/>
        <v/>
      </c>
      <c r="R1944" s="25" t="e">
        <f>IF(P1944="En programación Frcst.",VLOOKUP(L1944,Meses!$A$1:$H$14,3+HLOOKUP(Cronograma!J1944,Meses!$D$1:$G$2,2,FALSE),FALSE),
IF(P1944="En programación",M1944,""))</f>
        <v>#N/A</v>
      </c>
      <c r="S1944" s="25" t="str">
        <f t="shared" si="92"/>
        <v/>
      </c>
      <c r="T1944" s="21" t="str">
        <f>IFERROR(
(VLOOKUP(MONTH(R1944),Meses!$B$3:$C$14,2,FALSE)-DAY(R1944))/VLOOKUP(MONTH(R1944),Meses!$B$3:$C$14,2,FALSE)*U1944,
"")</f>
        <v/>
      </c>
      <c r="U1944" s="22">
        <f t="shared" si="94"/>
        <v>0</v>
      </c>
    </row>
    <row r="1945" spans="1:21" ht="31.8" hidden="1" thickBot="1" x14ac:dyDescent="0.6">
      <c r="A1945" s="10" t="s">
        <v>2967</v>
      </c>
      <c r="B1945" s="10" t="s">
        <v>2548</v>
      </c>
      <c r="C1945" s="12">
        <v>45036</v>
      </c>
      <c r="D1945" s="10" t="s">
        <v>323</v>
      </c>
      <c r="E1945" s="10" t="s">
        <v>14</v>
      </c>
      <c r="F1945" s="10"/>
      <c r="G1945" s="10" t="s">
        <v>15</v>
      </c>
      <c r="H1945" s="10" t="s">
        <v>17</v>
      </c>
      <c r="I1945" s="10" t="s">
        <v>66</v>
      </c>
      <c r="J1945" s="10"/>
      <c r="K1945" s="10"/>
      <c r="L1945" s="10"/>
      <c r="M1945" s="12"/>
      <c r="N1945" s="10"/>
      <c r="O1945" s="10" t="s">
        <v>2054</v>
      </c>
      <c r="P1945" s="25" t="str">
        <f>IFERROR(
IF(OR(O1945="anulado",O1945="stand by"),CONCATENATE(O1945,": ",H1945),
IF(OR(YEAR(M1945)=2022,YEAR(M1945)=2023),CONCATENATE("Se activó en ",YEAR(M1945)),
IF(AND(OR(O1945="En proceso",O1945="facturando"),AND(J1945="-",M1945="")),"Por revisar",
IF(M1945="",IF(J1945="NUEVAS",CONCATENATE("Estado: ",O1945,", ",J1945),
IF(L1945=Meses!$A$3,"Por revisar",
IF(H1945="","Sin registro","En programación Frcst."))),"En programación")))),
"Error")</f>
        <v>En programación Frcst.</v>
      </c>
      <c r="Q1945" s="9" t="str">
        <f t="shared" si="93"/>
        <v/>
      </c>
      <c r="R1945" s="25" t="e">
        <f>IF(P1945="En programación Frcst.",VLOOKUP(L1945,Meses!$A$1:$H$14,3+HLOOKUP(Cronograma!J1945,Meses!$D$1:$G$2,2,FALSE),FALSE),
IF(P1945="En programación",M1945,""))</f>
        <v>#N/A</v>
      </c>
      <c r="S1945" s="25" t="str">
        <f t="shared" si="92"/>
        <v/>
      </c>
      <c r="T1945" s="21" t="str">
        <f>IFERROR(
(VLOOKUP(MONTH(R1945),Meses!$B$3:$C$14,2,FALSE)-DAY(R1945))/VLOOKUP(MONTH(R1945),Meses!$B$3:$C$14,2,FALSE)*U1945,
"")</f>
        <v/>
      </c>
      <c r="U1945" s="22">
        <f t="shared" si="94"/>
        <v>0</v>
      </c>
    </row>
    <row r="1946" spans="1:21" ht="63" hidden="1" thickBot="1" x14ac:dyDescent="0.6">
      <c r="A1946" s="10" t="s">
        <v>2968</v>
      </c>
      <c r="B1946" s="10" t="s">
        <v>2549</v>
      </c>
      <c r="C1946" s="12">
        <v>45029</v>
      </c>
      <c r="D1946" s="10" t="s">
        <v>323</v>
      </c>
      <c r="E1946" s="10" t="s">
        <v>959</v>
      </c>
      <c r="F1946" s="10"/>
      <c r="G1946" s="10" t="s">
        <v>15</v>
      </c>
      <c r="H1946" s="10" t="s">
        <v>17</v>
      </c>
      <c r="I1946" s="10" t="s">
        <v>66</v>
      </c>
      <c r="J1946" s="10"/>
      <c r="K1946" s="10"/>
      <c r="L1946" s="10"/>
      <c r="M1946" s="12"/>
      <c r="N1946" s="10"/>
      <c r="O1946" s="10" t="s">
        <v>2054</v>
      </c>
      <c r="P1946" s="25" t="str">
        <f>IFERROR(
IF(OR(O1946="anulado",O1946="stand by"),CONCATENATE(O1946,": ",H1946),
IF(OR(YEAR(M1946)=2022,YEAR(M1946)=2023),CONCATENATE("Se activó en ",YEAR(M1946)),
IF(AND(OR(O1946="En proceso",O1946="facturando"),AND(J1946="-",M1946="")),"Por revisar",
IF(M1946="",IF(J1946="NUEVAS",CONCATENATE("Estado: ",O1946,", ",J1946),
IF(L1946=Meses!$A$3,"Por revisar",
IF(H1946="","Sin registro","En programación Frcst."))),"En programación")))),
"Error")</f>
        <v>En programación Frcst.</v>
      </c>
      <c r="Q1946" s="9" t="str">
        <f t="shared" si="93"/>
        <v/>
      </c>
      <c r="R1946" s="25" t="e">
        <f>IF(P1946="En programación Frcst.",VLOOKUP(L1946,Meses!$A$1:$H$14,3+HLOOKUP(Cronograma!J1946,Meses!$D$1:$G$2,2,FALSE),FALSE),
IF(P1946="En programación",M1946,""))</f>
        <v>#N/A</v>
      </c>
      <c r="S1946" s="25" t="str">
        <f t="shared" si="92"/>
        <v/>
      </c>
      <c r="T1946" s="21" t="str">
        <f>IFERROR(
(VLOOKUP(MONTH(R1946),Meses!$B$3:$C$14,2,FALSE)-DAY(R1946))/VLOOKUP(MONTH(R1946),Meses!$B$3:$C$14,2,FALSE)*U1946,
"")</f>
        <v/>
      </c>
      <c r="U1946" s="22">
        <f t="shared" si="94"/>
        <v>0</v>
      </c>
    </row>
    <row r="1947" spans="1:21" ht="31.8" hidden="1" thickBot="1" x14ac:dyDescent="0.6">
      <c r="A1947" s="10" t="s">
        <v>2969</v>
      </c>
      <c r="B1947" s="10" t="s">
        <v>2550</v>
      </c>
      <c r="C1947" s="12">
        <v>45036</v>
      </c>
      <c r="D1947" s="10" t="s">
        <v>323</v>
      </c>
      <c r="E1947" s="10" t="s">
        <v>14</v>
      </c>
      <c r="F1947" s="10"/>
      <c r="G1947" s="10" t="s">
        <v>15</v>
      </c>
      <c r="H1947" s="10" t="s">
        <v>17</v>
      </c>
      <c r="I1947" s="10" t="s">
        <v>66</v>
      </c>
      <c r="J1947" s="10"/>
      <c r="K1947" s="10"/>
      <c r="L1947" s="10"/>
      <c r="M1947" s="12"/>
      <c r="N1947" s="10"/>
      <c r="O1947" s="10" t="s">
        <v>2054</v>
      </c>
      <c r="P1947" s="25" t="str">
        <f>IFERROR(
IF(OR(O1947="anulado",O1947="stand by"),CONCATENATE(O1947,": ",H1947),
IF(OR(YEAR(M1947)=2022,YEAR(M1947)=2023),CONCATENATE("Se activó en ",YEAR(M1947)),
IF(AND(OR(O1947="En proceso",O1947="facturando"),AND(J1947="-",M1947="")),"Por revisar",
IF(M1947="",IF(J1947="NUEVAS",CONCATENATE("Estado: ",O1947,", ",J1947),
IF(L1947=Meses!$A$3,"Por revisar",
IF(H1947="","Sin registro","En programación Frcst."))),"En programación")))),
"Error")</f>
        <v>En programación Frcst.</v>
      </c>
      <c r="Q1947" s="9" t="str">
        <f t="shared" si="93"/>
        <v/>
      </c>
      <c r="R1947" s="25" t="e">
        <f>IF(P1947="En programación Frcst.",VLOOKUP(L1947,Meses!$A$1:$H$14,3+HLOOKUP(Cronograma!J1947,Meses!$D$1:$G$2,2,FALSE),FALSE),
IF(P1947="En programación",M1947,""))</f>
        <v>#N/A</v>
      </c>
      <c r="S1947" s="25" t="str">
        <f t="shared" si="92"/>
        <v/>
      </c>
      <c r="T1947" s="21" t="str">
        <f>IFERROR(
(VLOOKUP(MONTH(R1947),Meses!$B$3:$C$14,2,FALSE)-DAY(R1947))/VLOOKUP(MONTH(R1947),Meses!$B$3:$C$14,2,FALSE)*U1947,
"")</f>
        <v/>
      </c>
      <c r="U1947" s="22">
        <f t="shared" si="94"/>
        <v>0</v>
      </c>
    </row>
    <row r="1948" spans="1:21" ht="47.4" hidden="1" thickBot="1" x14ac:dyDescent="0.6">
      <c r="A1948" s="10" t="s">
        <v>2970</v>
      </c>
      <c r="B1948" s="10" t="s">
        <v>2551</v>
      </c>
      <c r="C1948" s="12">
        <v>45029</v>
      </c>
      <c r="D1948" s="10" t="s">
        <v>323</v>
      </c>
      <c r="E1948" s="10" t="s">
        <v>23</v>
      </c>
      <c r="F1948" s="10"/>
      <c r="G1948" s="10" t="s">
        <v>15</v>
      </c>
      <c r="H1948" s="10" t="s">
        <v>17</v>
      </c>
      <c r="I1948" s="10" t="s">
        <v>66</v>
      </c>
      <c r="J1948" s="10"/>
      <c r="K1948" s="10"/>
      <c r="L1948" s="10"/>
      <c r="M1948" s="12"/>
      <c r="N1948" s="10"/>
      <c r="O1948" s="10" t="s">
        <v>2054</v>
      </c>
      <c r="P1948" s="25" t="str">
        <f>IFERROR(
IF(OR(O1948="anulado",O1948="stand by"),CONCATENATE(O1948,": ",H1948),
IF(OR(YEAR(M1948)=2022,YEAR(M1948)=2023),CONCATENATE("Se activó en ",YEAR(M1948)),
IF(AND(OR(O1948="En proceso",O1948="facturando"),AND(J1948="-",M1948="")),"Por revisar",
IF(M1948="",IF(J1948="NUEVAS",CONCATENATE("Estado: ",O1948,", ",J1948),
IF(L1948=Meses!$A$3,"Por revisar",
IF(H1948="","Sin registro","En programación Frcst."))),"En programación")))),
"Error")</f>
        <v>En programación Frcst.</v>
      </c>
      <c r="Q1948" s="9" t="str">
        <f t="shared" si="93"/>
        <v/>
      </c>
      <c r="R1948" s="25" t="e">
        <f>IF(P1948="En programación Frcst.",VLOOKUP(L1948,Meses!$A$1:$H$14,3+HLOOKUP(Cronograma!J1948,Meses!$D$1:$G$2,2,FALSE),FALSE),
IF(P1948="En programación",M1948,""))</f>
        <v>#N/A</v>
      </c>
      <c r="S1948" s="25" t="str">
        <f t="shared" si="92"/>
        <v/>
      </c>
      <c r="T1948" s="21" t="str">
        <f>IFERROR(
(VLOOKUP(MONTH(R1948),Meses!$B$3:$C$14,2,FALSE)-DAY(R1948))/VLOOKUP(MONTH(R1948),Meses!$B$3:$C$14,2,FALSE)*U1948,
"")</f>
        <v/>
      </c>
      <c r="U1948" s="22">
        <f t="shared" si="94"/>
        <v>0</v>
      </c>
    </row>
    <row r="1949" spans="1:21" ht="63" hidden="1" thickBot="1" x14ac:dyDescent="0.6">
      <c r="A1949" s="10" t="s">
        <v>2971</v>
      </c>
      <c r="B1949" s="10" t="s">
        <v>2552</v>
      </c>
      <c r="C1949" s="12">
        <v>45029</v>
      </c>
      <c r="D1949" s="10" t="s">
        <v>323</v>
      </c>
      <c r="E1949" s="10" t="s">
        <v>959</v>
      </c>
      <c r="F1949" s="10"/>
      <c r="G1949" s="10" t="s">
        <v>15</v>
      </c>
      <c r="H1949" s="10" t="s">
        <v>17</v>
      </c>
      <c r="I1949" s="10" t="s">
        <v>66</v>
      </c>
      <c r="J1949" s="10"/>
      <c r="K1949" s="10"/>
      <c r="L1949" s="10"/>
      <c r="M1949" s="12"/>
      <c r="N1949" s="10"/>
      <c r="O1949" s="10" t="s">
        <v>2054</v>
      </c>
      <c r="P1949" s="25" t="str">
        <f>IFERROR(
IF(OR(O1949="anulado",O1949="stand by"),CONCATENATE(O1949,": ",H1949),
IF(OR(YEAR(M1949)=2022,YEAR(M1949)=2023),CONCATENATE("Se activó en ",YEAR(M1949)),
IF(AND(OR(O1949="En proceso",O1949="facturando"),AND(J1949="-",M1949="")),"Por revisar",
IF(M1949="",IF(J1949="NUEVAS",CONCATENATE("Estado: ",O1949,", ",J1949),
IF(L1949=Meses!$A$3,"Por revisar",
IF(H1949="","Sin registro","En programación Frcst."))),"En programación")))),
"Error")</f>
        <v>En programación Frcst.</v>
      </c>
      <c r="Q1949" s="9" t="str">
        <f t="shared" si="93"/>
        <v/>
      </c>
      <c r="R1949" s="25" t="e">
        <f>IF(P1949="En programación Frcst.",VLOOKUP(L1949,Meses!$A$1:$H$14,3+HLOOKUP(Cronograma!J1949,Meses!$D$1:$G$2,2,FALSE),FALSE),
IF(P1949="En programación",M1949,""))</f>
        <v>#N/A</v>
      </c>
      <c r="S1949" s="25" t="str">
        <f t="shared" si="92"/>
        <v/>
      </c>
      <c r="T1949" s="21" t="str">
        <f>IFERROR(
(VLOOKUP(MONTH(R1949),Meses!$B$3:$C$14,2,FALSE)-DAY(R1949))/VLOOKUP(MONTH(R1949),Meses!$B$3:$C$14,2,FALSE)*U1949,
"")</f>
        <v/>
      </c>
      <c r="U1949" s="22">
        <f t="shared" si="94"/>
        <v>0</v>
      </c>
    </row>
    <row r="1950" spans="1:21" ht="63" hidden="1" thickBot="1" x14ac:dyDescent="0.6">
      <c r="A1950" s="10" t="s">
        <v>2972</v>
      </c>
      <c r="B1950" s="10" t="s">
        <v>2553</v>
      </c>
      <c r="C1950" s="12">
        <v>45029</v>
      </c>
      <c r="D1950" s="10" t="s">
        <v>323</v>
      </c>
      <c r="E1950" s="10" t="s">
        <v>298</v>
      </c>
      <c r="F1950" s="10"/>
      <c r="G1950" s="10" t="s">
        <v>15</v>
      </c>
      <c r="H1950" s="10" t="s">
        <v>17</v>
      </c>
      <c r="I1950" s="10" t="s">
        <v>66</v>
      </c>
      <c r="J1950" s="10"/>
      <c r="K1950" s="10"/>
      <c r="L1950" s="10"/>
      <c r="M1950" s="12"/>
      <c r="N1950" s="10"/>
      <c r="O1950" s="10" t="s">
        <v>2054</v>
      </c>
      <c r="P1950" s="25" t="str">
        <f>IFERROR(
IF(OR(O1950="anulado",O1950="stand by"),CONCATENATE(O1950,": ",H1950),
IF(OR(YEAR(M1950)=2022,YEAR(M1950)=2023),CONCATENATE("Se activó en ",YEAR(M1950)),
IF(AND(OR(O1950="En proceso",O1950="facturando"),AND(J1950="-",M1950="")),"Por revisar",
IF(M1950="",IF(J1950="NUEVAS",CONCATENATE("Estado: ",O1950,", ",J1950),
IF(L1950=Meses!$A$3,"Por revisar",
IF(H1950="","Sin registro","En programación Frcst."))),"En programación")))),
"Error")</f>
        <v>En programación Frcst.</v>
      </c>
      <c r="Q1950" s="9" t="str">
        <f t="shared" si="93"/>
        <v/>
      </c>
      <c r="R1950" s="25" t="e">
        <f>IF(P1950="En programación Frcst.",VLOOKUP(L1950,Meses!$A$1:$H$14,3+HLOOKUP(Cronograma!J1950,Meses!$D$1:$G$2,2,FALSE),FALSE),
IF(P1950="En programación",M1950,""))</f>
        <v>#N/A</v>
      </c>
      <c r="S1950" s="25" t="str">
        <f t="shared" si="92"/>
        <v/>
      </c>
      <c r="T1950" s="21" t="str">
        <f>IFERROR(
(VLOOKUP(MONTH(R1950),Meses!$B$3:$C$14,2,FALSE)-DAY(R1950))/VLOOKUP(MONTH(R1950),Meses!$B$3:$C$14,2,FALSE)*U1950,
"")</f>
        <v/>
      </c>
      <c r="U1950" s="22">
        <f t="shared" si="94"/>
        <v>0</v>
      </c>
    </row>
    <row r="1951" spans="1:21" ht="31.8" hidden="1" thickBot="1" x14ac:dyDescent="0.6">
      <c r="A1951" s="10" t="s">
        <v>2973</v>
      </c>
      <c r="B1951" s="10" t="s">
        <v>2554</v>
      </c>
      <c r="C1951" s="12">
        <v>45029</v>
      </c>
      <c r="D1951" s="10" t="s">
        <v>323</v>
      </c>
      <c r="E1951" s="10" t="s">
        <v>291</v>
      </c>
      <c r="F1951" s="10"/>
      <c r="G1951" s="10" t="s">
        <v>15</v>
      </c>
      <c r="H1951" s="10" t="s">
        <v>17</v>
      </c>
      <c r="I1951" s="10" t="s">
        <v>66</v>
      </c>
      <c r="J1951" s="10"/>
      <c r="K1951" s="10"/>
      <c r="L1951" s="10"/>
      <c r="M1951" s="12"/>
      <c r="N1951" s="10"/>
      <c r="O1951" s="10" t="s">
        <v>2054</v>
      </c>
      <c r="P1951" s="25" t="str">
        <f>IFERROR(
IF(OR(O1951="anulado",O1951="stand by"),CONCATENATE(O1951,": ",H1951),
IF(OR(YEAR(M1951)=2022,YEAR(M1951)=2023),CONCATENATE("Se activó en ",YEAR(M1951)),
IF(AND(OR(O1951="En proceso",O1951="facturando"),AND(J1951="-",M1951="")),"Por revisar",
IF(M1951="",IF(J1951="NUEVAS",CONCATENATE("Estado: ",O1951,", ",J1951),
IF(L1951=Meses!$A$3,"Por revisar",
IF(H1951="","Sin registro","En programación Frcst."))),"En programación")))),
"Error")</f>
        <v>En programación Frcst.</v>
      </c>
      <c r="Q1951" s="9" t="str">
        <f t="shared" si="93"/>
        <v/>
      </c>
      <c r="R1951" s="25" t="e">
        <f>IF(P1951="En programación Frcst.",VLOOKUP(L1951,Meses!$A$1:$H$14,3+HLOOKUP(Cronograma!J1951,Meses!$D$1:$G$2,2,FALSE),FALSE),
IF(P1951="En programación",M1951,""))</f>
        <v>#N/A</v>
      </c>
      <c r="S1951" s="25" t="str">
        <f t="shared" si="92"/>
        <v/>
      </c>
      <c r="T1951" s="21" t="str">
        <f>IFERROR(
(VLOOKUP(MONTH(R1951),Meses!$B$3:$C$14,2,FALSE)-DAY(R1951))/VLOOKUP(MONTH(R1951),Meses!$B$3:$C$14,2,FALSE)*U1951,
"")</f>
        <v/>
      </c>
      <c r="U1951" s="22">
        <f t="shared" si="94"/>
        <v>0</v>
      </c>
    </row>
    <row r="1952" spans="1:21" ht="63" hidden="1" thickBot="1" x14ac:dyDescent="0.6">
      <c r="A1952" s="10" t="s">
        <v>2974</v>
      </c>
      <c r="B1952" s="10" t="s">
        <v>2555</v>
      </c>
      <c r="C1952" s="12">
        <v>45029</v>
      </c>
      <c r="D1952" s="10" t="s">
        <v>323</v>
      </c>
      <c r="E1952" s="10"/>
      <c r="F1952" s="10"/>
      <c r="G1952" s="10" t="s">
        <v>15</v>
      </c>
      <c r="H1952" s="10" t="s">
        <v>17</v>
      </c>
      <c r="I1952" s="10" t="s">
        <v>66</v>
      </c>
      <c r="J1952" s="10"/>
      <c r="K1952" s="10"/>
      <c r="L1952" s="10"/>
      <c r="M1952" s="12"/>
      <c r="N1952" s="10"/>
      <c r="O1952" s="10" t="s">
        <v>2054</v>
      </c>
      <c r="P1952" s="25" t="str">
        <f>IFERROR(
IF(OR(O1952="anulado",O1952="stand by"),CONCATENATE(O1952,": ",H1952),
IF(OR(YEAR(M1952)=2022,YEAR(M1952)=2023),CONCATENATE("Se activó en ",YEAR(M1952)),
IF(AND(OR(O1952="En proceso",O1952="facturando"),AND(J1952="-",M1952="")),"Por revisar",
IF(M1952="",IF(J1952="NUEVAS",CONCATENATE("Estado: ",O1952,", ",J1952),
IF(L1952=Meses!$A$3,"Por revisar",
IF(H1952="","Sin registro","En programación Frcst."))),"En programación")))),
"Error")</f>
        <v>En programación Frcst.</v>
      </c>
      <c r="Q1952" s="9" t="str">
        <f t="shared" si="93"/>
        <v/>
      </c>
      <c r="R1952" s="25" t="e">
        <f>IF(P1952="En programación Frcst.",VLOOKUP(L1952,Meses!$A$1:$H$14,3+HLOOKUP(Cronograma!J1952,Meses!$D$1:$G$2,2,FALSE),FALSE),
IF(P1952="En programación",M1952,""))</f>
        <v>#N/A</v>
      </c>
      <c r="S1952" s="25" t="str">
        <f t="shared" si="92"/>
        <v/>
      </c>
      <c r="T1952" s="21" t="str">
        <f>IFERROR(
(VLOOKUP(MONTH(R1952),Meses!$B$3:$C$14,2,FALSE)-DAY(R1952))/VLOOKUP(MONTH(R1952),Meses!$B$3:$C$14,2,FALSE)*U1952,
"")</f>
        <v/>
      </c>
      <c r="U1952" s="22">
        <f t="shared" si="94"/>
        <v>0</v>
      </c>
    </row>
    <row r="1953" spans="1:21" ht="47.4" hidden="1" thickBot="1" x14ac:dyDescent="0.6">
      <c r="A1953" s="10" t="s">
        <v>2975</v>
      </c>
      <c r="B1953" s="10" t="s">
        <v>2556</v>
      </c>
      <c r="C1953" s="12">
        <v>45029</v>
      </c>
      <c r="D1953" s="10" t="s">
        <v>323</v>
      </c>
      <c r="E1953" s="10" t="s">
        <v>291</v>
      </c>
      <c r="F1953" s="10"/>
      <c r="G1953" s="10" t="s">
        <v>15</v>
      </c>
      <c r="H1953" s="10" t="s">
        <v>17</v>
      </c>
      <c r="I1953" s="10" t="s">
        <v>66</v>
      </c>
      <c r="J1953" s="10"/>
      <c r="K1953" s="10"/>
      <c r="L1953" s="10"/>
      <c r="M1953" s="12"/>
      <c r="N1953" s="10"/>
      <c r="O1953" s="10" t="s">
        <v>2054</v>
      </c>
      <c r="P1953" s="25" t="str">
        <f>IFERROR(
IF(OR(O1953="anulado",O1953="stand by"),CONCATENATE(O1953,": ",H1953),
IF(OR(YEAR(M1953)=2022,YEAR(M1953)=2023),CONCATENATE("Se activó en ",YEAR(M1953)),
IF(AND(OR(O1953="En proceso",O1953="facturando"),AND(J1953="-",M1953="")),"Por revisar",
IF(M1953="",IF(J1953="NUEVAS",CONCATENATE("Estado: ",O1953,", ",J1953),
IF(L1953=Meses!$A$3,"Por revisar",
IF(H1953="","Sin registro","En programación Frcst."))),"En programación")))),
"Error")</f>
        <v>En programación Frcst.</v>
      </c>
      <c r="Q1953" s="9" t="str">
        <f t="shared" si="93"/>
        <v/>
      </c>
      <c r="R1953" s="25" t="e">
        <f>IF(P1953="En programación Frcst.",VLOOKUP(L1953,Meses!$A$1:$H$14,3+HLOOKUP(Cronograma!J1953,Meses!$D$1:$G$2,2,FALSE),FALSE),
IF(P1953="En programación",M1953,""))</f>
        <v>#N/A</v>
      </c>
      <c r="S1953" s="25" t="str">
        <f t="shared" si="92"/>
        <v/>
      </c>
      <c r="T1953" s="21" t="str">
        <f>IFERROR(
(VLOOKUP(MONTH(R1953),Meses!$B$3:$C$14,2,FALSE)-DAY(R1953))/VLOOKUP(MONTH(R1953),Meses!$B$3:$C$14,2,FALSE)*U1953,
"")</f>
        <v/>
      </c>
      <c r="U1953" s="22">
        <f t="shared" si="94"/>
        <v>0</v>
      </c>
    </row>
    <row r="1954" spans="1:21" ht="47.4" hidden="1" thickBot="1" x14ac:dyDescent="0.6">
      <c r="A1954" s="10" t="s">
        <v>2976</v>
      </c>
      <c r="B1954" s="10" t="s">
        <v>2557</v>
      </c>
      <c r="C1954" s="12">
        <v>45029</v>
      </c>
      <c r="D1954" s="10" t="s">
        <v>323</v>
      </c>
      <c r="E1954" s="10" t="s">
        <v>14</v>
      </c>
      <c r="F1954" s="10"/>
      <c r="G1954" s="10" t="s">
        <v>15</v>
      </c>
      <c r="H1954" s="10" t="s">
        <v>17</v>
      </c>
      <c r="I1954" s="10" t="s">
        <v>66</v>
      </c>
      <c r="J1954" s="10"/>
      <c r="K1954" s="10"/>
      <c r="L1954" s="10"/>
      <c r="M1954" s="12"/>
      <c r="N1954" s="10"/>
      <c r="O1954" s="10" t="s">
        <v>2054</v>
      </c>
      <c r="P1954" s="25" t="str">
        <f>IFERROR(
IF(OR(O1954="anulado",O1954="stand by"),CONCATENATE(O1954,": ",H1954),
IF(OR(YEAR(M1954)=2022,YEAR(M1954)=2023),CONCATENATE("Se activó en ",YEAR(M1954)),
IF(AND(OR(O1954="En proceso",O1954="facturando"),AND(J1954="-",M1954="")),"Por revisar",
IF(M1954="",IF(J1954="NUEVAS",CONCATENATE("Estado: ",O1954,", ",J1954),
IF(L1954=Meses!$A$3,"Por revisar",
IF(H1954="","Sin registro","En programación Frcst."))),"En programación")))),
"Error")</f>
        <v>En programación Frcst.</v>
      </c>
      <c r="Q1954" s="9" t="str">
        <f t="shared" si="93"/>
        <v/>
      </c>
      <c r="R1954" s="25" t="e">
        <f>IF(P1954="En programación Frcst.",VLOOKUP(L1954,Meses!$A$1:$H$14,3+HLOOKUP(Cronograma!J1954,Meses!$D$1:$G$2,2,FALSE),FALSE),
IF(P1954="En programación",M1954,""))</f>
        <v>#N/A</v>
      </c>
      <c r="S1954" s="25" t="str">
        <f t="shared" si="92"/>
        <v/>
      </c>
      <c r="T1954" s="21" t="str">
        <f>IFERROR(
(VLOOKUP(MONTH(R1954),Meses!$B$3:$C$14,2,FALSE)-DAY(R1954))/VLOOKUP(MONTH(R1954),Meses!$B$3:$C$14,2,FALSE)*U1954,
"")</f>
        <v/>
      </c>
      <c r="U1954" s="22">
        <f t="shared" si="94"/>
        <v>0</v>
      </c>
    </row>
    <row r="1955" spans="1:21" ht="47.4" hidden="1" thickBot="1" x14ac:dyDescent="0.6">
      <c r="A1955" s="10" t="s">
        <v>2977</v>
      </c>
      <c r="B1955" s="10" t="s">
        <v>2558</v>
      </c>
      <c r="C1955" s="12">
        <v>45029</v>
      </c>
      <c r="D1955" s="10" t="s">
        <v>323</v>
      </c>
      <c r="E1955" s="10" t="s">
        <v>291</v>
      </c>
      <c r="F1955" s="10"/>
      <c r="G1955" s="10" t="s">
        <v>15</v>
      </c>
      <c r="H1955" s="10" t="s">
        <v>17</v>
      </c>
      <c r="I1955" s="10" t="s">
        <v>66</v>
      </c>
      <c r="J1955" s="10"/>
      <c r="K1955" s="10"/>
      <c r="L1955" s="10"/>
      <c r="M1955" s="12"/>
      <c r="N1955" s="10"/>
      <c r="O1955" s="10" t="s">
        <v>2054</v>
      </c>
      <c r="P1955" s="25" t="str">
        <f>IFERROR(
IF(OR(O1955="anulado",O1955="stand by"),CONCATENATE(O1955,": ",H1955),
IF(OR(YEAR(M1955)=2022,YEAR(M1955)=2023),CONCATENATE("Se activó en ",YEAR(M1955)),
IF(AND(OR(O1955="En proceso",O1955="facturando"),AND(J1955="-",M1955="")),"Por revisar",
IF(M1955="",IF(J1955="NUEVAS",CONCATENATE("Estado: ",O1955,", ",J1955),
IF(L1955=Meses!$A$3,"Por revisar",
IF(H1955="","Sin registro","En programación Frcst."))),"En programación")))),
"Error")</f>
        <v>En programación Frcst.</v>
      </c>
      <c r="Q1955" s="9" t="str">
        <f t="shared" si="93"/>
        <v/>
      </c>
      <c r="R1955" s="25" t="e">
        <f>IF(P1955="En programación Frcst.",VLOOKUP(L1955,Meses!$A$1:$H$14,3+HLOOKUP(Cronograma!J1955,Meses!$D$1:$G$2,2,FALSE),FALSE),
IF(P1955="En programación",M1955,""))</f>
        <v>#N/A</v>
      </c>
      <c r="S1955" s="25" t="str">
        <f t="shared" si="92"/>
        <v/>
      </c>
      <c r="T1955" s="21" t="str">
        <f>IFERROR(
(VLOOKUP(MONTH(R1955),Meses!$B$3:$C$14,2,FALSE)-DAY(R1955))/VLOOKUP(MONTH(R1955),Meses!$B$3:$C$14,2,FALSE)*U1955,
"")</f>
        <v/>
      </c>
      <c r="U1955" s="22">
        <f t="shared" si="94"/>
        <v>0</v>
      </c>
    </row>
    <row r="1956" spans="1:21" ht="31.8" hidden="1" thickBot="1" x14ac:dyDescent="0.6">
      <c r="A1956" s="10" t="s">
        <v>2978</v>
      </c>
      <c r="B1956" s="10" t="s">
        <v>2559</v>
      </c>
      <c r="C1956" s="12">
        <v>45029</v>
      </c>
      <c r="D1956" s="10" t="s">
        <v>323</v>
      </c>
      <c r="E1956" s="10" t="s">
        <v>23</v>
      </c>
      <c r="F1956" s="10"/>
      <c r="G1956" s="10" t="s">
        <v>15</v>
      </c>
      <c r="H1956" s="10" t="s">
        <v>17</v>
      </c>
      <c r="I1956" s="10" t="s">
        <v>66</v>
      </c>
      <c r="J1956" s="10"/>
      <c r="K1956" s="10"/>
      <c r="L1956" s="10"/>
      <c r="M1956" s="12"/>
      <c r="N1956" s="10"/>
      <c r="O1956" s="10" t="s">
        <v>2054</v>
      </c>
      <c r="P1956" s="25" t="str">
        <f>IFERROR(
IF(OR(O1956="anulado",O1956="stand by"),CONCATENATE(O1956,": ",H1956),
IF(OR(YEAR(M1956)=2022,YEAR(M1956)=2023),CONCATENATE("Se activó en ",YEAR(M1956)),
IF(AND(OR(O1956="En proceso",O1956="facturando"),AND(J1956="-",M1956="")),"Por revisar",
IF(M1956="",IF(J1956="NUEVAS",CONCATENATE("Estado: ",O1956,", ",J1956),
IF(L1956=Meses!$A$3,"Por revisar",
IF(H1956="","Sin registro","En programación Frcst."))),"En programación")))),
"Error")</f>
        <v>En programación Frcst.</v>
      </c>
      <c r="Q1956" s="9" t="str">
        <f t="shared" si="93"/>
        <v/>
      </c>
      <c r="R1956" s="25" t="e">
        <f>IF(P1956="En programación Frcst.",VLOOKUP(L1956,Meses!$A$1:$H$14,3+HLOOKUP(Cronograma!J1956,Meses!$D$1:$G$2,2,FALSE),FALSE),
IF(P1956="En programación",M1956,""))</f>
        <v>#N/A</v>
      </c>
      <c r="S1956" s="25" t="str">
        <f t="shared" si="92"/>
        <v/>
      </c>
      <c r="T1956" s="21" t="str">
        <f>IFERROR(
(VLOOKUP(MONTH(R1956),Meses!$B$3:$C$14,2,FALSE)-DAY(R1956))/VLOOKUP(MONTH(R1956),Meses!$B$3:$C$14,2,FALSE)*U1956,
"")</f>
        <v/>
      </c>
      <c r="U1956" s="22">
        <f t="shared" si="94"/>
        <v>0</v>
      </c>
    </row>
    <row r="1957" spans="1:21" ht="31.8" hidden="1" thickBot="1" x14ac:dyDescent="0.6">
      <c r="A1957" s="10" t="s">
        <v>2979</v>
      </c>
      <c r="B1957" s="10" t="s">
        <v>2560</v>
      </c>
      <c r="C1957" s="12">
        <v>45029</v>
      </c>
      <c r="D1957" s="10" t="s">
        <v>323</v>
      </c>
      <c r="E1957" s="10" t="s">
        <v>291</v>
      </c>
      <c r="F1957" s="10"/>
      <c r="G1957" s="10" t="s">
        <v>15</v>
      </c>
      <c r="H1957" s="10" t="s">
        <v>17</v>
      </c>
      <c r="I1957" s="10" t="s">
        <v>66</v>
      </c>
      <c r="J1957" s="10"/>
      <c r="K1957" s="10"/>
      <c r="L1957" s="10"/>
      <c r="M1957" s="12"/>
      <c r="N1957" s="10"/>
      <c r="O1957" s="10" t="s">
        <v>2054</v>
      </c>
      <c r="P1957" s="25" t="str">
        <f>IFERROR(
IF(OR(O1957="anulado",O1957="stand by"),CONCATENATE(O1957,": ",H1957),
IF(OR(YEAR(M1957)=2022,YEAR(M1957)=2023),CONCATENATE("Se activó en ",YEAR(M1957)),
IF(AND(OR(O1957="En proceso",O1957="facturando"),AND(J1957="-",M1957="")),"Por revisar",
IF(M1957="",IF(J1957="NUEVAS",CONCATENATE("Estado: ",O1957,", ",J1957),
IF(L1957=Meses!$A$3,"Por revisar",
IF(H1957="","Sin registro","En programación Frcst."))),"En programación")))),
"Error")</f>
        <v>En programación Frcst.</v>
      </c>
      <c r="Q1957" s="9" t="str">
        <f t="shared" si="93"/>
        <v/>
      </c>
      <c r="R1957" s="25" t="e">
        <f>IF(P1957="En programación Frcst.",VLOOKUP(L1957,Meses!$A$1:$H$14,3+HLOOKUP(Cronograma!J1957,Meses!$D$1:$G$2,2,FALSE),FALSE),
IF(P1957="En programación",M1957,""))</f>
        <v>#N/A</v>
      </c>
      <c r="S1957" s="25" t="str">
        <f t="shared" si="92"/>
        <v/>
      </c>
      <c r="T1957" s="21" t="str">
        <f>IFERROR(
(VLOOKUP(MONTH(R1957),Meses!$B$3:$C$14,2,FALSE)-DAY(R1957))/VLOOKUP(MONTH(R1957),Meses!$B$3:$C$14,2,FALSE)*U1957,
"")</f>
        <v/>
      </c>
      <c r="U1957" s="22">
        <f t="shared" si="94"/>
        <v>0</v>
      </c>
    </row>
    <row r="1958" spans="1:21" ht="47.4" hidden="1" thickBot="1" x14ac:dyDescent="0.6">
      <c r="A1958" s="10" t="s">
        <v>2980</v>
      </c>
      <c r="B1958" s="10" t="s">
        <v>2561</v>
      </c>
      <c r="C1958" s="12">
        <v>45029</v>
      </c>
      <c r="D1958" s="10" t="s">
        <v>323</v>
      </c>
      <c r="E1958" s="10" t="s">
        <v>23</v>
      </c>
      <c r="F1958" s="10"/>
      <c r="G1958" s="10" t="s">
        <v>15</v>
      </c>
      <c r="H1958" s="10" t="s">
        <v>17</v>
      </c>
      <c r="I1958" s="10" t="s">
        <v>66</v>
      </c>
      <c r="J1958" s="10"/>
      <c r="K1958" s="10"/>
      <c r="L1958" s="10"/>
      <c r="M1958" s="12"/>
      <c r="N1958" s="10"/>
      <c r="O1958" s="10" t="s">
        <v>2054</v>
      </c>
      <c r="P1958" s="25" t="str">
        <f>IFERROR(
IF(OR(O1958="anulado",O1958="stand by"),CONCATENATE(O1958,": ",H1958),
IF(OR(YEAR(M1958)=2022,YEAR(M1958)=2023),CONCATENATE("Se activó en ",YEAR(M1958)),
IF(AND(OR(O1958="En proceso",O1958="facturando"),AND(J1958="-",M1958="")),"Por revisar",
IF(M1958="",IF(J1958="NUEVAS",CONCATENATE("Estado: ",O1958,", ",J1958),
IF(L1958=Meses!$A$3,"Por revisar",
IF(H1958="","Sin registro","En programación Frcst."))),"En programación")))),
"Error")</f>
        <v>En programación Frcst.</v>
      </c>
      <c r="Q1958" s="9" t="str">
        <f t="shared" si="93"/>
        <v/>
      </c>
      <c r="R1958" s="25" t="e">
        <f>IF(P1958="En programación Frcst.",VLOOKUP(L1958,Meses!$A$1:$H$14,3+HLOOKUP(Cronograma!J1958,Meses!$D$1:$G$2,2,FALSE),FALSE),
IF(P1958="En programación",M1958,""))</f>
        <v>#N/A</v>
      </c>
      <c r="S1958" s="25" t="str">
        <f t="shared" si="92"/>
        <v/>
      </c>
      <c r="T1958" s="21" t="str">
        <f>IFERROR(
(VLOOKUP(MONTH(R1958),Meses!$B$3:$C$14,2,FALSE)-DAY(R1958))/VLOOKUP(MONTH(R1958),Meses!$B$3:$C$14,2,FALSE)*U1958,
"")</f>
        <v/>
      </c>
      <c r="U1958" s="22">
        <f t="shared" si="94"/>
        <v>0</v>
      </c>
    </row>
    <row r="1959" spans="1:21" ht="63" hidden="1" thickBot="1" x14ac:dyDescent="0.6">
      <c r="A1959" s="10" t="s">
        <v>2981</v>
      </c>
      <c r="B1959" s="10" t="s">
        <v>2562</v>
      </c>
      <c r="C1959" s="12">
        <v>45029</v>
      </c>
      <c r="D1959" s="10" t="s">
        <v>323</v>
      </c>
      <c r="E1959" s="10" t="s">
        <v>14</v>
      </c>
      <c r="F1959" s="10"/>
      <c r="G1959" s="10" t="s">
        <v>15</v>
      </c>
      <c r="H1959" s="10" t="s">
        <v>17</v>
      </c>
      <c r="I1959" s="10" t="s">
        <v>66</v>
      </c>
      <c r="J1959" s="10"/>
      <c r="K1959" s="10"/>
      <c r="L1959" s="10"/>
      <c r="M1959" s="12"/>
      <c r="N1959" s="10"/>
      <c r="O1959" s="10" t="s">
        <v>2054</v>
      </c>
      <c r="P1959" s="25" t="str">
        <f>IFERROR(
IF(OR(O1959="anulado",O1959="stand by"),CONCATENATE(O1959,": ",H1959),
IF(OR(YEAR(M1959)=2022,YEAR(M1959)=2023),CONCATENATE("Se activó en ",YEAR(M1959)),
IF(AND(OR(O1959="En proceso",O1959="facturando"),AND(J1959="-",M1959="")),"Por revisar",
IF(M1959="",IF(J1959="NUEVAS",CONCATENATE("Estado: ",O1959,", ",J1959),
IF(L1959=Meses!$A$3,"Por revisar",
IF(H1959="","Sin registro","En programación Frcst."))),"En programación")))),
"Error")</f>
        <v>En programación Frcst.</v>
      </c>
      <c r="Q1959" s="9" t="str">
        <f t="shared" si="93"/>
        <v/>
      </c>
      <c r="R1959" s="25" t="e">
        <f>IF(P1959="En programación Frcst.",VLOOKUP(L1959,Meses!$A$1:$H$14,3+HLOOKUP(Cronograma!J1959,Meses!$D$1:$G$2,2,FALSE),FALSE),
IF(P1959="En programación",M1959,""))</f>
        <v>#N/A</v>
      </c>
      <c r="S1959" s="25" t="str">
        <f t="shared" si="92"/>
        <v/>
      </c>
      <c r="T1959" s="21" t="str">
        <f>IFERROR(
(VLOOKUP(MONTH(R1959),Meses!$B$3:$C$14,2,FALSE)-DAY(R1959))/VLOOKUP(MONTH(R1959),Meses!$B$3:$C$14,2,FALSE)*U1959,
"")</f>
        <v/>
      </c>
      <c r="U1959" s="22">
        <f t="shared" si="94"/>
        <v>0</v>
      </c>
    </row>
    <row r="1960" spans="1:21" ht="31.8" hidden="1" thickBot="1" x14ac:dyDescent="0.6">
      <c r="A1960" s="10" t="s">
        <v>2982</v>
      </c>
      <c r="B1960" s="10" t="s">
        <v>2563</v>
      </c>
      <c r="C1960" s="12">
        <v>45029</v>
      </c>
      <c r="D1960" s="10" t="s">
        <v>323</v>
      </c>
      <c r="E1960" s="10" t="s">
        <v>14</v>
      </c>
      <c r="F1960" s="10"/>
      <c r="G1960" s="10" t="s">
        <v>15</v>
      </c>
      <c r="H1960" s="10" t="s">
        <v>17</v>
      </c>
      <c r="I1960" s="10" t="s">
        <v>66</v>
      </c>
      <c r="J1960" s="10"/>
      <c r="K1960" s="10"/>
      <c r="L1960" s="10"/>
      <c r="M1960" s="12"/>
      <c r="N1960" s="10"/>
      <c r="O1960" s="10" t="s">
        <v>2054</v>
      </c>
      <c r="P1960" s="25" t="str">
        <f>IFERROR(
IF(OR(O1960="anulado",O1960="stand by"),CONCATENATE(O1960,": ",H1960),
IF(OR(YEAR(M1960)=2022,YEAR(M1960)=2023),CONCATENATE("Se activó en ",YEAR(M1960)),
IF(AND(OR(O1960="En proceso",O1960="facturando"),AND(J1960="-",M1960="")),"Por revisar",
IF(M1960="",IF(J1960="NUEVAS",CONCATENATE("Estado: ",O1960,", ",J1960),
IF(L1960=Meses!$A$3,"Por revisar",
IF(H1960="","Sin registro","En programación Frcst."))),"En programación")))),
"Error")</f>
        <v>En programación Frcst.</v>
      </c>
      <c r="Q1960" s="9" t="str">
        <f t="shared" si="93"/>
        <v/>
      </c>
      <c r="R1960" s="25" t="e">
        <f>IF(P1960="En programación Frcst.",VLOOKUP(L1960,Meses!$A$1:$H$14,3+HLOOKUP(Cronograma!J1960,Meses!$D$1:$G$2,2,FALSE),FALSE),
IF(P1960="En programación",M1960,""))</f>
        <v>#N/A</v>
      </c>
      <c r="S1960" s="25" t="str">
        <f t="shared" si="92"/>
        <v/>
      </c>
      <c r="T1960" s="21" t="str">
        <f>IFERROR(
(VLOOKUP(MONTH(R1960),Meses!$B$3:$C$14,2,FALSE)-DAY(R1960))/VLOOKUP(MONTH(R1960),Meses!$B$3:$C$14,2,FALSE)*U1960,
"")</f>
        <v/>
      </c>
      <c r="U1960" s="22">
        <f t="shared" si="94"/>
        <v>0</v>
      </c>
    </row>
    <row r="1961" spans="1:21" ht="63" hidden="1" thickBot="1" x14ac:dyDescent="0.6">
      <c r="A1961" s="10" t="s">
        <v>2983</v>
      </c>
      <c r="B1961" s="10" t="s">
        <v>2564</v>
      </c>
      <c r="C1961" s="12">
        <v>45029</v>
      </c>
      <c r="D1961" s="10" t="s">
        <v>323</v>
      </c>
      <c r="E1961" s="10" t="s">
        <v>289</v>
      </c>
      <c r="F1961" s="10"/>
      <c r="G1961" s="10" t="s">
        <v>15</v>
      </c>
      <c r="H1961" s="10" t="s">
        <v>17</v>
      </c>
      <c r="I1961" s="10" t="s">
        <v>66</v>
      </c>
      <c r="J1961" s="10"/>
      <c r="K1961" s="10"/>
      <c r="L1961" s="10"/>
      <c r="M1961" s="12"/>
      <c r="N1961" s="10"/>
      <c r="O1961" s="10" t="s">
        <v>2054</v>
      </c>
      <c r="P1961" s="25" t="str">
        <f>IFERROR(
IF(OR(O1961="anulado",O1961="stand by"),CONCATENATE(O1961,": ",H1961),
IF(OR(YEAR(M1961)=2022,YEAR(M1961)=2023),CONCATENATE("Se activó en ",YEAR(M1961)),
IF(AND(OR(O1961="En proceso",O1961="facturando"),AND(J1961="-",M1961="")),"Por revisar",
IF(M1961="",IF(J1961="NUEVAS",CONCATENATE("Estado: ",O1961,", ",J1961),
IF(L1961=Meses!$A$3,"Por revisar",
IF(H1961="","Sin registro","En programación Frcst."))),"En programación")))),
"Error")</f>
        <v>En programación Frcst.</v>
      </c>
      <c r="Q1961" s="9" t="str">
        <f t="shared" si="93"/>
        <v/>
      </c>
      <c r="R1961" s="25" t="e">
        <f>IF(P1961="En programación Frcst.",VLOOKUP(L1961,Meses!$A$1:$H$14,3+HLOOKUP(Cronograma!J1961,Meses!$D$1:$G$2,2,FALSE),FALSE),
IF(P1961="En programación",M1961,""))</f>
        <v>#N/A</v>
      </c>
      <c r="S1961" s="25" t="str">
        <f t="shared" si="92"/>
        <v/>
      </c>
      <c r="T1961" s="21" t="str">
        <f>IFERROR(
(VLOOKUP(MONTH(R1961),Meses!$B$3:$C$14,2,FALSE)-DAY(R1961))/VLOOKUP(MONTH(R1961),Meses!$B$3:$C$14,2,FALSE)*U1961,
"")</f>
        <v/>
      </c>
      <c r="U1961" s="22">
        <f t="shared" si="94"/>
        <v>0</v>
      </c>
    </row>
    <row r="1962" spans="1:21" ht="31.8" hidden="1" thickBot="1" x14ac:dyDescent="0.6">
      <c r="A1962" s="10" t="s">
        <v>1637</v>
      </c>
      <c r="B1962" s="10" t="s">
        <v>2565</v>
      </c>
      <c r="C1962" s="12">
        <v>45029</v>
      </c>
      <c r="D1962" s="10" t="s">
        <v>323</v>
      </c>
      <c r="E1962" s="10" t="s">
        <v>959</v>
      </c>
      <c r="F1962" s="10"/>
      <c r="G1962" s="10" t="s">
        <v>15</v>
      </c>
      <c r="H1962" s="10" t="s">
        <v>17</v>
      </c>
      <c r="I1962" s="10" t="s">
        <v>66</v>
      </c>
      <c r="J1962" s="10"/>
      <c r="K1962" s="10"/>
      <c r="L1962" s="10"/>
      <c r="M1962" s="12"/>
      <c r="N1962" s="10"/>
      <c r="O1962" s="10" t="s">
        <v>2054</v>
      </c>
      <c r="P1962" s="25" t="str">
        <f>IFERROR(
IF(OR(O1962="anulado",O1962="stand by"),CONCATENATE(O1962,": ",H1962),
IF(OR(YEAR(M1962)=2022,YEAR(M1962)=2023),CONCATENATE("Se activó en ",YEAR(M1962)),
IF(AND(OR(O1962="En proceso",O1962="facturando"),AND(J1962="-",M1962="")),"Por revisar",
IF(M1962="",IF(J1962="NUEVAS",CONCATENATE("Estado: ",O1962,", ",J1962),
IF(L1962=Meses!$A$3,"Por revisar",
IF(H1962="","Sin registro","En programación Frcst."))),"En programación")))),
"Error")</f>
        <v>En programación Frcst.</v>
      </c>
      <c r="Q1962" s="9" t="str">
        <f t="shared" si="93"/>
        <v/>
      </c>
      <c r="R1962" s="25" t="e">
        <f>IF(P1962="En programación Frcst.",VLOOKUP(L1962,Meses!$A$1:$H$14,3+HLOOKUP(Cronograma!J1962,Meses!$D$1:$G$2,2,FALSE),FALSE),
IF(P1962="En programación",M1962,""))</f>
        <v>#N/A</v>
      </c>
      <c r="S1962" s="25" t="str">
        <f t="shared" si="92"/>
        <v/>
      </c>
      <c r="T1962" s="21" t="str">
        <f>IFERROR(
(VLOOKUP(MONTH(R1962),Meses!$B$3:$C$14,2,FALSE)-DAY(R1962))/VLOOKUP(MONTH(R1962),Meses!$B$3:$C$14,2,FALSE)*U1962,
"")</f>
        <v/>
      </c>
      <c r="U1962" s="22">
        <f t="shared" si="94"/>
        <v>0</v>
      </c>
    </row>
    <row r="1963" spans="1:21" ht="47.4" hidden="1" thickBot="1" x14ac:dyDescent="0.6">
      <c r="A1963" s="10" t="s">
        <v>2984</v>
      </c>
      <c r="B1963" s="10" t="s">
        <v>2566</v>
      </c>
      <c r="C1963" s="12">
        <v>45029</v>
      </c>
      <c r="D1963" s="10" t="s">
        <v>323</v>
      </c>
      <c r="E1963" s="10" t="s">
        <v>677</v>
      </c>
      <c r="F1963" s="10"/>
      <c r="G1963" s="10" t="s">
        <v>15</v>
      </c>
      <c r="H1963" s="10" t="s">
        <v>17</v>
      </c>
      <c r="I1963" s="10" t="s">
        <v>66</v>
      </c>
      <c r="J1963" s="10"/>
      <c r="K1963" s="10"/>
      <c r="L1963" s="10"/>
      <c r="M1963" s="12"/>
      <c r="N1963" s="10"/>
      <c r="O1963" s="10" t="s">
        <v>2054</v>
      </c>
      <c r="P1963" s="25" t="str">
        <f>IFERROR(
IF(OR(O1963="anulado",O1963="stand by"),CONCATENATE(O1963,": ",H1963),
IF(OR(YEAR(M1963)=2022,YEAR(M1963)=2023),CONCATENATE("Se activó en ",YEAR(M1963)),
IF(AND(OR(O1963="En proceso",O1963="facturando"),AND(J1963="-",M1963="")),"Por revisar",
IF(M1963="",IF(J1963="NUEVAS",CONCATENATE("Estado: ",O1963,", ",J1963),
IF(L1963=Meses!$A$3,"Por revisar",
IF(H1963="","Sin registro","En programación Frcst."))),"En programación")))),
"Error")</f>
        <v>En programación Frcst.</v>
      </c>
      <c r="Q1963" s="9" t="str">
        <f t="shared" si="93"/>
        <v/>
      </c>
      <c r="R1963" s="25" t="e">
        <f>IF(P1963="En programación Frcst.",VLOOKUP(L1963,Meses!$A$1:$H$14,3+HLOOKUP(Cronograma!J1963,Meses!$D$1:$G$2,2,FALSE),FALSE),
IF(P1963="En programación",M1963,""))</f>
        <v>#N/A</v>
      </c>
      <c r="S1963" s="25" t="str">
        <f t="shared" si="92"/>
        <v/>
      </c>
      <c r="T1963" s="21" t="str">
        <f>IFERROR(
(VLOOKUP(MONTH(R1963),Meses!$B$3:$C$14,2,FALSE)-DAY(R1963))/VLOOKUP(MONTH(R1963),Meses!$B$3:$C$14,2,FALSE)*U1963,
"")</f>
        <v/>
      </c>
      <c r="U1963" s="22">
        <f t="shared" si="94"/>
        <v>0</v>
      </c>
    </row>
    <row r="1964" spans="1:21" ht="47.4" hidden="1" thickBot="1" x14ac:dyDescent="0.6">
      <c r="A1964" s="10" t="s">
        <v>2984</v>
      </c>
      <c r="B1964" s="10" t="s">
        <v>2567</v>
      </c>
      <c r="C1964" s="12">
        <v>45029</v>
      </c>
      <c r="D1964" s="10" t="s">
        <v>323</v>
      </c>
      <c r="E1964" s="10" t="s">
        <v>677</v>
      </c>
      <c r="F1964" s="10"/>
      <c r="G1964" s="10" t="s">
        <v>15</v>
      </c>
      <c r="H1964" s="10" t="s">
        <v>17</v>
      </c>
      <c r="I1964" s="10" t="s">
        <v>66</v>
      </c>
      <c r="J1964" s="10"/>
      <c r="K1964" s="10"/>
      <c r="L1964" s="10"/>
      <c r="M1964" s="12"/>
      <c r="N1964" s="10"/>
      <c r="O1964" s="10" t="s">
        <v>2054</v>
      </c>
      <c r="P1964" s="25" t="str">
        <f>IFERROR(
IF(OR(O1964="anulado",O1964="stand by"),CONCATENATE(O1964,": ",H1964),
IF(OR(YEAR(M1964)=2022,YEAR(M1964)=2023),CONCATENATE("Se activó en ",YEAR(M1964)),
IF(AND(OR(O1964="En proceso",O1964="facturando"),AND(J1964="-",M1964="")),"Por revisar",
IF(M1964="",IF(J1964="NUEVAS",CONCATENATE("Estado: ",O1964,", ",J1964),
IF(L1964=Meses!$A$3,"Por revisar",
IF(H1964="","Sin registro","En programación Frcst."))),"En programación")))),
"Error")</f>
        <v>En programación Frcst.</v>
      </c>
      <c r="Q1964" s="9" t="str">
        <f t="shared" si="93"/>
        <v/>
      </c>
      <c r="R1964" s="25" t="e">
        <f>IF(P1964="En programación Frcst.",VLOOKUP(L1964,Meses!$A$1:$H$14,3+HLOOKUP(Cronograma!J1964,Meses!$D$1:$G$2,2,FALSE),FALSE),
IF(P1964="En programación",M1964,""))</f>
        <v>#N/A</v>
      </c>
      <c r="S1964" s="25" t="str">
        <f t="shared" si="92"/>
        <v/>
      </c>
      <c r="T1964" s="21" t="str">
        <f>IFERROR(
(VLOOKUP(MONTH(R1964),Meses!$B$3:$C$14,2,FALSE)-DAY(R1964))/VLOOKUP(MONTH(R1964),Meses!$B$3:$C$14,2,FALSE)*U1964,
"")</f>
        <v/>
      </c>
      <c r="U1964" s="22">
        <f t="shared" si="94"/>
        <v>0</v>
      </c>
    </row>
    <row r="1965" spans="1:21" ht="94.2" hidden="1" thickBot="1" x14ac:dyDescent="0.6">
      <c r="A1965" s="10" t="s">
        <v>2985</v>
      </c>
      <c r="B1965" s="10" t="s">
        <v>2568</v>
      </c>
      <c r="C1965" s="12">
        <v>45029</v>
      </c>
      <c r="D1965" s="10" t="s">
        <v>323</v>
      </c>
      <c r="E1965" s="10" t="s">
        <v>23</v>
      </c>
      <c r="F1965" s="10"/>
      <c r="G1965" s="10" t="s">
        <v>15</v>
      </c>
      <c r="H1965" s="10" t="s">
        <v>17</v>
      </c>
      <c r="I1965" s="10" t="s">
        <v>66</v>
      </c>
      <c r="J1965" s="10"/>
      <c r="K1965" s="10"/>
      <c r="L1965" s="10"/>
      <c r="M1965" s="12"/>
      <c r="N1965" s="10"/>
      <c r="O1965" s="10" t="s">
        <v>2054</v>
      </c>
      <c r="P1965" s="25" t="str">
        <f>IFERROR(
IF(OR(O1965="anulado",O1965="stand by"),CONCATENATE(O1965,": ",H1965),
IF(OR(YEAR(M1965)=2022,YEAR(M1965)=2023),CONCATENATE("Se activó en ",YEAR(M1965)),
IF(AND(OR(O1965="En proceso",O1965="facturando"),AND(J1965="-",M1965="")),"Por revisar",
IF(M1965="",IF(J1965="NUEVAS",CONCATENATE("Estado: ",O1965,", ",J1965),
IF(L1965=Meses!$A$3,"Por revisar",
IF(H1965="","Sin registro","En programación Frcst."))),"En programación")))),
"Error")</f>
        <v>En programación Frcst.</v>
      </c>
      <c r="Q1965" s="9" t="str">
        <f t="shared" si="93"/>
        <v/>
      </c>
      <c r="R1965" s="25" t="e">
        <f>IF(P1965="En programación Frcst.",VLOOKUP(L1965,Meses!$A$1:$H$14,3+HLOOKUP(Cronograma!J1965,Meses!$D$1:$G$2,2,FALSE),FALSE),
IF(P1965="En programación",M1965,""))</f>
        <v>#N/A</v>
      </c>
      <c r="S1965" s="25" t="str">
        <f t="shared" si="92"/>
        <v/>
      </c>
      <c r="T1965" s="21" t="str">
        <f>IFERROR(
(VLOOKUP(MONTH(R1965),Meses!$B$3:$C$14,2,FALSE)-DAY(R1965))/VLOOKUP(MONTH(R1965),Meses!$B$3:$C$14,2,FALSE)*U1965,
"")</f>
        <v/>
      </c>
      <c r="U1965" s="22">
        <f t="shared" si="94"/>
        <v>0</v>
      </c>
    </row>
    <row r="1966" spans="1:21" ht="31.8" hidden="1" thickBot="1" x14ac:dyDescent="0.6">
      <c r="A1966" s="10" t="s">
        <v>2986</v>
      </c>
      <c r="B1966" s="10" t="s">
        <v>2569</v>
      </c>
      <c r="C1966" s="12">
        <v>45036</v>
      </c>
      <c r="D1966" s="10" t="s">
        <v>323</v>
      </c>
      <c r="E1966" s="10" t="s">
        <v>14</v>
      </c>
      <c r="F1966" s="10"/>
      <c r="G1966" s="10" t="s">
        <v>15</v>
      </c>
      <c r="H1966" s="10" t="s">
        <v>17</v>
      </c>
      <c r="I1966" s="10" t="s">
        <v>66</v>
      </c>
      <c r="J1966" s="10"/>
      <c r="K1966" s="10"/>
      <c r="L1966" s="10"/>
      <c r="M1966" s="12"/>
      <c r="N1966" s="10"/>
      <c r="O1966" s="10" t="s">
        <v>2054</v>
      </c>
      <c r="P1966" s="25" t="str">
        <f>IFERROR(
IF(OR(O1966="anulado",O1966="stand by"),CONCATENATE(O1966,": ",H1966),
IF(OR(YEAR(M1966)=2022,YEAR(M1966)=2023),CONCATENATE("Se activó en ",YEAR(M1966)),
IF(AND(OR(O1966="En proceso",O1966="facturando"),AND(J1966="-",M1966="")),"Por revisar",
IF(M1966="",IF(J1966="NUEVAS",CONCATENATE("Estado: ",O1966,", ",J1966),
IF(L1966=Meses!$A$3,"Por revisar",
IF(H1966="","Sin registro","En programación Frcst."))),"En programación")))),
"Error")</f>
        <v>En programación Frcst.</v>
      </c>
      <c r="Q1966" s="9" t="str">
        <f t="shared" si="93"/>
        <v/>
      </c>
      <c r="R1966" s="25" t="e">
        <f>IF(P1966="En programación Frcst.",VLOOKUP(L1966,Meses!$A$1:$H$14,3+HLOOKUP(Cronograma!J1966,Meses!$D$1:$G$2,2,FALSE),FALSE),
IF(P1966="En programación",M1966,""))</f>
        <v>#N/A</v>
      </c>
      <c r="S1966" s="25" t="str">
        <f t="shared" si="92"/>
        <v/>
      </c>
      <c r="T1966" s="21" t="str">
        <f>IFERROR(
(VLOOKUP(MONTH(R1966),Meses!$B$3:$C$14,2,FALSE)-DAY(R1966))/VLOOKUP(MONTH(R1966),Meses!$B$3:$C$14,2,FALSE)*U1966,
"")</f>
        <v/>
      </c>
      <c r="U1966" s="22">
        <f t="shared" si="94"/>
        <v>0</v>
      </c>
    </row>
    <row r="1967" spans="1:21" ht="47.4" hidden="1" thickBot="1" x14ac:dyDescent="0.6">
      <c r="A1967" s="10" t="s">
        <v>2987</v>
      </c>
      <c r="B1967" s="10" t="s">
        <v>2570</v>
      </c>
      <c r="C1967" s="12">
        <v>45029</v>
      </c>
      <c r="D1967" s="10" t="s">
        <v>323</v>
      </c>
      <c r="E1967" s="10" t="s">
        <v>291</v>
      </c>
      <c r="F1967" s="10"/>
      <c r="G1967" s="10" t="s">
        <v>15</v>
      </c>
      <c r="H1967" s="10" t="s">
        <v>17</v>
      </c>
      <c r="I1967" s="10" t="s">
        <v>66</v>
      </c>
      <c r="J1967" s="10"/>
      <c r="K1967" s="10"/>
      <c r="L1967" s="10"/>
      <c r="M1967" s="12"/>
      <c r="N1967" s="10"/>
      <c r="O1967" s="10" t="s">
        <v>2054</v>
      </c>
      <c r="P1967" s="25" t="str">
        <f>IFERROR(
IF(OR(O1967="anulado",O1967="stand by"),CONCATENATE(O1967,": ",H1967),
IF(OR(YEAR(M1967)=2022,YEAR(M1967)=2023),CONCATENATE("Se activó en ",YEAR(M1967)),
IF(AND(OR(O1967="En proceso",O1967="facturando"),AND(J1967="-",M1967="")),"Por revisar",
IF(M1967="",IF(J1967="NUEVAS",CONCATENATE("Estado: ",O1967,", ",J1967),
IF(L1967=Meses!$A$3,"Por revisar",
IF(H1967="","Sin registro","En programación Frcst."))),"En programación")))),
"Error")</f>
        <v>En programación Frcst.</v>
      </c>
      <c r="Q1967" s="9" t="str">
        <f t="shared" si="93"/>
        <v/>
      </c>
      <c r="R1967" s="25" t="e">
        <f>IF(P1967="En programación Frcst.",VLOOKUP(L1967,Meses!$A$1:$H$14,3+HLOOKUP(Cronograma!J1967,Meses!$D$1:$G$2,2,FALSE),FALSE),
IF(P1967="En programación",M1967,""))</f>
        <v>#N/A</v>
      </c>
      <c r="S1967" s="25" t="str">
        <f t="shared" si="92"/>
        <v/>
      </c>
      <c r="T1967" s="21" t="str">
        <f>IFERROR(
(VLOOKUP(MONTH(R1967),Meses!$B$3:$C$14,2,FALSE)-DAY(R1967))/VLOOKUP(MONTH(R1967),Meses!$B$3:$C$14,2,FALSE)*U1967,
"")</f>
        <v/>
      </c>
      <c r="U1967" s="22">
        <f t="shared" si="94"/>
        <v>0</v>
      </c>
    </row>
    <row r="1968" spans="1:21" ht="47.4" hidden="1" thickBot="1" x14ac:dyDescent="0.6">
      <c r="A1968" s="10" t="s">
        <v>2988</v>
      </c>
      <c r="B1968" s="10" t="s">
        <v>2571</v>
      </c>
      <c r="C1968" s="12">
        <v>45029</v>
      </c>
      <c r="D1968" s="10" t="s">
        <v>323</v>
      </c>
      <c r="E1968" s="10" t="s">
        <v>677</v>
      </c>
      <c r="F1968" s="10"/>
      <c r="G1968" s="10" t="s">
        <v>15</v>
      </c>
      <c r="H1968" s="10" t="s">
        <v>17</v>
      </c>
      <c r="I1968" s="10" t="s">
        <v>66</v>
      </c>
      <c r="J1968" s="10"/>
      <c r="K1968" s="10"/>
      <c r="L1968" s="10"/>
      <c r="M1968" s="12"/>
      <c r="N1968" s="10"/>
      <c r="O1968" s="10" t="s">
        <v>2054</v>
      </c>
      <c r="P1968" s="25" t="str">
        <f>IFERROR(
IF(OR(O1968="anulado",O1968="stand by"),CONCATENATE(O1968,": ",H1968),
IF(OR(YEAR(M1968)=2022,YEAR(M1968)=2023),CONCATENATE("Se activó en ",YEAR(M1968)),
IF(AND(OR(O1968="En proceso",O1968="facturando"),AND(J1968="-",M1968="")),"Por revisar",
IF(M1968="",IF(J1968="NUEVAS",CONCATENATE("Estado: ",O1968,", ",J1968),
IF(L1968=Meses!$A$3,"Por revisar",
IF(H1968="","Sin registro","En programación Frcst."))),"En programación")))),
"Error")</f>
        <v>En programación Frcst.</v>
      </c>
      <c r="Q1968" s="9" t="str">
        <f t="shared" si="93"/>
        <v/>
      </c>
      <c r="R1968" s="25" t="e">
        <f>IF(P1968="En programación Frcst.",VLOOKUP(L1968,Meses!$A$1:$H$14,3+HLOOKUP(Cronograma!J1968,Meses!$D$1:$G$2,2,FALSE),FALSE),
IF(P1968="En programación",M1968,""))</f>
        <v>#N/A</v>
      </c>
      <c r="S1968" s="25" t="str">
        <f t="shared" si="92"/>
        <v/>
      </c>
      <c r="T1968" s="21" t="str">
        <f>IFERROR(
(VLOOKUP(MONTH(R1968),Meses!$B$3:$C$14,2,FALSE)-DAY(R1968))/VLOOKUP(MONTH(R1968),Meses!$B$3:$C$14,2,FALSE)*U1968,
"")</f>
        <v/>
      </c>
      <c r="U1968" s="22">
        <f t="shared" si="94"/>
        <v>0</v>
      </c>
    </row>
    <row r="1969" spans="1:21" ht="47.4" hidden="1" thickBot="1" x14ac:dyDescent="0.6">
      <c r="A1969" s="10" t="s">
        <v>2988</v>
      </c>
      <c r="B1969" s="10" t="s">
        <v>2572</v>
      </c>
      <c r="C1969" s="12">
        <v>45029</v>
      </c>
      <c r="D1969" s="10" t="s">
        <v>323</v>
      </c>
      <c r="E1969" s="10" t="s">
        <v>677</v>
      </c>
      <c r="F1969" s="10"/>
      <c r="G1969" s="10" t="s">
        <v>15</v>
      </c>
      <c r="H1969" s="10" t="s">
        <v>17</v>
      </c>
      <c r="I1969" s="10" t="s">
        <v>66</v>
      </c>
      <c r="J1969" s="10"/>
      <c r="K1969" s="10"/>
      <c r="L1969" s="10"/>
      <c r="M1969" s="12"/>
      <c r="N1969" s="10"/>
      <c r="O1969" s="10" t="s">
        <v>2054</v>
      </c>
      <c r="P1969" s="25" t="str">
        <f>IFERROR(
IF(OR(O1969="anulado",O1969="stand by"),CONCATENATE(O1969,": ",H1969),
IF(OR(YEAR(M1969)=2022,YEAR(M1969)=2023),CONCATENATE("Se activó en ",YEAR(M1969)),
IF(AND(OR(O1969="En proceso",O1969="facturando"),AND(J1969="-",M1969="")),"Por revisar",
IF(M1969="",IF(J1969="NUEVAS",CONCATENATE("Estado: ",O1969,", ",J1969),
IF(L1969=Meses!$A$3,"Por revisar",
IF(H1969="","Sin registro","En programación Frcst."))),"En programación")))),
"Error")</f>
        <v>En programación Frcst.</v>
      </c>
      <c r="Q1969" s="9" t="str">
        <f t="shared" si="93"/>
        <v/>
      </c>
      <c r="R1969" s="25" t="e">
        <f>IF(P1969="En programación Frcst.",VLOOKUP(L1969,Meses!$A$1:$H$14,3+HLOOKUP(Cronograma!J1969,Meses!$D$1:$G$2,2,FALSE),FALSE),
IF(P1969="En programación",M1969,""))</f>
        <v>#N/A</v>
      </c>
      <c r="S1969" s="25" t="str">
        <f t="shared" si="92"/>
        <v/>
      </c>
      <c r="T1969" s="21" t="str">
        <f>IFERROR(
(VLOOKUP(MONTH(R1969),Meses!$B$3:$C$14,2,FALSE)-DAY(R1969))/VLOOKUP(MONTH(R1969),Meses!$B$3:$C$14,2,FALSE)*U1969,
"")</f>
        <v/>
      </c>
      <c r="U1969" s="22">
        <f t="shared" si="94"/>
        <v>0</v>
      </c>
    </row>
    <row r="1970" spans="1:21" ht="47.4" hidden="1" thickBot="1" x14ac:dyDescent="0.6">
      <c r="A1970" s="10" t="s">
        <v>2989</v>
      </c>
      <c r="B1970" s="10" t="s">
        <v>2573</v>
      </c>
      <c r="C1970" s="12">
        <v>45029</v>
      </c>
      <c r="D1970" s="10" t="s">
        <v>323</v>
      </c>
      <c r="E1970" s="10" t="s">
        <v>14</v>
      </c>
      <c r="F1970" s="10"/>
      <c r="G1970" s="10" t="s">
        <v>15</v>
      </c>
      <c r="H1970" s="10" t="s">
        <v>17</v>
      </c>
      <c r="I1970" s="10" t="s">
        <v>66</v>
      </c>
      <c r="J1970" s="10"/>
      <c r="K1970" s="10"/>
      <c r="L1970" s="10"/>
      <c r="M1970" s="12"/>
      <c r="N1970" s="10"/>
      <c r="O1970" s="10" t="s">
        <v>2054</v>
      </c>
      <c r="P1970" s="25" t="str">
        <f>IFERROR(
IF(OR(O1970="anulado",O1970="stand by"),CONCATENATE(O1970,": ",H1970),
IF(OR(YEAR(M1970)=2022,YEAR(M1970)=2023),CONCATENATE("Se activó en ",YEAR(M1970)),
IF(AND(OR(O1970="En proceso",O1970="facturando"),AND(J1970="-",M1970="")),"Por revisar",
IF(M1970="",IF(J1970="NUEVAS",CONCATENATE("Estado: ",O1970,", ",J1970),
IF(L1970=Meses!$A$3,"Por revisar",
IF(H1970="","Sin registro","En programación Frcst."))),"En programación")))),
"Error")</f>
        <v>En programación Frcst.</v>
      </c>
      <c r="Q1970" s="9" t="str">
        <f t="shared" si="93"/>
        <v/>
      </c>
      <c r="R1970" s="25" t="e">
        <f>IF(P1970="En programación Frcst.",VLOOKUP(L1970,Meses!$A$1:$H$14,3+HLOOKUP(Cronograma!J1970,Meses!$D$1:$G$2,2,FALSE),FALSE),
IF(P1970="En programación",M1970,""))</f>
        <v>#N/A</v>
      </c>
      <c r="S1970" s="25" t="str">
        <f t="shared" si="92"/>
        <v/>
      </c>
      <c r="T1970" s="21" t="str">
        <f>IFERROR(
(VLOOKUP(MONTH(R1970),Meses!$B$3:$C$14,2,FALSE)-DAY(R1970))/VLOOKUP(MONTH(R1970),Meses!$B$3:$C$14,2,FALSE)*U1970,
"")</f>
        <v/>
      </c>
      <c r="U1970" s="22">
        <f t="shared" si="94"/>
        <v>0</v>
      </c>
    </row>
    <row r="1971" spans="1:21" ht="78.599999999999994" hidden="1" thickBot="1" x14ac:dyDescent="0.6">
      <c r="A1971" s="10" t="s">
        <v>2990</v>
      </c>
      <c r="B1971" s="10" t="s">
        <v>2574</v>
      </c>
      <c r="C1971" s="12">
        <v>45029</v>
      </c>
      <c r="D1971" s="10" t="s">
        <v>323</v>
      </c>
      <c r="E1971" s="10" t="s">
        <v>14</v>
      </c>
      <c r="F1971" s="10"/>
      <c r="G1971" s="10" t="s">
        <v>15</v>
      </c>
      <c r="H1971" s="10" t="s">
        <v>17</v>
      </c>
      <c r="I1971" s="10" t="s">
        <v>66</v>
      </c>
      <c r="J1971" s="10"/>
      <c r="K1971" s="10"/>
      <c r="L1971" s="10"/>
      <c r="M1971" s="12"/>
      <c r="N1971" s="10"/>
      <c r="O1971" s="10" t="s">
        <v>2054</v>
      </c>
      <c r="P1971" s="25" t="str">
        <f>IFERROR(
IF(OR(O1971="anulado",O1971="stand by"),CONCATENATE(O1971,": ",H1971),
IF(OR(YEAR(M1971)=2022,YEAR(M1971)=2023),CONCATENATE("Se activó en ",YEAR(M1971)),
IF(AND(OR(O1971="En proceso",O1971="facturando"),AND(J1971="-",M1971="")),"Por revisar",
IF(M1971="",IF(J1971="NUEVAS",CONCATENATE("Estado: ",O1971,", ",J1971),
IF(L1971=Meses!$A$3,"Por revisar",
IF(H1971="","Sin registro","En programación Frcst."))),"En programación")))),
"Error")</f>
        <v>En programación Frcst.</v>
      </c>
      <c r="Q1971" s="9" t="str">
        <f t="shared" si="93"/>
        <v/>
      </c>
      <c r="R1971" s="25" t="e">
        <f>IF(P1971="En programación Frcst.",VLOOKUP(L1971,Meses!$A$1:$H$14,3+HLOOKUP(Cronograma!J1971,Meses!$D$1:$G$2,2,FALSE),FALSE),
IF(P1971="En programación",M1971,""))</f>
        <v>#N/A</v>
      </c>
      <c r="S1971" s="25" t="str">
        <f t="shared" si="92"/>
        <v/>
      </c>
      <c r="T1971" s="21" t="str">
        <f>IFERROR(
(VLOOKUP(MONTH(R1971),Meses!$B$3:$C$14,2,FALSE)-DAY(R1971))/VLOOKUP(MONTH(R1971),Meses!$B$3:$C$14,2,FALSE)*U1971,
"")</f>
        <v/>
      </c>
      <c r="U1971" s="22">
        <f t="shared" si="94"/>
        <v>0</v>
      </c>
    </row>
    <row r="1972" spans="1:21" ht="78.599999999999994" hidden="1" thickBot="1" x14ac:dyDescent="0.6">
      <c r="A1972" s="10" t="s">
        <v>2990</v>
      </c>
      <c r="B1972" s="10" t="s">
        <v>2575</v>
      </c>
      <c r="C1972" s="12">
        <v>45029</v>
      </c>
      <c r="D1972" s="10" t="s">
        <v>323</v>
      </c>
      <c r="E1972" s="10" t="s">
        <v>14</v>
      </c>
      <c r="F1972" s="10"/>
      <c r="G1972" s="10" t="s">
        <v>15</v>
      </c>
      <c r="H1972" s="10" t="s">
        <v>17</v>
      </c>
      <c r="I1972" s="10" t="s">
        <v>66</v>
      </c>
      <c r="J1972" s="10"/>
      <c r="K1972" s="10"/>
      <c r="L1972" s="10"/>
      <c r="M1972" s="12"/>
      <c r="N1972" s="10"/>
      <c r="O1972" s="10" t="s">
        <v>2054</v>
      </c>
      <c r="P1972" s="25" t="str">
        <f>IFERROR(
IF(OR(O1972="anulado",O1972="stand by"),CONCATENATE(O1972,": ",H1972),
IF(OR(YEAR(M1972)=2022,YEAR(M1972)=2023),CONCATENATE("Se activó en ",YEAR(M1972)),
IF(AND(OR(O1972="En proceso",O1972="facturando"),AND(J1972="-",M1972="")),"Por revisar",
IF(M1972="",IF(J1972="NUEVAS",CONCATENATE("Estado: ",O1972,", ",J1972),
IF(L1972=Meses!$A$3,"Por revisar",
IF(H1972="","Sin registro","En programación Frcst."))),"En programación")))),
"Error")</f>
        <v>En programación Frcst.</v>
      </c>
      <c r="Q1972" s="9" t="str">
        <f t="shared" si="93"/>
        <v/>
      </c>
      <c r="R1972" s="25" t="e">
        <f>IF(P1972="En programación Frcst.",VLOOKUP(L1972,Meses!$A$1:$H$14,3+HLOOKUP(Cronograma!J1972,Meses!$D$1:$G$2,2,FALSE),FALSE),
IF(P1972="En programación",M1972,""))</f>
        <v>#N/A</v>
      </c>
      <c r="S1972" s="25" t="str">
        <f t="shared" si="92"/>
        <v/>
      </c>
      <c r="T1972" s="21" t="str">
        <f>IFERROR(
(VLOOKUP(MONTH(R1972),Meses!$B$3:$C$14,2,FALSE)-DAY(R1972))/VLOOKUP(MONTH(R1972),Meses!$B$3:$C$14,2,FALSE)*U1972,
"")</f>
        <v/>
      </c>
      <c r="U1972" s="22">
        <f t="shared" si="94"/>
        <v>0</v>
      </c>
    </row>
    <row r="1973" spans="1:21" ht="63" hidden="1" thickBot="1" x14ac:dyDescent="0.6">
      <c r="A1973" s="10" t="s">
        <v>1152</v>
      </c>
      <c r="B1973" s="10" t="s">
        <v>2576</v>
      </c>
      <c r="C1973" s="12">
        <v>45029</v>
      </c>
      <c r="D1973" s="10" t="s">
        <v>323</v>
      </c>
      <c r="E1973" s="10" t="s">
        <v>14</v>
      </c>
      <c r="F1973" s="10"/>
      <c r="G1973" s="10" t="s">
        <v>15</v>
      </c>
      <c r="H1973" s="10" t="s">
        <v>17</v>
      </c>
      <c r="I1973" s="10" t="s">
        <v>66</v>
      </c>
      <c r="J1973" s="10"/>
      <c r="K1973" s="10"/>
      <c r="L1973" s="10"/>
      <c r="M1973" s="12"/>
      <c r="N1973" s="10"/>
      <c r="O1973" s="10" t="s">
        <v>2054</v>
      </c>
      <c r="P1973" s="25" t="str">
        <f>IFERROR(
IF(OR(O1973="anulado",O1973="stand by"),CONCATENATE(O1973,": ",H1973),
IF(OR(YEAR(M1973)=2022,YEAR(M1973)=2023),CONCATENATE("Se activó en ",YEAR(M1973)),
IF(AND(OR(O1973="En proceso",O1973="facturando"),AND(J1973="-",M1973="")),"Por revisar",
IF(M1973="",IF(J1973="NUEVAS",CONCATENATE("Estado: ",O1973,", ",J1973),
IF(L1973=Meses!$A$3,"Por revisar",
IF(H1973="","Sin registro","En programación Frcst."))),"En programación")))),
"Error")</f>
        <v>En programación Frcst.</v>
      </c>
      <c r="Q1973" s="9" t="str">
        <f t="shared" si="93"/>
        <v/>
      </c>
      <c r="R1973" s="25" t="e">
        <f>IF(P1973="En programación Frcst.",VLOOKUP(L1973,Meses!$A$1:$H$14,3+HLOOKUP(Cronograma!J1973,Meses!$D$1:$G$2,2,FALSE),FALSE),
IF(P1973="En programación",M1973,""))</f>
        <v>#N/A</v>
      </c>
      <c r="S1973" s="25" t="str">
        <f t="shared" si="92"/>
        <v/>
      </c>
      <c r="T1973" s="21" t="str">
        <f>IFERROR(
(VLOOKUP(MONTH(R1973),Meses!$B$3:$C$14,2,FALSE)-DAY(R1973))/VLOOKUP(MONTH(R1973),Meses!$B$3:$C$14,2,FALSE)*U1973,
"")</f>
        <v/>
      </c>
      <c r="U1973" s="22">
        <f t="shared" si="94"/>
        <v>0</v>
      </c>
    </row>
    <row r="1974" spans="1:21" ht="63" hidden="1" thickBot="1" x14ac:dyDescent="0.6">
      <c r="A1974" s="10" t="s">
        <v>1152</v>
      </c>
      <c r="B1974" s="10" t="s">
        <v>2577</v>
      </c>
      <c r="C1974" s="12">
        <v>45029</v>
      </c>
      <c r="D1974" s="10" t="s">
        <v>323</v>
      </c>
      <c r="E1974" s="10" t="s">
        <v>14</v>
      </c>
      <c r="F1974" s="10"/>
      <c r="G1974" s="10" t="s">
        <v>15</v>
      </c>
      <c r="H1974" s="10" t="s">
        <v>17</v>
      </c>
      <c r="I1974" s="10" t="s">
        <v>66</v>
      </c>
      <c r="J1974" s="10"/>
      <c r="K1974" s="10"/>
      <c r="L1974" s="10"/>
      <c r="M1974" s="12"/>
      <c r="N1974" s="10"/>
      <c r="O1974" s="10" t="s">
        <v>2054</v>
      </c>
      <c r="P1974" s="25" t="str">
        <f>IFERROR(
IF(OR(O1974="anulado",O1974="stand by"),CONCATENATE(O1974,": ",H1974),
IF(OR(YEAR(M1974)=2022,YEAR(M1974)=2023),CONCATENATE("Se activó en ",YEAR(M1974)),
IF(AND(OR(O1974="En proceso",O1974="facturando"),AND(J1974="-",M1974="")),"Por revisar",
IF(M1974="",IF(J1974="NUEVAS",CONCATENATE("Estado: ",O1974,", ",J1974),
IF(L1974=Meses!$A$3,"Por revisar",
IF(H1974="","Sin registro","En programación Frcst."))),"En programación")))),
"Error")</f>
        <v>En programación Frcst.</v>
      </c>
      <c r="Q1974" s="9" t="str">
        <f t="shared" si="93"/>
        <v/>
      </c>
      <c r="R1974" s="25" t="e">
        <f>IF(P1974="En programación Frcst.",VLOOKUP(L1974,Meses!$A$1:$H$14,3+HLOOKUP(Cronograma!J1974,Meses!$D$1:$G$2,2,FALSE),FALSE),
IF(P1974="En programación",M1974,""))</f>
        <v>#N/A</v>
      </c>
      <c r="S1974" s="25" t="str">
        <f t="shared" si="92"/>
        <v/>
      </c>
      <c r="T1974" s="21" t="str">
        <f>IFERROR(
(VLOOKUP(MONTH(R1974),Meses!$B$3:$C$14,2,FALSE)-DAY(R1974))/VLOOKUP(MONTH(R1974),Meses!$B$3:$C$14,2,FALSE)*U1974,
"")</f>
        <v/>
      </c>
      <c r="U1974" s="22">
        <f t="shared" si="94"/>
        <v>0</v>
      </c>
    </row>
    <row r="1975" spans="1:21" ht="31.8" hidden="1" thickBot="1" x14ac:dyDescent="0.6">
      <c r="A1975" s="10" t="s">
        <v>2991</v>
      </c>
      <c r="B1975" s="10" t="s">
        <v>2578</v>
      </c>
      <c r="C1975" s="12">
        <v>45029</v>
      </c>
      <c r="D1975" s="10" t="s">
        <v>323</v>
      </c>
      <c r="E1975" s="10" t="s">
        <v>291</v>
      </c>
      <c r="F1975" s="10"/>
      <c r="G1975" s="10" t="s">
        <v>15</v>
      </c>
      <c r="H1975" s="10" t="s">
        <v>17</v>
      </c>
      <c r="I1975" s="10" t="s">
        <v>66</v>
      </c>
      <c r="J1975" s="10"/>
      <c r="K1975" s="10"/>
      <c r="L1975" s="10"/>
      <c r="M1975" s="12"/>
      <c r="N1975" s="10"/>
      <c r="O1975" s="10" t="s">
        <v>2054</v>
      </c>
      <c r="P1975" s="25" t="str">
        <f>IFERROR(
IF(OR(O1975="anulado",O1975="stand by"),CONCATENATE(O1975,": ",H1975),
IF(OR(YEAR(M1975)=2022,YEAR(M1975)=2023),CONCATENATE("Se activó en ",YEAR(M1975)),
IF(AND(OR(O1975="En proceso",O1975="facturando"),AND(J1975="-",M1975="")),"Por revisar",
IF(M1975="",IF(J1975="NUEVAS",CONCATENATE("Estado: ",O1975,", ",J1975),
IF(L1975=Meses!$A$3,"Por revisar",
IF(H1975="","Sin registro","En programación Frcst."))),"En programación")))),
"Error")</f>
        <v>En programación Frcst.</v>
      </c>
      <c r="Q1975" s="9" t="str">
        <f t="shared" si="93"/>
        <v/>
      </c>
      <c r="R1975" s="25" t="e">
        <f>IF(P1975="En programación Frcst.",VLOOKUP(L1975,Meses!$A$1:$H$14,3+HLOOKUP(Cronograma!J1975,Meses!$D$1:$G$2,2,FALSE),FALSE),
IF(P1975="En programación",M1975,""))</f>
        <v>#N/A</v>
      </c>
      <c r="S1975" s="25" t="str">
        <f t="shared" si="92"/>
        <v/>
      </c>
      <c r="T1975" s="21" t="str">
        <f>IFERROR(
(VLOOKUP(MONTH(R1975),Meses!$B$3:$C$14,2,FALSE)-DAY(R1975))/VLOOKUP(MONTH(R1975),Meses!$B$3:$C$14,2,FALSE)*U1975,
"")</f>
        <v/>
      </c>
      <c r="U1975" s="22">
        <f t="shared" si="94"/>
        <v>0</v>
      </c>
    </row>
    <row r="1976" spans="1:21" ht="94.2" hidden="1" thickBot="1" x14ac:dyDescent="0.6">
      <c r="A1976" s="10" t="s">
        <v>2992</v>
      </c>
      <c r="B1976" s="10" t="s">
        <v>2579</v>
      </c>
      <c r="C1976" s="12">
        <v>45029</v>
      </c>
      <c r="D1976" s="10" t="s">
        <v>323</v>
      </c>
      <c r="E1976" s="10" t="s">
        <v>291</v>
      </c>
      <c r="F1976" s="10"/>
      <c r="G1976" s="10" t="s">
        <v>15</v>
      </c>
      <c r="H1976" s="10" t="s">
        <v>17</v>
      </c>
      <c r="I1976" s="10" t="s">
        <v>66</v>
      </c>
      <c r="J1976" s="10"/>
      <c r="K1976" s="10"/>
      <c r="L1976" s="10"/>
      <c r="M1976" s="12"/>
      <c r="N1976" s="10"/>
      <c r="O1976" s="10" t="s">
        <v>2054</v>
      </c>
      <c r="P1976" s="25" t="str">
        <f>IFERROR(
IF(OR(O1976="anulado",O1976="stand by"),CONCATENATE(O1976,": ",H1976),
IF(OR(YEAR(M1976)=2022,YEAR(M1976)=2023),CONCATENATE("Se activó en ",YEAR(M1976)),
IF(AND(OR(O1976="En proceso",O1976="facturando"),AND(J1976="-",M1976="")),"Por revisar",
IF(M1976="",IF(J1976="NUEVAS",CONCATENATE("Estado: ",O1976,", ",J1976),
IF(L1976=Meses!$A$3,"Por revisar",
IF(H1976="","Sin registro","En programación Frcst."))),"En programación")))),
"Error")</f>
        <v>En programación Frcst.</v>
      </c>
      <c r="Q1976" s="9" t="str">
        <f t="shared" si="93"/>
        <v/>
      </c>
      <c r="R1976" s="25" t="e">
        <f>IF(P1976="En programación Frcst.",VLOOKUP(L1976,Meses!$A$1:$H$14,3+HLOOKUP(Cronograma!J1976,Meses!$D$1:$G$2,2,FALSE),FALSE),
IF(P1976="En programación",M1976,""))</f>
        <v>#N/A</v>
      </c>
      <c r="S1976" s="25" t="str">
        <f t="shared" si="92"/>
        <v/>
      </c>
      <c r="T1976" s="21" t="str">
        <f>IFERROR(
(VLOOKUP(MONTH(R1976),Meses!$B$3:$C$14,2,FALSE)-DAY(R1976))/VLOOKUP(MONTH(R1976),Meses!$B$3:$C$14,2,FALSE)*U1976,
"")</f>
        <v/>
      </c>
      <c r="U1976" s="22">
        <f t="shared" si="94"/>
        <v>0</v>
      </c>
    </row>
    <row r="1977" spans="1:21" ht="63" hidden="1" thickBot="1" x14ac:dyDescent="0.6">
      <c r="A1977" s="10" t="s">
        <v>1633</v>
      </c>
      <c r="B1977" s="10" t="s">
        <v>2580</v>
      </c>
      <c r="C1977" s="12">
        <v>45029</v>
      </c>
      <c r="D1977" s="10" t="s">
        <v>323</v>
      </c>
      <c r="E1977" s="10" t="s">
        <v>289</v>
      </c>
      <c r="F1977" s="10"/>
      <c r="G1977" s="10" t="s">
        <v>15</v>
      </c>
      <c r="H1977" s="10" t="s">
        <v>17</v>
      </c>
      <c r="I1977" s="10" t="s">
        <v>66</v>
      </c>
      <c r="J1977" s="10"/>
      <c r="K1977" s="10"/>
      <c r="L1977" s="10"/>
      <c r="M1977" s="12"/>
      <c r="N1977" s="10"/>
      <c r="O1977" s="10" t="s">
        <v>2054</v>
      </c>
      <c r="P1977" s="25" t="str">
        <f>IFERROR(
IF(OR(O1977="anulado",O1977="stand by"),CONCATENATE(O1977,": ",H1977),
IF(OR(YEAR(M1977)=2022,YEAR(M1977)=2023),CONCATENATE("Se activó en ",YEAR(M1977)),
IF(AND(OR(O1977="En proceso",O1977="facturando"),AND(J1977="-",M1977="")),"Por revisar",
IF(M1977="",IF(J1977="NUEVAS",CONCATENATE("Estado: ",O1977,", ",J1977),
IF(L1977=Meses!$A$3,"Por revisar",
IF(H1977="","Sin registro","En programación Frcst."))),"En programación")))),
"Error")</f>
        <v>En programación Frcst.</v>
      </c>
      <c r="Q1977" s="9" t="str">
        <f t="shared" si="93"/>
        <v/>
      </c>
      <c r="R1977" s="25" t="e">
        <f>IF(P1977="En programación Frcst.",VLOOKUP(L1977,Meses!$A$1:$H$14,3+HLOOKUP(Cronograma!J1977,Meses!$D$1:$G$2,2,FALSE),FALSE),
IF(P1977="En programación",M1977,""))</f>
        <v>#N/A</v>
      </c>
      <c r="S1977" s="25" t="str">
        <f t="shared" si="92"/>
        <v/>
      </c>
      <c r="T1977" s="21" t="str">
        <f>IFERROR(
(VLOOKUP(MONTH(R1977),Meses!$B$3:$C$14,2,FALSE)-DAY(R1977))/VLOOKUP(MONTH(R1977),Meses!$B$3:$C$14,2,FALSE)*U1977,
"")</f>
        <v/>
      </c>
      <c r="U1977" s="22">
        <f t="shared" si="94"/>
        <v>0</v>
      </c>
    </row>
    <row r="1978" spans="1:21" ht="63" hidden="1" thickBot="1" x14ac:dyDescent="0.6">
      <c r="A1978" s="10" t="s">
        <v>2993</v>
      </c>
      <c r="B1978" s="10" t="s">
        <v>2581</v>
      </c>
      <c r="C1978" s="12">
        <v>45036</v>
      </c>
      <c r="D1978" s="10" t="s">
        <v>323</v>
      </c>
      <c r="E1978" s="10" t="s">
        <v>14</v>
      </c>
      <c r="F1978" s="10"/>
      <c r="G1978" s="10" t="s">
        <v>15</v>
      </c>
      <c r="H1978" s="10" t="s">
        <v>17</v>
      </c>
      <c r="I1978" s="10" t="s">
        <v>66</v>
      </c>
      <c r="J1978" s="10"/>
      <c r="K1978" s="10"/>
      <c r="L1978" s="10"/>
      <c r="M1978" s="12"/>
      <c r="N1978" s="10"/>
      <c r="O1978" s="10" t="s">
        <v>2054</v>
      </c>
      <c r="P1978" s="25" t="str">
        <f>IFERROR(
IF(OR(O1978="anulado",O1978="stand by"),CONCATENATE(O1978,": ",H1978),
IF(OR(YEAR(M1978)=2022,YEAR(M1978)=2023),CONCATENATE("Se activó en ",YEAR(M1978)),
IF(AND(OR(O1978="En proceso",O1978="facturando"),AND(J1978="-",M1978="")),"Por revisar",
IF(M1978="",IF(J1978="NUEVAS",CONCATENATE("Estado: ",O1978,", ",J1978),
IF(L1978=Meses!$A$3,"Por revisar",
IF(H1978="","Sin registro","En programación Frcst."))),"En programación")))),
"Error")</f>
        <v>En programación Frcst.</v>
      </c>
      <c r="Q1978" s="9" t="str">
        <f t="shared" si="93"/>
        <v/>
      </c>
      <c r="R1978" s="25" t="e">
        <f>IF(P1978="En programación Frcst.",VLOOKUP(L1978,Meses!$A$1:$H$14,3+HLOOKUP(Cronograma!J1978,Meses!$D$1:$G$2,2,FALSE),FALSE),
IF(P1978="En programación",M1978,""))</f>
        <v>#N/A</v>
      </c>
      <c r="S1978" s="25" t="str">
        <f t="shared" si="92"/>
        <v/>
      </c>
      <c r="T1978" s="21" t="str">
        <f>IFERROR(
(VLOOKUP(MONTH(R1978),Meses!$B$3:$C$14,2,FALSE)-DAY(R1978))/VLOOKUP(MONTH(R1978),Meses!$B$3:$C$14,2,FALSE)*U1978,
"")</f>
        <v/>
      </c>
      <c r="U1978" s="22">
        <f t="shared" si="94"/>
        <v>0</v>
      </c>
    </row>
    <row r="1979" spans="1:21" ht="31.8" hidden="1" thickBot="1" x14ac:dyDescent="0.6">
      <c r="A1979" s="10" t="s">
        <v>2994</v>
      </c>
      <c r="B1979" s="10" t="s">
        <v>2582</v>
      </c>
      <c r="C1979" s="12">
        <v>45029</v>
      </c>
      <c r="D1979" s="10" t="s">
        <v>323</v>
      </c>
      <c r="E1979" s="10" t="s">
        <v>289</v>
      </c>
      <c r="F1979" s="10"/>
      <c r="G1979" s="10" t="s">
        <v>15</v>
      </c>
      <c r="H1979" s="10" t="s">
        <v>17</v>
      </c>
      <c r="I1979" s="10" t="s">
        <v>66</v>
      </c>
      <c r="J1979" s="10"/>
      <c r="K1979" s="10"/>
      <c r="L1979" s="10"/>
      <c r="M1979" s="12"/>
      <c r="N1979" s="10"/>
      <c r="O1979" s="10" t="s">
        <v>2054</v>
      </c>
      <c r="P1979" s="25" t="str">
        <f>IFERROR(
IF(OR(O1979="anulado",O1979="stand by"),CONCATENATE(O1979,": ",H1979),
IF(OR(YEAR(M1979)=2022,YEAR(M1979)=2023),CONCATENATE("Se activó en ",YEAR(M1979)),
IF(AND(OR(O1979="En proceso",O1979="facturando"),AND(J1979="-",M1979="")),"Por revisar",
IF(M1979="",IF(J1979="NUEVAS",CONCATENATE("Estado: ",O1979,", ",J1979),
IF(L1979=Meses!$A$3,"Por revisar",
IF(H1979="","Sin registro","En programación Frcst."))),"En programación")))),
"Error")</f>
        <v>En programación Frcst.</v>
      </c>
      <c r="Q1979" s="9" t="str">
        <f t="shared" si="93"/>
        <v/>
      </c>
      <c r="R1979" s="25" t="e">
        <f>IF(P1979="En programación Frcst.",VLOOKUP(L1979,Meses!$A$1:$H$14,3+HLOOKUP(Cronograma!J1979,Meses!$D$1:$G$2,2,FALSE),FALSE),
IF(P1979="En programación",M1979,""))</f>
        <v>#N/A</v>
      </c>
      <c r="S1979" s="25" t="str">
        <f t="shared" si="92"/>
        <v/>
      </c>
      <c r="T1979" s="21" t="str">
        <f>IFERROR(
(VLOOKUP(MONTH(R1979),Meses!$B$3:$C$14,2,FALSE)-DAY(R1979))/VLOOKUP(MONTH(R1979),Meses!$B$3:$C$14,2,FALSE)*U1979,
"")</f>
        <v/>
      </c>
      <c r="U1979" s="22">
        <f t="shared" si="94"/>
        <v>0</v>
      </c>
    </row>
    <row r="1980" spans="1:21" ht="31.8" hidden="1" thickBot="1" x14ac:dyDescent="0.6">
      <c r="A1980" s="10" t="s">
        <v>2995</v>
      </c>
      <c r="B1980" s="10" t="s">
        <v>2583</v>
      </c>
      <c r="C1980" s="12">
        <v>45029</v>
      </c>
      <c r="D1980" s="10" t="s">
        <v>323</v>
      </c>
      <c r="E1980" s="10" t="s">
        <v>289</v>
      </c>
      <c r="F1980" s="10"/>
      <c r="G1980" s="10" t="s">
        <v>15</v>
      </c>
      <c r="H1980" s="10" t="s">
        <v>17</v>
      </c>
      <c r="I1980" s="10" t="s">
        <v>66</v>
      </c>
      <c r="J1980" s="10"/>
      <c r="K1980" s="10"/>
      <c r="L1980" s="10"/>
      <c r="M1980" s="12"/>
      <c r="N1980" s="10"/>
      <c r="O1980" s="10" t="s">
        <v>2054</v>
      </c>
      <c r="P1980" s="25" t="str">
        <f>IFERROR(
IF(OR(O1980="anulado",O1980="stand by"),CONCATENATE(O1980,": ",H1980),
IF(OR(YEAR(M1980)=2022,YEAR(M1980)=2023),CONCATENATE("Se activó en ",YEAR(M1980)),
IF(AND(OR(O1980="En proceso",O1980="facturando"),AND(J1980="-",M1980="")),"Por revisar",
IF(M1980="",IF(J1980="NUEVAS",CONCATENATE("Estado: ",O1980,", ",J1980),
IF(L1980=Meses!$A$3,"Por revisar",
IF(H1980="","Sin registro","En programación Frcst."))),"En programación")))),
"Error")</f>
        <v>En programación Frcst.</v>
      </c>
      <c r="Q1980" s="9" t="str">
        <f t="shared" si="93"/>
        <v/>
      </c>
      <c r="R1980" s="25" t="e">
        <f>IF(P1980="En programación Frcst.",VLOOKUP(L1980,Meses!$A$1:$H$14,3+HLOOKUP(Cronograma!J1980,Meses!$D$1:$G$2,2,FALSE),FALSE),
IF(P1980="En programación",M1980,""))</f>
        <v>#N/A</v>
      </c>
      <c r="S1980" s="25" t="str">
        <f t="shared" si="92"/>
        <v/>
      </c>
      <c r="T1980" s="21" t="str">
        <f>IFERROR(
(VLOOKUP(MONTH(R1980),Meses!$B$3:$C$14,2,FALSE)-DAY(R1980))/VLOOKUP(MONTH(R1980),Meses!$B$3:$C$14,2,FALSE)*U1980,
"")</f>
        <v/>
      </c>
      <c r="U1980" s="22">
        <f t="shared" si="94"/>
        <v>0</v>
      </c>
    </row>
    <row r="1981" spans="1:21" ht="31.8" hidden="1" thickBot="1" x14ac:dyDescent="0.6">
      <c r="A1981" s="10" t="s">
        <v>2995</v>
      </c>
      <c r="B1981" s="10" t="s">
        <v>2584</v>
      </c>
      <c r="C1981" s="12">
        <v>45029</v>
      </c>
      <c r="D1981" s="10" t="s">
        <v>323</v>
      </c>
      <c r="E1981" s="10" t="s">
        <v>289</v>
      </c>
      <c r="F1981" s="10"/>
      <c r="G1981" s="10" t="s">
        <v>15</v>
      </c>
      <c r="H1981" s="10" t="s">
        <v>17</v>
      </c>
      <c r="I1981" s="10" t="s">
        <v>66</v>
      </c>
      <c r="J1981" s="10"/>
      <c r="K1981" s="10"/>
      <c r="L1981" s="10"/>
      <c r="M1981" s="12"/>
      <c r="N1981" s="10"/>
      <c r="O1981" s="10" t="s">
        <v>2054</v>
      </c>
      <c r="P1981" s="25" t="str">
        <f>IFERROR(
IF(OR(O1981="anulado",O1981="stand by"),CONCATENATE(O1981,": ",H1981),
IF(OR(YEAR(M1981)=2022,YEAR(M1981)=2023),CONCATENATE("Se activó en ",YEAR(M1981)),
IF(AND(OR(O1981="En proceso",O1981="facturando"),AND(J1981="-",M1981="")),"Por revisar",
IF(M1981="",IF(J1981="NUEVAS",CONCATENATE("Estado: ",O1981,", ",J1981),
IF(L1981=Meses!$A$3,"Por revisar",
IF(H1981="","Sin registro","En programación Frcst."))),"En programación")))),
"Error")</f>
        <v>En programación Frcst.</v>
      </c>
      <c r="Q1981" s="9" t="str">
        <f t="shared" si="93"/>
        <v/>
      </c>
      <c r="R1981" s="25" t="e">
        <f>IF(P1981="En programación Frcst.",VLOOKUP(L1981,Meses!$A$1:$H$14,3+HLOOKUP(Cronograma!J1981,Meses!$D$1:$G$2,2,FALSE),FALSE),
IF(P1981="En programación",M1981,""))</f>
        <v>#N/A</v>
      </c>
      <c r="S1981" s="25" t="str">
        <f t="shared" ref="S1981:S2044" si="95">IFERROR(CONCATENATE(YEAR(R1981),"/",MONTH(R1981)),"")</f>
        <v/>
      </c>
      <c r="T1981" s="21" t="str">
        <f>IFERROR(
(VLOOKUP(MONTH(R1981),Meses!$B$3:$C$14,2,FALSE)-DAY(R1981))/VLOOKUP(MONTH(R1981),Meses!$B$3:$C$14,2,FALSE)*U1981,
"")</f>
        <v/>
      </c>
      <c r="U1981" s="22">
        <f t="shared" si="94"/>
        <v>0</v>
      </c>
    </row>
    <row r="1982" spans="1:21" ht="31.8" hidden="1" thickBot="1" x14ac:dyDescent="0.6">
      <c r="A1982" s="10" t="s">
        <v>2996</v>
      </c>
      <c r="B1982" s="10" t="s">
        <v>2585</v>
      </c>
      <c r="C1982" s="12">
        <v>45029</v>
      </c>
      <c r="D1982" s="10" t="s">
        <v>323</v>
      </c>
      <c r="E1982" s="10" t="s">
        <v>291</v>
      </c>
      <c r="F1982" s="10"/>
      <c r="G1982" s="10" t="s">
        <v>15</v>
      </c>
      <c r="H1982" s="10" t="s">
        <v>17</v>
      </c>
      <c r="I1982" s="10" t="s">
        <v>66</v>
      </c>
      <c r="J1982" s="10"/>
      <c r="K1982" s="10"/>
      <c r="L1982" s="10"/>
      <c r="M1982" s="12"/>
      <c r="N1982" s="10"/>
      <c r="O1982" s="10" t="s">
        <v>2054</v>
      </c>
      <c r="P1982" s="25" t="str">
        <f>IFERROR(
IF(OR(O1982="anulado",O1982="stand by"),CONCATENATE(O1982,": ",H1982),
IF(OR(YEAR(M1982)=2022,YEAR(M1982)=2023),CONCATENATE("Se activó en ",YEAR(M1982)),
IF(AND(OR(O1982="En proceso",O1982="facturando"),AND(J1982="-",M1982="")),"Por revisar",
IF(M1982="",IF(J1982="NUEVAS",CONCATENATE("Estado: ",O1982,", ",J1982),
IF(L1982=Meses!$A$3,"Por revisar",
IF(H1982="","Sin registro","En programación Frcst."))),"En programación")))),
"Error")</f>
        <v>En programación Frcst.</v>
      </c>
      <c r="Q1982" s="9" t="str">
        <f t="shared" si="93"/>
        <v/>
      </c>
      <c r="R1982" s="25" t="e">
        <f>IF(P1982="En programación Frcst.",VLOOKUP(L1982,Meses!$A$1:$H$14,3+HLOOKUP(Cronograma!J1982,Meses!$D$1:$G$2,2,FALSE),FALSE),
IF(P1982="En programación",M1982,""))</f>
        <v>#N/A</v>
      </c>
      <c r="S1982" s="25" t="str">
        <f t="shared" si="95"/>
        <v/>
      </c>
      <c r="T1982" s="21" t="str">
        <f>IFERROR(
(VLOOKUP(MONTH(R1982),Meses!$B$3:$C$14,2,FALSE)-DAY(R1982))/VLOOKUP(MONTH(R1982),Meses!$B$3:$C$14,2,FALSE)*U1982,
"")</f>
        <v/>
      </c>
      <c r="U1982" s="22">
        <f t="shared" si="94"/>
        <v>0</v>
      </c>
    </row>
    <row r="1983" spans="1:21" ht="47.4" hidden="1" thickBot="1" x14ac:dyDescent="0.6">
      <c r="A1983" s="10" t="s">
        <v>2997</v>
      </c>
      <c r="B1983" s="10" t="s">
        <v>2586</v>
      </c>
      <c r="C1983" s="12">
        <v>45036</v>
      </c>
      <c r="D1983" s="10" t="s">
        <v>323</v>
      </c>
      <c r="E1983" s="10" t="s">
        <v>14</v>
      </c>
      <c r="F1983" s="10"/>
      <c r="G1983" s="10" t="s">
        <v>15</v>
      </c>
      <c r="H1983" s="10" t="s">
        <v>17</v>
      </c>
      <c r="I1983" s="10" t="s">
        <v>66</v>
      </c>
      <c r="J1983" s="10"/>
      <c r="K1983" s="10"/>
      <c r="L1983" s="10"/>
      <c r="M1983" s="12"/>
      <c r="N1983" s="10"/>
      <c r="O1983" s="10" t="s">
        <v>2054</v>
      </c>
      <c r="P1983" s="25" t="str">
        <f>IFERROR(
IF(OR(O1983="anulado",O1983="stand by"),CONCATENATE(O1983,": ",H1983),
IF(OR(YEAR(M1983)=2022,YEAR(M1983)=2023),CONCATENATE("Se activó en ",YEAR(M1983)),
IF(AND(OR(O1983="En proceso",O1983="facturando"),AND(J1983="-",M1983="")),"Por revisar",
IF(M1983="",IF(J1983="NUEVAS",CONCATENATE("Estado: ",O1983,", ",J1983),
IF(L1983=Meses!$A$3,"Por revisar",
IF(H1983="","Sin registro","En programación Frcst."))),"En programación")))),
"Error")</f>
        <v>En programación Frcst.</v>
      </c>
      <c r="Q1983" s="9" t="str">
        <f t="shared" si="93"/>
        <v/>
      </c>
      <c r="R1983" s="25" t="e">
        <f>IF(P1983="En programación Frcst.",VLOOKUP(L1983,Meses!$A$1:$H$14,3+HLOOKUP(Cronograma!J1983,Meses!$D$1:$G$2,2,FALSE),FALSE),
IF(P1983="En programación",M1983,""))</f>
        <v>#N/A</v>
      </c>
      <c r="S1983" s="25" t="str">
        <f t="shared" si="95"/>
        <v/>
      </c>
      <c r="T1983" s="21" t="str">
        <f>IFERROR(
(VLOOKUP(MONTH(R1983),Meses!$B$3:$C$14,2,FALSE)-DAY(R1983))/VLOOKUP(MONTH(R1983),Meses!$B$3:$C$14,2,FALSE)*U1983,
"")</f>
        <v/>
      </c>
      <c r="U1983" s="22">
        <f t="shared" si="94"/>
        <v>0</v>
      </c>
    </row>
    <row r="1984" spans="1:21" ht="47.4" hidden="1" thickBot="1" x14ac:dyDescent="0.6">
      <c r="A1984" s="10" t="s">
        <v>2998</v>
      </c>
      <c r="B1984" s="10" t="s">
        <v>2587</v>
      </c>
      <c r="C1984" s="12">
        <v>45029</v>
      </c>
      <c r="D1984" s="10" t="s">
        <v>323</v>
      </c>
      <c r="E1984" s="10"/>
      <c r="F1984" s="10"/>
      <c r="G1984" s="10" t="s">
        <v>15</v>
      </c>
      <c r="H1984" s="10" t="s">
        <v>17</v>
      </c>
      <c r="I1984" s="10" t="s">
        <v>66</v>
      </c>
      <c r="J1984" s="10"/>
      <c r="K1984" s="10"/>
      <c r="L1984" s="10"/>
      <c r="M1984" s="12"/>
      <c r="N1984" s="10"/>
      <c r="O1984" s="10" t="s">
        <v>2054</v>
      </c>
      <c r="P1984" s="25" t="str">
        <f>IFERROR(
IF(OR(O1984="anulado",O1984="stand by"),CONCATENATE(O1984,": ",H1984),
IF(OR(YEAR(M1984)=2022,YEAR(M1984)=2023),CONCATENATE("Se activó en ",YEAR(M1984)),
IF(AND(OR(O1984="En proceso",O1984="facturando"),AND(J1984="-",M1984="")),"Por revisar",
IF(M1984="",IF(J1984="NUEVAS",CONCATENATE("Estado: ",O1984,", ",J1984),
IF(L1984=Meses!$A$3,"Por revisar",
IF(H1984="","Sin registro","En programación Frcst."))),"En programación")))),
"Error")</f>
        <v>En programación Frcst.</v>
      </c>
      <c r="Q1984" s="9" t="str">
        <f t="shared" si="93"/>
        <v/>
      </c>
      <c r="R1984" s="25" t="e">
        <f>IF(P1984="En programación Frcst.",VLOOKUP(L1984,Meses!$A$1:$H$14,3+HLOOKUP(Cronograma!J1984,Meses!$D$1:$G$2,2,FALSE),FALSE),
IF(P1984="En programación",M1984,""))</f>
        <v>#N/A</v>
      </c>
      <c r="S1984" s="25" t="str">
        <f t="shared" si="95"/>
        <v/>
      </c>
      <c r="T1984" s="21" t="str">
        <f>IFERROR(
(VLOOKUP(MONTH(R1984),Meses!$B$3:$C$14,2,FALSE)-DAY(R1984))/VLOOKUP(MONTH(R1984),Meses!$B$3:$C$14,2,FALSE)*U1984,
"")</f>
        <v/>
      </c>
      <c r="U1984" s="22">
        <f t="shared" si="94"/>
        <v>0</v>
      </c>
    </row>
    <row r="1985" spans="1:21" ht="47.4" hidden="1" thickBot="1" x14ac:dyDescent="0.6">
      <c r="A1985" s="10" t="s">
        <v>2999</v>
      </c>
      <c r="B1985" s="10" t="s">
        <v>2588</v>
      </c>
      <c r="C1985" s="12">
        <v>45029</v>
      </c>
      <c r="D1985" s="10" t="s">
        <v>323</v>
      </c>
      <c r="E1985" s="10" t="s">
        <v>23</v>
      </c>
      <c r="F1985" s="10"/>
      <c r="G1985" s="10" t="s">
        <v>15</v>
      </c>
      <c r="H1985" s="10" t="s">
        <v>17</v>
      </c>
      <c r="I1985" s="10" t="s">
        <v>66</v>
      </c>
      <c r="J1985" s="10"/>
      <c r="K1985" s="10"/>
      <c r="L1985" s="10"/>
      <c r="M1985" s="12"/>
      <c r="N1985" s="10"/>
      <c r="O1985" s="10" t="s">
        <v>2054</v>
      </c>
      <c r="P1985" s="25" t="str">
        <f>IFERROR(
IF(OR(O1985="anulado",O1985="stand by"),CONCATENATE(O1985,": ",H1985),
IF(OR(YEAR(M1985)=2022,YEAR(M1985)=2023),CONCATENATE("Se activó en ",YEAR(M1985)),
IF(AND(OR(O1985="En proceso",O1985="facturando"),AND(J1985="-",M1985="")),"Por revisar",
IF(M1985="",IF(J1985="NUEVAS",CONCATENATE("Estado: ",O1985,", ",J1985),
IF(L1985=Meses!$A$3,"Por revisar",
IF(H1985="","Sin registro","En programación Frcst."))),"En programación")))),
"Error")</f>
        <v>En programación Frcst.</v>
      </c>
      <c r="Q1985" s="9" t="str">
        <f t="shared" si="93"/>
        <v/>
      </c>
      <c r="R1985" s="25" t="e">
        <f>IF(P1985="En programación Frcst.",VLOOKUP(L1985,Meses!$A$1:$H$14,3+HLOOKUP(Cronograma!J1985,Meses!$D$1:$G$2,2,FALSE),FALSE),
IF(P1985="En programación",M1985,""))</f>
        <v>#N/A</v>
      </c>
      <c r="S1985" s="25" t="str">
        <f t="shared" si="95"/>
        <v/>
      </c>
      <c r="T1985" s="21" t="str">
        <f>IFERROR(
(VLOOKUP(MONTH(R1985),Meses!$B$3:$C$14,2,FALSE)-DAY(R1985))/VLOOKUP(MONTH(R1985),Meses!$B$3:$C$14,2,FALSE)*U1985,
"")</f>
        <v/>
      </c>
      <c r="U1985" s="22">
        <f t="shared" si="94"/>
        <v>0</v>
      </c>
    </row>
    <row r="1986" spans="1:21" ht="31.8" hidden="1" thickBot="1" x14ac:dyDescent="0.6">
      <c r="A1986" s="10" t="s">
        <v>3000</v>
      </c>
      <c r="B1986" s="10" t="s">
        <v>2589</v>
      </c>
      <c r="C1986" s="12">
        <v>45029</v>
      </c>
      <c r="D1986" s="10" t="s">
        <v>323</v>
      </c>
      <c r="E1986" s="10" t="s">
        <v>291</v>
      </c>
      <c r="F1986" s="10"/>
      <c r="G1986" s="10" t="s">
        <v>15</v>
      </c>
      <c r="H1986" s="10" t="s">
        <v>17</v>
      </c>
      <c r="I1986" s="10" t="s">
        <v>66</v>
      </c>
      <c r="J1986" s="10"/>
      <c r="K1986" s="10"/>
      <c r="L1986" s="10"/>
      <c r="M1986" s="12"/>
      <c r="N1986" s="10"/>
      <c r="O1986" s="10" t="s">
        <v>2054</v>
      </c>
      <c r="P1986" s="25" t="str">
        <f>IFERROR(
IF(OR(O1986="anulado",O1986="stand by"),CONCATENATE(O1986,": ",H1986),
IF(OR(YEAR(M1986)=2022,YEAR(M1986)=2023),CONCATENATE("Se activó en ",YEAR(M1986)),
IF(AND(OR(O1986="En proceso",O1986="facturando"),AND(J1986="-",M1986="")),"Por revisar",
IF(M1986="",IF(J1986="NUEVAS",CONCATENATE("Estado: ",O1986,", ",J1986),
IF(L1986=Meses!$A$3,"Por revisar",
IF(H1986="","Sin registro","En programación Frcst."))),"En programación")))),
"Error")</f>
        <v>En programación Frcst.</v>
      </c>
      <c r="Q1986" s="9" t="str">
        <f t="shared" ref="Q1986:Q2049" si="96">IF(P1986="Por revisar",CONCATENATE("programación de act. ",N1986,", estado: ",O1986,", Comercializador: ",D1986,", Etapa: ",H1986),"")</f>
        <v/>
      </c>
      <c r="R1986" s="25" t="e">
        <f>IF(P1986="En programación Frcst.",VLOOKUP(L1986,Meses!$A$1:$H$14,3+HLOOKUP(Cronograma!J1986,Meses!$D$1:$G$2,2,FALSE),FALSE),
IF(P1986="En programación",M1986,""))</f>
        <v>#N/A</v>
      </c>
      <c r="S1986" s="25" t="str">
        <f t="shared" si="95"/>
        <v/>
      </c>
      <c r="T1986" s="21" t="str">
        <f>IFERROR(
(VLOOKUP(MONTH(R1986),Meses!$B$3:$C$14,2,FALSE)-DAY(R1986))/VLOOKUP(MONTH(R1986),Meses!$B$3:$C$14,2,FALSE)*U1986,
"")</f>
        <v/>
      </c>
      <c r="U1986" s="22">
        <f t="shared" ref="U1986:U2049" si="97">F1986</f>
        <v>0</v>
      </c>
    </row>
    <row r="1987" spans="1:21" ht="31.8" hidden="1" thickBot="1" x14ac:dyDescent="0.6">
      <c r="A1987" s="10" t="s">
        <v>3001</v>
      </c>
      <c r="B1987" s="10" t="s">
        <v>2590</v>
      </c>
      <c r="C1987" s="12">
        <v>45029</v>
      </c>
      <c r="D1987" s="10" t="s">
        <v>323</v>
      </c>
      <c r="E1987" s="10" t="s">
        <v>291</v>
      </c>
      <c r="F1987" s="10"/>
      <c r="G1987" s="10" t="s">
        <v>15</v>
      </c>
      <c r="H1987" s="10" t="s">
        <v>17</v>
      </c>
      <c r="I1987" s="10" t="s">
        <v>66</v>
      </c>
      <c r="J1987" s="10"/>
      <c r="K1987" s="10"/>
      <c r="L1987" s="10"/>
      <c r="M1987" s="12"/>
      <c r="N1987" s="10"/>
      <c r="O1987" s="10" t="s">
        <v>2054</v>
      </c>
      <c r="P1987" s="25" t="str">
        <f>IFERROR(
IF(OR(O1987="anulado",O1987="stand by"),CONCATENATE(O1987,": ",H1987),
IF(OR(YEAR(M1987)=2022,YEAR(M1987)=2023),CONCATENATE("Se activó en ",YEAR(M1987)),
IF(AND(OR(O1987="En proceso",O1987="facturando"),AND(J1987="-",M1987="")),"Por revisar",
IF(M1987="",IF(J1987="NUEVAS",CONCATENATE("Estado: ",O1987,", ",J1987),
IF(L1987=Meses!$A$3,"Por revisar",
IF(H1987="","Sin registro","En programación Frcst."))),"En programación")))),
"Error")</f>
        <v>En programación Frcst.</v>
      </c>
      <c r="Q1987" s="9" t="str">
        <f t="shared" si="96"/>
        <v/>
      </c>
      <c r="R1987" s="25" t="e">
        <f>IF(P1987="En programación Frcst.",VLOOKUP(L1987,Meses!$A$1:$H$14,3+HLOOKUP(Cronograma!J1987,Meses!$D$1:$G$2,2,FALSE),FALSE),
IF(P1987="En programación",M1987,""))</f>
        <v>#N/A</v>
      </c>
      <c r="S1987" s="25" t="str">
        <f t="shared" si="95"/>
        <v/>
      </c>
      <c r="T1987" s="21" t="str">
        <f>IFERROR(
(VLOOKUP(MONTH(R1987),Meses!$B$3:$C$14,2,FALSE)-DAY(R1987))/VLOOKUP(MONTH(R1987),Meses!$B$3:$C$14,2,FALSE)*U1987,
"")</f>
        <v/>
      </c>
      <c r="U1987" s="22">
        <f t="shared" si="97"/>
        <v>0</v>
      </c>
    </row>
    <row r="1988" spans="1:21" ht="31.8" hidden="1" thickBot="1" x14ac:dyDescent="0.6">
      <c r="A1988" s="10" t="s">
        <v>3001</v>
      </c>
      <c r="B1988" s="10" t="s">
        <v>2591</v>
      </c>
      <c r="C1988" s="12">
        <v>45029</v>
      </c>
      <c r="D1988" s="10" t="s">
        <v>323</v>
      </c>
      <c r="E1988" s="10" t="s">
        <v>291</v>
      </c>
      <c r="F1988" s="10"/>
      <c r="G1988" s="10" t="s">
        <v>15</v>
      </c>
      <c r="H1988" s="10" t="s">
        <v>17</v>
      </c>
      <c r="I1988" s="10" t="s">
        <v>66</v>
      </c>
      <c r="J1988" s="10"/>
      <c r="K1988" s="10"/>
      <c r="L1988" s="10"/>
      <c r="M1988" s="12"/>
      <c r="N1988" s="10"/>
      <c r="O1988" s="10" t="s">
        <v>2054</v>
      </c>
      <c r="P1988" s="25" t="str">
        <f>IFERROR(
IF(OR(O1988="anulado",O1988="stand by"),CONCATENATE(O1988,": ",H1988),
IF(OR(YEAR(M1988)=2022,YEAR(M1988)=2023),CONCATENATE("Se activó en ",YEAR(M1988)),
IF(AND(OR(O1988="En proceso",O1988="facturando"),AND(J1988="-",M1988="")),"Por revisar",
IF(M1988="",IF(J1988="NUEVAS",CONCATENATE("Estado: ",O1988,", ",J1988),
IF(L1988=Meses!$A$3,"Por revisar",
IF(H1988="","Sin registro","En programación Frcst."))),"En programación")))),
"Error")</f>
        <v>En programación Frcst.</v>
      </c>
      <c r="Q1988" s="9" t="str">
        <f t="shared" si="96"/>
        <v/>
      </c>
      <c r="R1988" s="25" t="e">
        <f>IF(P1988="En programación Frcst.",VLOOKUP(L1988,Meses!$A$1:$H$14,3+HLOOKUP(Cronograma!J1988,Meses!$D$1:$G$2,2,FALSE),FALSE),
IF(P1988="En programación",M1988,""))</f>
        <v>#N/A</v>
      </c>
      <c r="S1988" s="25" t="str">
        <f t="shared" si="95"/>
        <v/>
      </c>
      <c r="T1988" s="21" t="str">
        <f>IFERROR(
(VLOOKUP(MONTH(R1988),Meses!$B$3:$C$14,2,FALSE)-DAY(R1988))/VLOOKUP(MONTH(R1988),Meses!$B$3:$C$14,2,FALSE)*U1988,
"")</f>
        <v/>
      </c>
      <c r="U1988" s="22">
        <f t="shared" si="97"/>
        <v>0</v>
      </c>
    </row>
    <row r="1989" spans="1:21" ht="31.8" hidden="1" thickBot="1" x14ac:dyDescent="0.6">
      <c r="A1989" s="10" t="s">
        <v>3001</v>
      </c>
      <c r="B1989" s="10" t="s">
        <v>2592</v>
      </c>
      <c r="C1989" s="12">
        <v>45029</v>
      </c>
      <c r="D1989" s="10" t="s">
        <v>323</v>
      </c>
      <c r="E1989" s="10" t="s">
        <v>291</v>
      </c>
      <c r="F1989" s="10"/>
      <c r="G1989" s="10" t="s">
        <v>15</v>
      </c>
      <c r="H1989" s="10" t="s">
        <v>17</v>
      </c>
      <c r="I1989" s="10" t="s">
        <v>66</v>
      </c>
      <c r="J1989" s="10"/>
      <c r="K1989" s="10"/>
      <c r="L1989" s="10"/>
      <c r="M1989" s="12"/>
      <c r="N1989" s="10"/>
      <c r="O1989" s="10" t="s">
        <v>2054</v>
      </c>
      <c r="P1989" s="25" t="str">
        <f>IFERROR(
IF(OR(O1989="anulado",O1989="stand by"),CONCATENATE(O1989,": ",H1989),
IF(OR(YEAR(M1989)=2022,YEAR(M1989)=2023),CONCATENATE("Se activó en ",YEAR(M1989)),
IF(AND(OR(O1989="En proceso",O1989="facturando"),AND(J1989="-",M1989="")),"Por revisar",
IF(M1989="",IF(J1989="NUEVAS",CONCATENATE("Estado: ",O1989,", ",J1989),
IF(L1989=Meses!$A$3,"Por revisar",
IF(H1989="","Sin registro","En programación Frcst."))),"En programación")))),
"Error")</f>
        <v>En programación Frcst.</v>
      </c>
      <c r="Q1989" s="9" t="str">
        <f t="shared" si="96"/>
        <v/>
      </c>
      <c r="R1989" s="25" t="e">
        <f>IF(P1989="En programación Frcst.",VLOOKUP(L1989,Meses!$A$1:$H$14,3+HLOOKUP(Cronograma!J1989,Meses!$D$1:$G$2,2,FALSE),FALSE),
IF(P1989="En programación",M1989,""))</f>
        <v>#N/A</v>
      </c>
      <c r="S1989" s="25" t="str">
        <f t="shared" si="95"/>
        <v/>
      </c>
      <c r="T1989" s="21" t="str">
        <f>IFERROR(
(VLOOKUP(MONTH(R1989),Meses!$B$3:$C$14,2,FALSE)-DAY(R1989))/VLOOKUP(MONTH(R1989),Meses!$B$3:$C$14,2,FALSE)*U1989,
"")</f>
        <v/>
      </c>
      <c r="U1989" s="22">
        <f t="shared" si="97"/>
        <v>0</v>
      </c>
    </row>
    <row r="1990" spans="1:21" ht="31.8" hidden="1" thickBot="1" x14ac:dyDescent="0.6">
      <c r="A1990" s="10" t="s">
        <v>3002</v>
      </c>
      <c r="B1990" s="10" t="s">
        <v>2593</v>
      </c>
      <c r="C1990" s="12">
        <v>45029</v>
      </c>
      <c r="D1990" s="10" t="s">
        <v>323</v>
      </c>
      <c r="E1990" s="10" t="s">
        <v>289</v>
      </c>
      <c r="F1990" s="10"/>
      <c r="G1990" s="10" t="s">
        <v>15</v>
      </c>
      <c r="H1990" s="10" t="s">
        <v>17</v>
      </c>
      <c r="I1990" s="10" t="s">
        <v>66</v>
      </c>
      <c r="J1990" s="10"/>
      <c r="K1990" s="10"/>
      <c r="L1990" s="10"/>
      <c r="M1990" s="12"/>
      <c r="N1990" s="10"/>
      <c r="O1990" s="10" t="s">
        <v>2054</v>
      </c>
      <c r="P1990" s="25" t="str">
        <f>IFERROR(
IF(OR(O1990="anulado",O1990="stand by"),CONCATENATE(O1990,": ",H1990),
IF(OR(YEAR(M1990)=2022,YEAR(M1990)=2023),CONCATENATE("Se activó en ",YEAR(M1990)),
IF(AND(OR(O1990="En proceso",O1990="facturando"),AND(J1990="-",M1990="")),"Por revisar",
IF(M1990="",IF(J1990="NUEVAS",CONCATENATE("Estado: ",O1990,", ",J1990),
IF(L1990=Meses!$A$3,"Por revisar",
IF(H1990="","Sin registro","En programación Frcst."))),"En programación")))),
"Error")</f>
        <v>En programación Frcst.</v>
      </c>
      <c r="Q1990" s="9" t="str">
        <f t="shared" si="96"/>
        <v/>
      </c>
      <c r="R1990" s="25" t="e">
        <f>IF(P1990="En programación Frcst.",VLOOKUP(L1990,Meses!$A$1:$H$14,3+HLOOKUP(Cronograma!J1990,Meses!$D$1:$G$2,2,FALSE),FALSE),
IF(P1990="En programación",M1990,""))</f>
        <v>#N/A</v>
      </c>
      <c r="S1990" s="25" t="str">
        <f t="shared" si="95"/>
        <v/>
      </c>
      <c r="T1990" s="21" t="str">
        <f>IFERROR(
(VLOOKUP(MONTH(R1990),Meses!$B$3:$C$14,2,FALSE)-DAY(R1990))/VLOOKUP(MONTH(R1990),Meses!$B$3:$C$14,2,FALSE)*U1990,
"")</f>
        <v/>
      </c>
      <c r="U1990" s="22">
        <f t="shared" si="97"/>
        <v>0</v>
      </c>
    </row>
    <row r="1991" spans="1:21" ht="31.8" hidden="1" thickBot="1" x14ac:dyDescent="0.6">
      <c r="A1991" s="10" t="s">
        <v>3003</v>
      </c>
      <c r="B1991" s="10" t="s">
        <v>2594</v>
      </c>
      <c r="C1991" s="12">
        <v>45029</v>
      </c>
      <c r="D1991" s="10" t="s">
        <v>323</v>
      </c>
      <c r="E1991" s="10" t="s">
        <v>23</v>
      </c>
      <c r="F1991" s="10"/>
      <c r="G1991" s="10" t="s">
        <v>15</v>
      </c>
      <c r="H1991" s="10" t="s">
        <v>17</v>
      </c>
      <c r="I1991" s="10" t="s">
        <v>66</v>
      </c>
      <c r="J1991" s="10"/>
      <c r="K1991" s="10"/>
      <c r="L1991" s="10"/>
      <c r="M1991" s="12"/>
      <c r="N1991" s="10"/>
      <c r="O1991" s="10" t="s">
        <v>2054</v>
      </c>
      <c r="P1991" s="25" t="str">
        <f>IFERROR(
IF(OR(O1991="anulado",O1991="stand by"),CONCATENATE(O1991,": ",H1991),
IF(OR(YEAR(M1991)=2022,YEAR(M1991)=2023),CONCATENATE("Se activó en ",YEAR(M1991)),
IF(AND(OR(O1991="En proceso",O1991="facturando"),AND(J1991="-",M1991="")),"Por revisar",
IF(M1991="",IF(J1991="NUEVAS",CONCATENATE("Estado: ",O1991,", ",J1991),
IF(L1991=Meses!$A$3,"Por revisar",
IF(H1991="","Sin registro","En programación Frcst."))),"En programación")))),
"Error")</f>
        <v>En programación Frcst.</v>
      </c>
      <c r="Q1991" s="9" t="str">
        <f t="shared" si="96"/>
        <v/>
      </c>
      <c r="R1991" s="25" t="e">
        <f>IF(P1991="En programación Frcst.",VLOOKUP(L1991,Meses!$A$1:$H$14,3+HLOOKUP(Cronograma!J1991,Meses!$D$1:$G$2,2,FALSE),FALSE),
IF(P1991="En programación",M1991,""))</f>
        <v>#N/A</v>
      </c>
      <c r="S1991" s="25" t="str">
        <f t="shared" si="95"/>
        <v/>
      </c>
      <c r="T1991" s="21" t="str">
        <f>IFERROR(
(VLOOKUP(MONTH(R1991),Meses!$B$3:$C$14,2,FALSE)-DAY(R1991))/VLOOKUP(MONTH(R1991),Meses!$B$3:$C$14,2,FALSE)*U1991,
"")</f>
        <v/>
      </c>
      <c r="U1991" s="22">
        <f t="shared" si="97"/>
        <v>0</v>
      </c>
    </row>
    <row r="1992" spans="1:21" ht="31.8" hidden="1" thickBot="1" x14ac:dyDescent="0.6">
      <c r="A1992" s="10" t="s">
        <v>3003</v>
      </c>
      <c r="B1992" s="10" t="s">
        <v>2595</v>
      </c>
      <c r="C1992" s="12">
        <v>45029</v>
      </c>
      <c r="D1992" s="10" t="s">
        <v>323</v>
      </c>
      <c r="E1992" s="10" t="s">
        <v>23</v>
      </c>
      <c r="F1992" s="10"/>
      <c r="G1992" s="10" t="s">
        <v>15</v>
      </c>
      <c r="H1992" s="10" t="s">
        <v>17</v>
      </c>
      <c r="I1992" s="10" t="s">
        <v>66</v>
      </c>
      <c r="J1992" s="10"/>
      <c r="K1992" s="10"/>
      <c r="L1992" s="10"/>
      <c r="M1992" s="12"/>
      <c r="N1992" s="10"/>
      <c r="O1992" s="10" t="s">
        <v>2054</v>
      </c>
      <c r="P1992" s="25" t="str">
        <f>IFERROR(
IF(OR(O1992="anulado",O1992="stand by"),CONCATENATE(O1992,": ",H1992),
IF(OR(YEAR(M1992)=2022,YEAR(M1992)=2023),CONCATENATE("Se activó en ",YEAR(M1992)),
IF(AND(OR(O1992="En proceso",O1992="facturando"),AND(J1992="-",M1992="")),"Por revisar",
IF(M1992="",IF(J1992="NUEVAS",CONCATENATE("Estado: ",O1992,", ",J1992),
IF(L1992=Meses!$A$3,"Por revisar",
IF(H1992="","Sin registro","En programación Frcst."))),"En programación")))),
"Error")</f>
        <v>En programación Frcst.</v>
      </c>
      <c r="Q1992" s="9" t="str">
        <f t="shared" si="96"/>
        <v/>
      </c>
      <c r="R1992" s="25" t="e">
        <f>IF(P1992="En programación Frcst.",VLOOKUP(L1992,Meses!$A$1:$H$14,3+HLOOKUP(Cronograma!J1992,Meses!$D$1:$G$2,2,FALSE),FALSE),
IF(P1992="En programación",M1992,""))</f>
        <v>#N/A</v>
      </c>
      <c r="S1992" s="25" t="str">
        <f t="shared" si="95"/>
        <v/>
      </c>
      <c r="T1992" s="21" t="str">
        <f>IFERROR(
(VLOOKUP(MONTH(R1992),Meses!$B$3:$C$14,2,FALSE)-DAY(R1992))/VLOOKUP(MONTH(R1992),Meses!$B$3:$C$14,2,FALSE)*U1992,
"")</f>
        <v/>
      </c>
      <c r="U1992" s="22">
        <f t="shared" si="97"/>
        <v>0</v>
      </c>
    </row>
    <row r="1993" spans="1:21" ht="31.8" hidden="1" thickBot="1" x14ac:dyDescent="0.6">
      <c r="A1993" s="10" t="s">
        <v>3003</v>
      </c>
      <c r="B1993" s="10" t="s">
        <v>2596</v>
      </c>
      <c r="C1993" s="12">
        <v>45029</v>
      </c>
      <c r="D1993" s="10" t="s">
        <v>323</v>
      </c>
      <c r="E1993" s="10" t="s">
        <v>23</v>
      </c>
      <c r="F1993" s="10"/>
      <c r="G1993" s="10" t="s">
        <v>15</v>
      </c>
      <c r="H1993" s="10" t="s">
        <v>17</v>
      </c>
      <c r="I1993" s="10" t="s">
        <v>66</v>
      </c>
      <c r="J1993" s="10"/>
      <c r="K1993" s="10"/>
      <c r="L1993" s="10"/>
      <c r="M1993" s="12"/>
      <c r="N1993" s="10"/>
      <c r="O1993" s="10" t="s">
        <v>2054</v>
      </c>
      <c r="P1993" s="25" t="str">
        <f>IFERROR(
IF(OR(O1993="anulado",O1993="stand by"),CONCATENATE(O1993,": ",H1993),
IF(OR(YEAR(M1993)=2022,YEAR(M1993)=2023),CONCATENATE("Se activó en ",YEAR(M1993)),
IF(AND(OR(O1993="En proceso",O1993="facturando"),AND(J1993="-",M1993="")),"Por revisar",
IF(M1993="",IF(J1993="NUEVAS",CONCATENATE("Estado: ",O1993,", ",J1993),
IF(L1993=Meses!$A$3,"Por revisar",
IF(H1993="","Sin registro","En programación Frcst."))),"En programación")))),
"Error")</f>
        <v>En programación Frcst.</v>
      </c>
      <c r="Q1993" s="9" t="str">
        <f t="shared" si="96"/>
        <v/>
      </c>
      <c r="R1993" s="25" t="e">
        <f>IF(P1993="En programación Frcst.",VLOOKUP(L1993,Meses!$A$1:$H$14,3+HLOOKUP(Cronograma!J1993,Meses!$D$1:$G$2,2,FALSE),FALSE),
IF(P1993="En programación",M1993,""))</f>
        <v>#N/A</v>
      </c>
      <c r="S1993" s="25" t="str">
        <f t="shared" si="95"/>
        <v/>
      </c>
      <c r="T1993" s="21" t="str">
        <f>IFERROR(
(VLOOKUP(MONTH(R1993),Meses!$B$3:$C$14,2,FALSE)-DAY(R1993))/VLOOKUP(MONTH(R1993),Meses!$B$3:$C$14,2,FALSE)*U1993,
"")</f>
        <v/>
      </c>
      <c r="U1993" s="22">
        <f t="shared" si="97"/>
        <v>0</v>
      </c>
    </row>
    <row r="1994" spans="1:21" ht="47.4" hidden="1" thickBot="1" x14ac:dyDescent="0.6">
      <c r="A1994" s="10" t="s">
        <v>3004</v>
      </c>
      <c r="B1994" s="10" t="s">
        <v>2597</v>
      </c>
      <c r="C1994" s="12">
        <v>45029</v>
      </c>
      <c r="D1994" s="10" t="s">
        <v>323</v>
      </c>
      <c r="E1994" s="10" t="s">
        <v>291</v>
      </c>
      <c r="F1994" s="10"/>
      <c r="G1994" s="10" t="s">
        <v>15</v>
      </c>
      <c r="H1994" s="10" t="s">
        <v>17</v>
      </c>
      <c r="I1994" s="10" t="s">
        <v>66</v>
      </c>
      <c r="J1994" s="10"/>
      <c r="K1994" s="10"/>
      <c r="L1994" s="10"/>
      <c r="M1994" s="12"/>
      <c r="N1994" s="10"/>
      <c r="O1994" s="10" t="s">
        <v>2054</v>
      </c>
      <c r="P1994" s="25" t="str">
        <f>IFERROR(
IF(OR(O1994="anulado",O1994="stand by"),CONCATENATE(O1994,": ",H1994),
IF(OR(YEAR(M1994)=2022,YEAR(M1994)=2023),CONCATENATE("Se activó en ",YEAR(M1994)),
IF(AND(OR(O1994="En proceso",O1994="facturando"),AND(J1994="-",M1994="")),"Por revisar",
IF(M1994="",IF(J1994="NUEVAS",CONCATENATE("Estado: ",O1994,", ",J1994),
IF(L1994=Meses!$A$3,"Por revisar",
IF(H1994="","Sin registro","En programación Frcst."))),"En programación")))),
"Error")</f>
        <v>En programación Frcst.</v>
      </c>
      <c r="Q1994" s="9" t="str">
        <f t="shared" si="96"/>
        <v/>
      </c>
      <c r="R1994" s="25" t="e">
        <f>IF(P1994="En programación Frcst.",VLOOKUP(L1994,Meses!$A$1:$H$14,3+HLOOKUP(Cronograma!J1994,Meses!$D$1:$G$2,2,FALSE),FALSE),
IF(P1994="En programación",M1994,""))</f>
        <v>#N/A</v>
      </c>
      <c r="S1994" s="25" t="str">
        <f t="shared" si="95"/>
        <v/>
      </c>
      <c r="T1994" s="21" t="str">
        <f>IFERROR(
(VLOOKUP(MONTH(R1994),Meses!$B$3:$C$14,2,FALSE)-DAY(R1994))/VLOOKUP(MONTH(R1994),Meses!$B$3:$C$14,2,FALSE)*U1994,
"")</f>
        <v/>
      </c>
      <c r="U1994" s="22">
        <f t="shared" si="97"/>
        <v>0</v>
      </c>
    </row>
    <row r="1995" spans="1:21" ht="47.4" hidden="1" thickBot="1" x14ac:dyDescent="0.6">
      <c r="A1995" s="10" t="s">
        <v>3005</v>
      </c>
      <c r="B1995" s="10" t="s">
        <v>2598</v>
      </c>
      <c r="C1995" s="12">
        <v>45029</v>
      </c>
      <c r="D1995" s="10" t="s">
        <v>323</v>
      </c>
      <c r="E1995" s="10" t="s">
        <v>298</v>
      </c>
      <c r="F1995" s="10"/>
      <c r="G1995" s="10" t="s">
        <v>15</v>
      </c>
      <c r="H1995" s="10" t="s">
        <v>17</v>
      </c>
      <c r="I1995" s="10" t="s">
        <v>66</v>
      </c>
      <c r="J1995" s="10"/>
      <c r="K1995" s="10"/>
      <c r="L1995" s="10"/>
      <c r="M1995" s="12"/>
      <c r="N1995" s="10"/>
      <c r="O1995" s="10" t="s">
        <v>2054</v>
      </c>
      <c r="P1995" s="25" t="str">
        <f>IFERROR(
IF(OR(O1995="anulado",O1995="stand by"),CONCATENATE(O1995,": ",H1995),
IF(OR(YEAR(M1995)=2022,YEAR(M1995)=2023),CONCATENATE("Se activó en ",YEAR(M1995)),
IF(AND(OR(O1995="En proceso",O1995="facturando"),AND(J1995="-",M1995="")),"Por revisar",
IF(M1995="",IF(J1995="NUEVAS",CONCATENATE("Estado: ",O1995,", ",J1995),
IF(L1995=Meses!$A$3,"Por revisar",
IF(H1995="","Sin registro","En programación Frcst."))),"En programación")))),
"Error")</f>
        <v>En programación Frcst.</v>
      </c>
      <c r="Q1995" s="9" t="str">
        <f t="shared" si="96"/>
        <v/>
      </c>
      <c r="R1995" s="25" t="e">
        <f>IF(P1995="En programación Frcst.",VLOOKUP(L1995,Meses!$A$1:$H$14,3+HLOOKUP(Cronograma!J1995,Meses!$D$1:$G$2,2,FALSE),FALSE),
IF(P1995="En programación",M1995,""))</f>
        <v>#N/A</v>
      </c>
      <c r="S1995" s="25" t="str">
        <f t="shared" si="95"/>
        <v/>
      </c>
      <c r="T1995" s="21" t="str">
        <f>IFERROR(
(VLOOKUP(MONTH(R1995),Meses!$B$3:$C$14,2,FALSE)-DAY(R1995))/VLOOKUP(MONTH(R1995),Meses!$B$3:$C$14,2,FALSE)*U1995,
"")</f>
        <v/>
      </c>
      <c r="U1995" s="22">
        <f t="shared" si="97"/>
        <v>0</v>
      </c>
    </row>
    <row r="1996" spans="1:21" ht="47.4" hidden="1" thickBot="1" x14ac:dyDescent="0.6">
      <c r="A1996" s="10" t="s">
        <v>2020</v>
      </c>
      <c r="B1996" s="10" t="s">
        <v>2599</v>
      </c>
      <c r="C1996" s="12">
        <v>45029</v>
      </c>
      <c r="D1996" s="10" t="s">
        <v>323</v>
      </c>
      <c r="E1996" s="10" t="s">
        <v>959</v>
      </c>
      <c r="F1996" s="10"/>
      <c r="G1996" s="10" t="s">
        <v>15</v>
      </c>
      <c r="H1996" s="10" t="s">
        <v>17</v>
      </c>
      <c r="I1996" s="10" t="s">
        <v>66</v>
      </c>
      <c r="J1996" s="10"/>
      <c r="K1996" s="10"/>
      <c r="L1996" s="10"/>
      <c r="M1996" s="12"/>
      <c r="N1996" s="10"/>
      <c r="O1996" s="10" t="s">
        <v>2054</v>
      </c>
      <c r="P1996" s="25" t="str">
        <f>IFERROR(
IF(OR(O1996="anulado",O1996="stand by"),CONCATENATE(O1996,": ",H1996),
IF(OR(YEAR(M1996)=2022,YEAR(M1996)=2023),CONCATENATE("Se activó en ",YEAR(M1996)),
IF(AND(OR(O1996="En proceso",O1996="facturando"),AND(J1996="-",M1996="")),"Por revisar",
IF(M1996="",IF(J1996="NUEVAS",CONCATENATE("Estado: ",O1996,", ",J1996),
IF(L1996=Meses!$A$3,"Por revisar",
IF(H1996="","Sin registro","En programación Frcst."))),"En programación")))),
"Error")</f>
        <v>En programación Frcst.</v>
      </c>
      <c r="Q1996" s="9" t="str">
        <f t="shared" si="96"/>
        <v/>
      </c>
      <c r="R1996" s="25" t="e">
        <f>IF(P1996="En programación Frcst.",VLOOKUP(L1996,Meses!$A$1:$H$14,3+HLOOKUP(Cronograma!J1996,Meses!$D$1:$G$2,2,FALSE),FALSE),
IF(P1996="En programación",M1996,""))</f>
        <v>#N/A</v>
      </c>
      <c r="S1996" s="25" t="str">
        <f t="shared" si="95"/>
        <v/>
      </c>
      <c r="T1996" s="21" t="str">
        <f>IFERROR(
(VLOOKUP(MONTH(R1996),Meses!$B$3:$C$14,2,FALSE)-DAY(R1996))/VLOOKUP(MONTH(R1996),Meses!$B$3:$C$14,2,FALSE)*U1996,
"")</f>
        <v/>
      </c>
      <c r="U1996" s="22">
        <f t="shared" si="97"/>
        <v>0</v>
      </c>
    </row>
    <row r="1997" spans="1:21" ht="47.4" hidden="1" thickBot="1" x14ac:dyDescent="0.6">
      <c r="A1997" s="10" t="s">
        <v>2020</v>
      </c>
      <c r="B1997" s="10" t="s">
        <v>2600</v>
      </c>
      <c r="C1997" s="12">
        <v>45029</v>
      </c>
      <c r="D1997" s="10" t="s">
        <v>323</v>
      </c>
      <c r="E1997" s="10" t="s">
        <v>959</v>
      </c>
      <c r="F1997" s="10"/>
      <c r="G1997" s="10" t="s">
        <v>15</v>
      </c>
      <c r="H1997" s="10" t="s">
        <v>17</v>
      </c>
      <c r="I1997" s="10" t="s">
        <v>66</v>
      </c>
      <c r="J1997" s="10"/>
      <c r="K1997" s="10"/>
      <c r="L1997" s="10"/>
      <c r="M1997" s="12"/>
      <c r="N1997" s="10"/>
      <c r="O1997" s="10" t="s">
        <v>2054</v>
      </c>
      <c r="P1997" s="25" t="str">
        <f>IFERROR(
IF(OR(O1997="anulado",O1997="stand by"),CONCATENATE(O1997,": ",H1997),
IF(OR(YEAR(M1997)=2022,YEAR(M1997)=2023),CONCATENATE("Se activó en ",YEAR(M1997)),
IF(AND(OR(O1997="En proceso",O1997="facturando"),AND(J1997="-",M1997="")),"Por revisar",
IF(M1997="",IF(J1997="NUEVAS",CONCATENATE("Estado: ",O1997,", ",J1997),
IF(L1997=Meses!$A$3,"Por revisar",
IF(H1997="","Sin registro","En programación Frcst."))),"En programación")))),
"Error")</f>
        <v>En programación Frcst.</v>
      </c>
      <c r="Q1997" s="9" t="str">
        <f t="shared" si="96"/>
        <v/>
      </c>
      <c r="R1997" s="25" t="e">
        <f>IF(P1997="En programación Frcst.",VLOOKUP(L1997,Meses!$A$1:$H$14,3+HLOOKUP(Cronograma!J1997,Meses!$D$1:$G$2,2,FALSE),FALSE),
IF(P1997="En programación",M1997,""))</f>
        <v>#N/A</v>
      </c>
      <c r="S1997" s="25" t="str">
        <f t="shared" si="95"/>
        <v/>
      </c>
      <c r="T1997" s="21" t="str">
        <f>IFERROR(
(VLOOKUP(MONTH(R1997),Meses!$B$3:$C$14,2,FALSE)-DAY(R1997))/VLOOKUP(MONTH(R1997),Meses!$B$3:$C$14,2,FALSE)*U1997,
"")</f>
        <v/>
      </c>
      <c r="U1997" s="22">
        <f t="shared" si="97"/>
        <v>0</v>
      </c>
    </row>
    <row r="1998" spans="1:21" ht="47.4" hidden="1" thickBot="1" x14ac:dyDescent="0.6">
      <c r="A1998" s="10" t="s">
        <v>2020</v>
      </c>
      <c r="B1998" s="10" t="s">
        <v>2601</v>
      </c>
      <c r="C1998" s="12">
        <v>45029</v>
      </c>
      <c r="D1998" s="10" t="s">
        <v>323</v>
      </c>
      <c r="E1998" s="10" t="s">
        <v>959</v>
      </c>
      <c r="F1998" s="10"/>
      <c r="G1998" s="10" t="s">
        <v>15</v>
      </c>
      <c r="H1998" s="10" t="s">
        <v>17</v>
      </c>
      <c r="I1998" s="10" t="s">
        <v>66</v>
      </c>
      <c r="J1998" s="10"/>
      <c r="K1998" s="10"/>
      <c r="L1998" s="10"/>
      <c r="M1998" s="12"/>
      <c r="N1998" s="10"/>
      <c r="O1998" s="10" t="s">
        <v>2054</v>
      </c>
      <c r="P1998" s="25" t="str">
        <f>IFERROR(
IF(OR(O1998="anulado",O1998="stand by"),CONCATENATE(O1998,": ",H1998),
IF(OR(YEAR(M1998)=2022,YEAR(M1998)=2023),CONCATENATE("Se activó en ",YEAR(M1998)),
IF(AND(OR(O1998="En proceso",O1998="facturando"),AND(J1998="-",M1998="")),"Por revisar",
IF(M1998="",IF(J1998="NUEVAS",CONCATENATE("Estado: ",O1998,", ",J1998),
IF(L1998=Meses!$A$3,"Por revisar",
IF(H1998="","Sin registro","En programación Frcst."))),"En programación")))),
"Error")</f>
        <v>En programación Frcst.</v>
      </c>
      <c r="Q1998" s="9" t="str">
        <f t="shared" si="96"/>
        <v/>
      </c>
      <c r="R1998" s="25" t="e">
        <f>IF(P1998="En programación Frcst.",VLOOKUP(L1998,Meses!$A$1:$H$14,3+HLOOKUP(Cronograma!J1998,Meses!$D$1:$G$2,2,FALSE),FALSE),
IF(P1998="En programación",M1998,""))</f>
        <v>#N/A</v>
      </c>
      <c r="S1998" s="25" t="str">
        <f t="shared" si="95"/>
        <v/>
      </c>
      <c r="T1998" s="21" t="str">
        <f>IFERROR(
(VLOOKUP(MONTH(R1998),Meses!$B$3:$C$14,2,FALSE)-DAY(R1998))/VLOOKUP(MONTH(R1998),Meses!$B$3:$C$14,2,FALSE)*U1998,
"")</f>
        <v/>
      </c>
      <c r="U1998" s="22">
        <f t="shared" si="97"/>
        <v>0</v>
      </c>
    </row>
    <row r="1999" spans="1:21" ht="31.8" hidden="1" thickBot="1" x14ac:dyDescent="0.6">
      <c r="A1999" s="10" t="s">
        <v>3006</v>
      </c>
      <c r="B1999" s="10" t="s">
        <v>2602</v>
      </c>
      <c r="C1999" s="12">
        <v>45029</v>
      </c>
      <c r="D1999" s="10" t="s">
        <v>323</v>
      </c>
      <c r="E1999" s="10"/>
      <c r="F1999" s="10"/>
      <c r="G1999" s="10" t="s">
        <v>15</v>
      </c>
      <c r="H1999" s="10" t="s">
        <v>17</v>
      </c>
      <c r="I1999" s="10" t="s">
        <v>66</v>
      </c>
      <c r="J1999" s="10"/>
      <c r="K1999" s="10"/>
      <c r="L1999" s="10"/>
      <c r="M1999" s="12"/>
      <c r="N1999" s="10"/>
      <c r="O1999" s="10" t="s">
        <v>2054</v>
      </c>
      <c r="P1999" s="25" t="str">
        <f>IFERROR(
IF(OR(O1999="anulado",O1999="stand by"),CONCATENATE(O1999,": ",H1999),
IF(OR(YEAR(M1999)=2022,YEAR(M1999)=2023),CONCATENATE("Se activó en ",YEAR(M1999)),
IF(AND(OR(O1999="En proceso",O1999="facturando"),AND(J1999="-",M1999="")),"Por revisar",
IF(M1999="",IF(J1999="NUEVAS",CONCATENATE("Estado: ",O1999,", ",J1999),
IF(L1999=Meses!$A$3,"Por revisar",
IF(H1999="","Sin registro","En programación Frcst."))),"En programación")))),
"Error")</f>
        <v>En programación Frcst.</v>
      </c>
      <c r="Q1999" s="9" t="str">
        <f t="shared" si="96"/>
        <v/>
      </c>
      <c r="R1999" s="25" t="e">
        <f>IF(P1999="En programación Frcst.",VLOOKUP(L1999,Meses!$A$1:$H$14,3+HLOOKUP(Cronograma!J1999,Meses!$D$1:$G$2,2,FALSE),FALSE),
IF(P1999="En programación",M1999,""))</f>
        <v>#N/A</v>
      </c>
      <c r="S1999" s="25" t="str">
        <f t="shared" si="95"/>
        <v/>
      </c>
      <c r="T1999" s="21" t="str">
        <f>IFERROR(
(VLOOKUP(MONTH(R1999),Meses!$B$3:$C$14,2,FALSE)-DAY(R1999))/VLOOKUP(MONTH(R1999),Meses!$B$3:$C$14,2,FALSE)*U1999,
"")</f>
        <v/>
      </c>
      <c r="U1999" s="22">
        <f t="shared" si="97"/>
        <v>0</v>
      </c>
    </row>
    <row r="2000" spans="1:21" ht="31.8" hidden="1" thickBot="1" x14ac:dyDescent="0.6">
      <c r="A2000" s="10" t="s">
        <v>3007</v>
      </c>
      <c r="B2000" s="10" t="s">
        <v>2603</v>
      </c>
      <c r="C2000" s="12">
        <v>45029</v>
      </c>
      <c r="D2000" s="10" t="s">
        <v>323</v>
      </c>
      <c r="E2000" s="10" t="s">
        <v>289</v>
      </c>
      <c r="F2000" s="10"/>
      <c r="G2000" s="10" t="s">
        <v>15</v>
      </c>
      <c r="H2000" s="10" t="s">
        <v>17</v>
      </c>
      <c r="I2000" s="10" t="s">
        <v>66</v>
      </c>
      <c r="J2000" s="10"/>
      <c r="K2000" s="10"/>
      <c r="L2000" s="10"/>
      <c r="M2000" s="12"/>
      <c r="N2000" s="10"/>
      <c r="O2000" s="10" t="s">
        <v>2054</v>
      </c>
      <c r="P2000" s="25" t="str">
        <f>IFERROR(
IF(OR(O2000="anulado",O2000="stand by"),CONCATENATE(O2000,": ",H2000),
IF(OR(YEAR(M2000)=2022,YEAR(M2000)=2023),CONCATENATE("Se activó en ",YEAR(M2000)),
IF(AND(OR(O2000="En proceso",O2000="facturando"),AND(J2000="-",M2000="")),"Por revisar",
IF(M2000="",IF(J2000="NUEVAS",CONCATENATE("Estado: ",O2000,", ",J2000),
IF(L2000=Meses!$A$3,"Por revisar",
IF(H2000="","Sin registro","En programación Frcst."))),"En programación")))),
"Error")</f>
        <v>En programación Frcst.</v>
      </c>
      <c r="Q2000" s="9" t="str">
        <f t="shared" si="96"/>
        <v/>
      </c>
      <c r="R2000" s="25" t="e">
        <f>IF(P2000="En programación Frcst.",VLOOKUP(L2000,Meses!$A$1:$H$14,3+HLOOKUP(Cronograma!J2000,Meses!$D$1:$G$2,2,FALSE),FALSE),
IF(P2000="En programación",M2000,""))</f>
        <v>#N/A</v>
      </c>
      <c r="S2000" s="25" t="str">
        <f t="shared" si="95"/>
        <v/>
      </c>
      <c r="T2000" s="21" t="str">
        <f>IFERROR(
(VLOOKUP(MONTH(R2000),Meses!$B$3:$C$14,2,FALSE)-DAY(R2000))/VLOOKUP(MONTH(R2000),Meses!$B$3:$C$14,2,FALSE)*U2000,
"")</f>
        <v/>
      </c>
      <c r="U2000" s="22">
        <f t="shared" si="97"/>
        <v>0</v>
      </c>
    </row>
    <row r="2001" spans="1:21" ht="31.8" hidden="1" thickBot="1" x14ac:dyDescent="0.6">
      <c r="A2001" s="10" t="s">
        <v>3007</v>
      </c>
      <c r="B2001" s="10" t="s">
        <v>2604</v>
      </c>
      <c r="C2001" s="12">
        <v>45029</v>
      </c>
      <c r="D2001" s="10" t="s">
        <v>323</v>
      </c>
      <c r="E2001" s="10" t="s">
        <v>289</v>
      </c>
      <c r="F2001" s="10"/>
      <c r="G2001" s="10" t="s">
        <v>15</v>
      </c>
      <c r="H2001" s="10" t="s">
        <v>17</v>
      </c>
      <c r="I2001" s="10" t="s">
        <v>66</v>
      </c>
      <c r="J2001" s="10"/>
      <c r="K2001" s="10"/>
      <c r="L2001" s="10"/>
      <c r="M2001" s="12"/>
      <c r="N2001" s="10"/>
      <c r="O2001" s="10" t="s">
        <v>2054</v>
      </c>
      <c r="P2001" s="25" t="str">
        <f>IFERROR(
IF(OR(O2001="anulado",O2001="stand by"),CONCATENATE(O2001,": ",H2001),
IF(OR(YEAR(M2001)=2022,YEAR(M2001)=2023),CONCATENATE("Se activó en ",YEAR(M2001)),
IF(AND(OR(O2001="En proceso",O2001="facturando"),AND(J2001="-",M2001="")),"Por revisar",
IF(M2001="",IF(J2001="NUEVAS",CONCATENATE("Estado: ",O2001,", ",J2001),
IF(L2001=Meses!$A$3,"Por revisar",
IF(H2001="","Sin registro","En programación Frcst."))),"En programación")))),
"Error")</f>
        <v>En programación Frcst.</v>
      </c>
      <c r="Q2001" s="9" t="str">
        <f t="shared" si="96"/>
        <v/>
      </c>
      <c r="R2001" s="25" t="e">
        <f>IF(P2001="En programación Frcst.",VLOOKUP(L2001,Meses!$A$1:$H$14,3+HLOOKUP(Cronograma!J2001,Meses!$D$1:$G$2,2,FALSE),FALSE),
IF(P2001="En programación",M2001,""))</f>
        <v>#N/A</v>
      </c>
      <c r="S2001" s="25" t="str">
        <f t="shared" si="95"/>
        <v/>
      </c>
      <c r="T2001" s="21" t="str">
        <f>IFERROR(
(VLOOKUP(MONTH(R2001),Meses!$B$3:$C$14,2,FALSE)-DAY(R2001))/VLOOKUP(MONTH(R2001),Meses!$B$3:$C$14,2,FALSE)*U2001,
"")</f>
        <v/>
      </c>
      <c r="U2001" s="22">
        <f t="shared" si="97"/>
        <v>0</v>
      </c>
    </row>
    <row r="2002" spans="1:21" ht="31.8" hidden="1" thickBot="1" x14ac:dyDescent="0.6">
      <c r="A2002" s="10" t="s">
        <v>3007</v>
      </c>
      <c r="B2002" s="10" t="s">
        <v>2605</v>
      </c>
      <c r="C2002" s="12">
        <v>45029</v>
      </c>
      <c r="D2002" s="10" t="s">
        <v>323</v>
      </c>
      <c r="E2002" s="10" t="s">
        <v>233</v>
      </c>
      <c r="F2002" s="10"/>
      <c r="G2002" s="10" t="s">
        <v>15</v>
      </c>
      <c r="H2002" s="10" t="s">
        <v>17</v>
      </c>
      <c r="I2002" s="10" t="s">
        <v>66</v>
      </c>
      <c r="J2002" s="10"/>
      <c r="K2002" s="10"/>
      <c r="L2002" s="10"/>
      <c r="M2002" s="12"/>
      <c r="N2002" s="10"/>
      <c r="O2002" s="10" t="s">
        <v>2054</v>
      </c>
      <c r="P2002" s="25" t="str">
        <f>IFERROR(
IF(OR(O2002="anulado",O2002="stand by"),CONCATENATE(O2002,": ",H2002),
IF(OR(YEAR(M2002)=2022,YEAR(M2002)=2023),CONCATENATE("Se activó en ",YEAR(M2002)),
IF(AND(OR(O2002="En proceso",O2002="facturando"),AND(J2002="-",M2002="")),"Por revisar",
IF(M2002="",IF(J2002="NUEVAS",CONCATENATE("Estado: ",O2002,", ",J2002),
IF(L2002=Meses!$A$3,"Por revisar",
IF(H2002="","Sin registro","En programación Frcst."))),"En programación")))),
"Error")</f>
        <v>En programación Frcst.</v>
      </c>
      <c r="Q2002" s="9" t="str">
        <f t="shared" si="96"/>
        <v/>
      </c>
      <c r="R2002" s="25" t="e">
        <f>IF(P2002="En programación Frcst.",VLOOKUP(L2002,Meses!$A$1:$H$14,3+HLOOKUP(Cronograma!J2002,Meses!$D$1:$G$2,2,FALSE),FALSE),
IF(P2002="En programación",M2002,""))</f>
        <v>#N/A</v>
      </c>
      <c r="S2002" s="25" t="str">
        <f t="shared" si="95"/>
        <v/>
      </c>
      <c r="T2002" s="21" t="str">
        <f>IFERROR(
(VLOOKUP(MONTH(R2002),Meses!$B$3:$C$14,2,FALSE)-DAY(R2002))/VLOOKUP(MONTH(R2002),Meses!$B$3:$C$14,2,FALSE)*U2002,
"")</f>
        <v/>
      </c>
      <c r="U2002" s="22">
        <f t="shared" si="97"/>
        <v>0</v>
      </c>
    </row>
    <row r="2003" spans="1:21" ht="47.4" hidden="1" thickBot="1" x14ac:dyDescent="0.6">
      <c r="A2003" s="10" t="s">
        <v>3008</v>
      </c>
      <c r="B2003" s="10" t="s">
        <v>2606</v>
      </c>
      <c r="C2003" s="12">
        <v>45029</v>
      </c>
      <c r="D2003" s="10" t="s">
        <v>323</v>
      </c>
      <c r="E2003" s="10" t="s">
        <v>14</v>
      </c>
      <c r="F2003" s="10"/>
      <c r="G2003" s="10" t="s">
        <v>15</v>
      </c>
      <c r="H2003" s="10" t="s">
        <v>17</v>
      </c>
      <c r="I2003" s="10" t="s">
        <v>66</v>
      </c>
      <c r="J2003" s="10"/>
      <c r="K2003" s="10"/>
      <c r="L2003" s="10"/>
      <c r="M2003" s="12"/>
      <c r="N2003" s="10"/>
      <c r="O2003" s="10" t="s">
        <v>2054</v>
      </c>
      <c r="P2003" s="25" t="str">
        <f>IFERROR(
IF(OR(O2003="anulado",O2003="stand by"),CONCATENATE(O2003,": ",H2003),
IF(OR(YEAR(M2003)=2022,YEAR(M2003)=2023),CONCATENATE("Se activó en ",YEAR(M2003)),
IF(AND(OR(O2003="En proceso",O2003="facturando"),AND(J2003="-",M2003="")),"Por revisar",
IF(M2003="",IF(J2003="NUEVAS",CONCATENATE("Estado: ",O2003,", ",J2003),
IF(L2003=Meses!$A$3,"Por revisar",
IF(H2003="","Sin registro","En programación Frcst."))),"En programación")))),
"Error")</f>
        <v>En programación Frcst.</v>
      </c>
      <c r="Q2003" s="9" t="str">
        <f t="shared" si="96"/>
        <v/>
      </c>
      <c r="R2003" s="25" t="e">
        <f>IF(P2003="En programación Frcst.",VLOOKUP(L2003,Meses!$A$1:$H$14,3+HLOOKUP(Cronograma!J2003,Meses!$D$1:$G$2,2,FALSE),FALSE),
IF(P2003="En programación",M2003,""))</f>
        <v>#N/A</v>
      </c>
      <c r="S2003" s="25" t="str">
        <f t="shared" si="95"/>
        <v/>
      </c>
      <c r="T2003" s="21" t="str">
        <f>IFERROR(
(VLOOKUP(MONTH(R2003),Meses!$B$3:$C$14,2,FALSE)-DAY(R2003))/VLOOKUP(MONTH(R2003),Meses!$B$3:$C$14,2,FALSE)*U2003,
"")</f>
        <v/>
      </c>
      <c r="U2003" s="22">
        <f t="shared" si="97"/>
        <v>0</v>
      </c>
    </row>
    <row r="2004" spans="1:21" ht="94.2" hidden="1" thickBot="1" x14ac:dyDescent="0.6">
      <c r="A2004" s="10" t="s">
        <v>3009</v>
      </c>
      <c r="B2004" s="10" t="s">
        <v>2607</v>
      </c>
      <c r="C2004" s="12">
        <v>45029</v>
      </c>
      <c r="D2004" s="10" t="s">
        <v>323</v>
      </c>
      <c r="E2004" s="10" t="s">
        <v>14</v>
      </c>
      <c r="F2004" s="10"/>
      <c r="G2004" s="10" t="s">
        <v>15</v>
      </c>
      <c r="H2004" s="10" t="s">
        <v>17</v>
      </c>
      <c r="I2004" s="10" t="s">
        <v>66</v>
      </c>
      <c r="J2004" s="10"/>
      <c r="K2004" s="10"/>
      <c r="L2004" s="10"/>
      <c r="M2004" s="12"/>
      <c r="N2004" s="10"/>
      <c r="O2004" s="10" t="s">
        <v>2054</v>
      </c>
      <c r="P2004" s="25" t="str">
        <f>IFERROR(
IF(OR(O2004="anulado",O2004="stand by"),CONCATENATE(O2004,": ",H2004),
IF(OR(YEAR(M2004)=2022,YEAR(M2004)=2023),CONCATENATE("Se activó en ",YEAR(M2004)),
IF(AND(OR(O2004="En proceso",O2004="facturando"),AND(J2004="-",M2004="")),"Por revisar",
IF(M2004="",IF(J2004="NUEVAS",CONCATENATE("Estado: ",O2004,", ",J2004),
IF(L2004=Meses!$A$3,"Por revisar",
IF(H2004="","Sin registro","En programación Frcst."))),"En programación")))),
"Error")</f>
        <v>En programación Frcst.</v>
      </c>
      <c r="Q2004" s="9" t="str">
        <f t="shared" si="96"/>
        <v/>
      </c>
      <c r="R2004" s="25" t="e">
        <f>IF(P2004="En programación Frcst.",VLOOKUP(L2004,Meses!$A$1:$H$14,3+HLOOKUP(Cronograma!J2004,Meses!$D$1:$G$2,2,FALSE),FALSE),
IF(P2004="En programación",M2004,""))</f>
        <v>#N/A</v>
      </c>
      <c r="S2004" s="25" t="str">
        <f t="shared" si="95"/>
        <v/>
      </c>
      <c r="T2004" s="21" t="str">
        <f>IFERROR(
(VLOOKUP(MONTH(R2004),Meses!$B$3:$C$14,2,FALSE)-DAY(R2004))/VLOOKUP(MONTH(R2004),Meses!$B$3:$C$14,2,FALSE)*U2004,
"")</f>
        <v/>
      </c>
      <c r="U2004" s="22">
        <f t="shared" si="97"/>
        <v>0</v>
      </c>
    </row>
    <row r="2005" spans="1:21" ht="47.4" hidden="1" thickBot="1" x14ac:dyDescent="0.6">
      <c r="A2005" s="10" t="s">
        <v>3010</v>
      </c>
      <c r="B2005" s="10" t="s">
        <v>2608</v>
      </c>
      <c r="C2005" s="12">
        <v>45029</v>
      </c>
      <c r="D2005" s="10" t="s">
        <v>323</v>
      </c>
      <c r="E2005" s="10" t="s">
        <v>291</v>
      </c>
      <c r="F2005" s="10"/>
      <c r="G2005" s="10" t="s">
        <v>15</v>
      </c>
      <c r="H2005" s="10" t="s">
        <v>17</v>
      </c>
      <c r="I2005" s="10" t="s">
        <v>66</v>
      </c>
      <c r="J2005" s="10"/>
      <c r="K2005" s="10"/>
      <c r="L2005" s="10"/>
      <c r="M2005" s="12"/>
      <c r="N2005" s="10"/>
      <c r="O2005" s="10" t="s">
        <v>2054</v>
      </c>
      <c r="P2005" s="25" t="str">
        <f>IFERROR(
IF(OR(O2005="anulado",O2005="stand by"),CONCATENATE(O2005,": ",H2005),
IF(OR(YEAR(M2005)=2022,YEAR(M2005)=2023),CONCATENATE("Se activó en ",YEAR(M2005)),
IF(AND(OR(O2005="En proceso",O2005="facturando"),AND(J2005="-",M2005="")),"Por revisar",
IF(M2005="",IF(J2005="NUEVAS",CONCATENATE("Estado: ",O2005,", ",J2005),
IF(L2005=Meses!$A$3,"Por revisar",
IF(H2005="","Sin registro","En programación Frcst."))),"En programación")))),
"Error")</f>
        <v>En programación Frcst.</v>
      </c>
      <c r="Q2005" s="9" t="str">
        <f t="shared" si="96"/>
        <v/>
      </c>
      <c r="R2005" s="25" t="e">
        <f>IF(P2005="En programación Frcst.",VLOOKUP(L2005,Meses!$A$1:$H$14,3+HLOOKUP(Cronograma!J2005,Meses!$D$1:$G$2,2,FALSE),FALSE),
IF(P2005="En programación",M2005,""))</f>
        <v>#N/A</v>
      </c>
      <c r="S2005" s="25" t="str">
        <f t="shared" si="95"/>
        <v/>
      </c>
      <c r="T2005" s="21" t="str">
        <f>IFERROR(
(VLOOKUP(MONTH(R2005),Meses!$B$3:$C$14,2,FALSE)-DAY(R2005))/VLOOKUP(MONTH(R2005),Meses!$B$3:$C$14,2,FALSE)*U2005,
"")</f>
        <v/>
      </c>
      <c r="U2005" s="22">
        <f t="shared" si="97"/>
        <v>0</v>
      </c>
    </row>
    <row r="2006" spans="1:21" ht="47.4" hidden="1" thickBot="1" x14ac:dyDescent="0.6">
      <c r="A2006" s="10" t="s">
        <v>3011</v>
      </c>
      <c r="B2006" s="10" t="s">
        <v>2609</v>
      </c>
      <c r="C2006" s="12">
        <v>45029</v>
      </c>
      <c r="D2006" s="10" t="s">
        <v>323</v>
      </c>
      <c r="E2006" s="10" t="s">
        <v>14</v>
      </c>
      <c r="F2006" s="10"/>
      <c r="G2006" s="10" t="s">
        <v>15</v>
      </c>
      <c r="H2006" s="10" t="s">
        <v>17</v>
      </c>
      <c r="I2006" s="10" t="s">
        <v>66</v>
      </c>
      <c r="J2006" s="10"/>
      <c r="K2006" s="10"/>
      <c r="L2006" s="10"/>
      <c r="M2006" s="12"/>
      <c r="N2006" s="10"/>
      <c r="O2006" s="10" t="s">
        <v>2054</v>
      </c>
      <c r="P2006" s="25" t="str">
        <f>IFERROR(
IF(OR(O2006="anulado",O2006="stand by"),CONCATENATE(O2006,": ",H2006),
IF(OR(YEAR(M2006)=2022,YEAR(M2006)=2023),CONCATENATE("Se activó en ",YEAR(M2006)),
IF(AND(OR(O2006="En proceso",O2006="facturando"),AND(J2006="-",M2006="")),"Por revisar",
IF(M2006="",IF(J2006="NUEVAS",CONCATENATE("Estado: ",O2006,", ",J2006),
IF(L2006=Meses!$A$3,"Por revisar",
IF(H2006="","Sin registro","En programación Frcst."))),"En programación")))),
"Error")</f>
        <v>En programación Frcst.</v>
      </c>
      <c r="Q2006" s="9" t="str">
        <f t="shared" si="96"/>
        <v/>
      </c>
      <c r="R2006" s="25" t="e">
        <f>IF(P2006="En programación Frcst.",VLOOKUP(L2006,Meses!$A$1:$H$14,3+HLOOKUP(Cronograma!J2006,Meses!$D$1:$G$2,2,FALSE),FALSE),
IF(P2006="En programación",M2006,""))</f>
        <v>#N/A</v>
      </c>
      <c r="S2006" s="25" t="str">
        <f t="shared" si="95"/>
        <v/>
      </c>
      <c r="T2006" s="21" t="str">
        <f>IFERROR(
(VLOOKUP(MONTH(R2006),Meses!$B$3:$C$14,2,FALSE)-DAY(R2006))/VLOOKUP(MONTH(R2006),Meses!$B$3:$C$14,2,FALSE)*U2006,
"")</f>
        <v/>
      </c>
      <c r="U2006" s="22">
        <f t="shared" si="97"/>
        <v>0</v>
      </c>
    </row>
    <row r="2007" spans="1:21" ht="63" hidden="1" thickBot="1" x14ac:dyDescent="0.6">
      <c r="A2007" s="10" t="s">
        <v>3012</v>
      </c>
      <c r="B2007" s="10" t="s">
        <v>2610</v>
      </c>
      <c r="C2007" s="12">
        <v>45029</v>
      </c>
      <c r="D2007" s="10" t="s">
        <v>323</v>
      </c>
      <c r="E2007" s="10"/>
      <c r="F2007" s="10"/>
      <c r="G2007" s="10" t="s">
        <v>15</v>
      </c>
      <c r="H2007" s="10" t="s">
        <v>17</v>
      </c>
      <c r="I2007" s="10" t="s">
        <v>66</v>
      </c>
      <c r="J2007" s="10"/>
      <c r="K2007" s="10"/>
      <c r="L2007" s="10"/>
      <c r="M2007" s="12"/>
      <c r="N2007" s="10"/>
      <c r="O2007" s="10" t="s">
        <v>2054</v>
      </c>
      <c r="P2007" s="25" t="str">
        <f>IFERROR(
IF(OR(O2007="anulado",O2007="stand by"),CONCATENATE(O2007,": ",H2007),
IF(OR(YEAR(M2007)=2022,YEAR(M2007)=2023),CONCATENATE("Se activó en ",YEAR(M2007)),
IF(AND(OR(O2007="En proceso",O2007="facturando"),AND(J2007="-",M2007="")),"Por revisar",
IF(M2007="",IF(J2007="NUEVAS",CONCATENATE("Estado: ",O2007,", ",J2007),
IF(L2007=Meses!$A$3,"Por revisar",
IF(H2007="","Sin registro","En programación Frcst."))),"En programación")))),
"Error")</f>
        <v>En programación Frcst.</v>
      </c>
      <c r="Q2007" s="9" t="str">
        <f t="shared" si="96"/>
        <v/>
      </c>
      <c r="R2007" s="25" t="e">
        <f>IF(P2007="En programación Frcst.",VLOOKUP(L2007,Meses!$A$1:$H$14,3+HLOOKUP(Cronograma!J2007,Meses!$D$1:$G$2,2,FALSE),FALSE),
IF(P2007="En programación",M2007,""))</f>
        <v>#N/A</v>
      </c>
      <c r="S2007" s="25" t="str">
        <f t="shared" si="95"/>
        <v/>
      </c>
      <c r="T2007" s="21" t="str">
        <f>IFERROR(
(VLOOKUP(MONTH(R2007),Meses!$B$3:$C$14,2,FALSE)-DAY(R2007))/VLOOKUP(MONTH(R2007),Meses!$B$3:$C$14,2,FALSE)*U2007,
"")</f>
        <v/>
      </c>
      <c r="U2007" s="22">
        <f t="shared" si="97"/>
        <v>0</v>
      </c>
    </row>
    <row r="2008" spans="1:21" ht="109.8" hidden="1" thickBot="1" x14ac:dyDescent="0.6">
      <c r="A2008" s="10" t="s">
        <v>2612</v>
      </c>
      <c r="B2008" s="10" t="s">
        <v>2611</v>
      </c>
      <c r="C2008" s="12">
        <v>45029</v>
      </c>
      <c r="D2008" s="10" t="s">
        <v>323</v>
      </c>
      <c r="E2008" s="10" t="s">
        <v>289</v>
      </c>
      <c r="F2008" s="10"/>
      <c r="G2008" s="10" t="s">
        <v>15</v>
      </c>
      <c r="H2008" s="10" t="s">
        <v>17</v>
      </c>
      <c r="I2008" s="10" t="s">
        <v>66</v>
      </c>
      <c r="J2008" s="10"/>
      <c r="K2008" s="10"/>
      <c r="L2008" s="10"/>
      <c r="M2008" s="12"/>
      <c r="N2008" s="10"/>
      <c r="O2008" s="10" t="s">
        <v>2054</v>
      </c>
      <c r="P2008" s="25" t="str">
        <f>IFERROR(
IF(OR(O2008="anulado",O2008="stand by"),CONCATENATE(O2008,": ",H2008),
IF(OR(YEAR(M2008)=2022,YEAR(M2008)=2023),CONCATENATE("Se activó en ",YEAR(M2008)),
IF(AND(OR(O2008="En proceso",O2008="facturando"),AND(J2008="-",M2008="")),"Por revisar",
IF(M2008="",IF(J2008="NUEVAS",CONCATENATE("Estado: ",O2008,", ",J2008),
IF(L2008=Meses!$A$3,"Por revisar",
IF(H2008="","Sin registro","En programación Frcst."))),"En programación")))),
"Error")</f>
        <v>En programación Frcst.</v>
      </c>
      <c r="Q2008" s="9" t="str">
        <f t="shared" si="96"/>
        <v/>
      </c>
      <c r="R2008" s="25" t="e">
        <f>IF(P2008="En programación Frcst.",VLOOKUP(L2008,Meses!$A$1:$H$14,3+HLOOKUP(Cronograma!J2008,Meses!$D$1:$G$2,2,FALSE),FALSE),
IF(P2008="En programación",M2008,""))</f>
        <v>#N/A</v>
      </c>
      <c r="S2008" s="25" t="str">
        <f t="shared" si="95"/>
        <v/>
      </c>
      <c r="T2008" s="21" t="str">
        <f>IFERROR(
(VLOOKUP(MONTH(R2008),Meses!$B$3:$C$14,2,FALSE)-DAY(R2008))/VLOOKUP(MONTH(R2008),Meses!$B$3:$C$14,2,FALSE)*U2008,
"")</f>
        <v/>
      </c>
      <c r="U2008" s="22">
        <f t="shared" si="97"/>
        <v>0</v>
      </c>
    </row>
    <row r="2009" spans="1:21" ht="109.8" hidden="1" thickBot="1" x14ac:dyDescent="0.6">
      <c r="A2009" s="10" t="s">
        <v>3013</v>
      </c>
      <c r="B2009" s="10" t="s">
        <v>2613</v>
      </c>
      <c r="C2009" s="12">
        <v>45029</v>
      </c>
      <c r="D2009" s="10" t="s">
        <v>323</v>
      </c>
      <c r="E2009" s="10" t="s">
        <v>298</v>
      </c>
      <c r="F2009" s="10"/>
      <c r="G2009" s="10" t="s">
        <v>15</v>
      </c>
      <c r="H2009" s="10" t="s">
        <v>17</v>
      </c>
      <c r="I2009" s="10" t="s">
        <v>66</v>
      </c>
      <c r="J2009" s="10"/>
      <c r="K2009" s="10"/>
      <c r="L2009" s="10"/>
      <c r="M2009" s="12"/>
      <c r="N2009" s="10"/>
      <c r="O2009" s="10" t="s">
        <v>2054</v>
      </c>
      <c r="P2009" s="25" t="str">
        <f>IFERROR(
IF(OR(O2009="anulado",O2009="stand by"),CONCATENATE(O2009,": ",H2009),
IF(OR(YEAR(M2009)=2022,YEAR(M2009)=2023),CONCATENATE("Se activó en ",YEAR(M2009)),
IF(AND(OR(O2009="En proceso",O2009="facturando"),AND(J2009="-",M2009="")),"Por revisar",
IF(M2009="",IF(J2009="NUEVAS",CONCATENATE("Estado: ",O2009,", ",J2009),
IF(L2009=Meses!$A$3,"Por revisar",
IF(H2009="","Sin registro","En programación Frcst."))),"En programación")))),
"Error")</f>
        <v>En programación Frcst.</v>
      </c>
      <c r="Q2009" s="9" t="str">
        <f t="shared" si="96"/>
        <v/>
      </c>
      <c r="R2009" s="25" t="e">
        <f>IF(P2009="En programación Frcst.",VLOOKUP(L2009,Meses!$A$1:$H$14,3+HLOOKUP(Cronograma!J2009,Meses!$D$1:$G$2,2,FALSE),FALSE),
IF(P2009="En programación",M2009,""))</f>
        <v>#N/A</v>
      </c>
      <c r="S2009" s="25" t="str">
        <f t="shared" si="95"/>
        <v/>
      </c>
      <c r="T2009" s="21" t="str">
        <f>IFERROR(
(VLOOKUP(MONTH(R2009),Meses!$B$3:$C$14,2,FALSE)-DAY(R2009))/VLOOKUP(MONTH(R2009),Meses!$B$3:$C$14,2,FALSE)*U2009,
"")</f>
        <v/>
      </c>
      <c r="U2009" s="22">
        <f t="shared" si="97"/>
        <v>0</v>
      </c>
    </row>
    <row r="2010" spans="1:21" ht="31.8" hidden="1" thickBot="1" x14ac:dyDescent="0.6">
      <c r="A2010" s="10" t="s">
        <v>3014</v>
      </c>
      <c r="B2010" s="10" t="s">
        <v>2614</v>
      </c>
      <c r="C2010" s="12">
        <v>45029</v>
      </c>
      <c r="D2010" s="10" t="s">
        <v>323</v>
      </c>
      <c r="E2010" s="10" t="s">
        <v>14</v>
      </c>
      <c r="F2010" s="10"/>
      <c r="G2010" s="10" t="s">
        <v>15</v>
      </c>
      <c r="H2010" s="10" t="s">
        <v>17</v>
      </c>
      <c r="I2010" s="10" t="s">
        <v>66</v>
      </c>
      <c r="J2010" s="10"/>
      <c r="K2010" s="10"/>
      <c r="L2010" s="10"/>
      <c r="M2010" s="12"/>
      <c r="N2010" s="10"/>
      <c r="O2010" s="10" t="s">
        <v>2054</v>
      </c>
      <c r="P2010" s="25" t="str">
        <f>IFERROR(
IF(OR(O2010="anulado",O2010="stand by"),CONCATENATE(O2010,": ",H2010),
IF(OR(YEAR(M2010)=2022,YEAR(M2010)=2023),CONCATENATE("Se activó en ",YEAR(M2010)),
IF(AND(OR(O2010="En proceso",O2010="facturando"),AND(J2010="-",M2010="")),"Por revisar",
IF(M2010="",IF(J2010="NUEVAS",CONCATENATE("Estado: ",O2010,", ",J2010),
IF(L2010=Meses!$A$3,"Por revisar",
IF(H2010="","Sin registro","En programación Frcst."))),"En programación")))),
"Error")</f>
        <v>En programación Frcst.</v>
      </c>
      <c r="Q2010" s="9" t="str">
        <f t="shared" si="96"/>
        <v/>
      </c>
      <c r="R2010" s="25" t="e">
        <f>IF(P2010="En programación Frcst.",VLOOKUP(L2010,Meses!$A$1:$H$14,3+HLOOKUP(Cronograma!J2010,Meses!$D$1:$G$2,2,FALSE),FALSE),
IF(P2010="En programación",M2010,""))</f>
        <v>#N/A</v>
      </c>
      <c r="S2010" s="25" t="str">
        <f t="shared" si="95"/>
        <v/>
      </c>
      <c r="T2010" s="21" t="str">
        <f>IFERROR(
(VLOOKUP(MONTH(R2010),Meses!$B$3:$C$14,2,FALSE)-DAY(R2010))/VLOOKUP(MONTH(R2010),Meses!$B$3:$C$14,2,FALSE)*U2010,
"")</f>
        <v/>
      </c>
      <c r="U2010" s="22">
        <f t="shared" si="97"/>
        <v>0</v>
      </c>
    </row>
    <row r="2011" spans="1:21" ht="31.8" hidden="1" thickBot="1" x14ac:dyDescent="0.6">
      <c r="A2011" s="10" t="s">
        <v>3015</v>
      </c>
      <c r="B2011" s="10" t="s">
        <v>2615</v>
      </c>
      <c r="C2011" s="12">
        <v>45029</v>
      </c>
      <c r="D2011" s="10" t="s">
        <v>323</v>
      </c>
      <c r="E2011" s="10" t="s">
        <v>14</v>
      </c>
      <c r="F2011" s="10"/>
      <c r="G2011" s="10" t="s">
        <v>15</v>
      </c>
      <c r="H2011" s="10" t="s">
        <v>17</v>
      </c>
      <c r="I2011" s="10" t="s">
        <v>66</v>
      </c>
      <c r="J2011" s="10"/>
      <c r="K2011" s="10"/>
      <c r="L2011" s="10"/>
      <c r="M2011" s="12"/>
      <c r="N2011" s="10"/>
      <c r="O2011" s="10" t="s">
        <v>2054</v>
      </c>
      <c r="P2011" s="25" t="str">
        <f>IFERROR(
IF(OR(O2011="anulado",O2011="stand by"),CONCATENATE(O2011,": ",H2011),
IF(OR(YEAR(M2011)=2022,YEAR(M2011)=2023),CONCATENATE("Se activó en ",YEAR(M2011)),
IF(AND(OR(O2011="En proceso",O2011="facturando"),AND(J2011="-",M2011="")),"Por revisar",
IF(M2011="",IF(J2011="NUEVAS",CONCATENATE("Estado: ",O2011,", ",J2011),
IF(L2011=Meses!$A$3,"Por revisar",
IF(H2011="","Sin registro","En programación Frcst."))),"En programación")))),
"Error")</f>
        <v>En programación Frcst.</v>
      </c>
      <c r="Q2011" s="9" t="str">
        <f t="shared" si="96"/>
        <v/>
      </c>
      <c r="R2011" s="25" t="e">
        <f>IF(P2011="En programación Frcst.",VLOOKUP(L2011,Meses!$A$1:$H$14,3+HLOOKUP(Cronograma!J2011,Meses!$D$1:$G$2,2,FALSE),FALSE),
IF(P2011="En programación",M2011,""))</f>
        <v>#N/A</v>
      </c>
      <c r="S2011" s="25" t="str">
        <f t="shared" si="95"/>
        <v/>
      </c>
      <c r="T2011" s="21" t="str">
        <f>IFERROR(
(VLOOKUP(MONTH(R2011),Meses!$B$3:$C$14,2,FALSE)-DAY(R2011))/VLOOKUP(MONTH(R2011),Meses!$B$3:$C$14,2,FALSE)*U2011,
"")</f>
        <v/>
      </c>
      <c r="U2011" s="22">
        <f t="shared" si="97"/>
        <v>0</v>
      </c>
    </row>
    <row r="2012" spans="1:21" ht="63" hidden="1" thickBot="1" x14ac:dyDescent="0.6">
      <c r="A2012" s="10" t="s">
        <v>3016</v>
      </c>
      <c r="B2012" s="10" t="s">
        <v>2616</v>
      </c>
      <c r="C2012" s="12">
        <v>45029</v>
      </c>
      <c r="D2012" s="10" t="s">
        <v>323</v>
      </c>
      <c r="E2012" s="10" t="s">
        <v>291</v>
      </c>
      <c r="F2012" s="10"/>
      <c r="G2012" s="10" t="s">
        <v>15</v>
      </c>
      <c r="H2012" s="10" t="s">
        <v>17</v>
      </c>
      <c r="I2012" s="10" t="s">
        <v>66</v>
      </c>
      <c r="J2012" s="10"/>
      <c r="K2012" s="10"/>
      <c r="L2012" s="10"/>
      <c r="M2012" s="12"/>
      <c r="N2012" s="10"/>
      <c r="O2012" s="10" t="s">
        <v>2054</v>
      </c>
      <c r="P2012" s="25" t="str">
        <f>IFERROR(
IF(OR(O2012="anulado",O2012="stand by"),CONCATENATE(O2012,": ",H2012),
IF(OR(YEAR(M2012)=2022,YEAR(M2012)=2023),CONCATENATE("Se activó en ",YEAR(M2012)),
IF(AND(OR(O2012="En proceso",O2012="facturando"),AND(J2012="-",M2012="")),"Por revisar",
IF(M2012="",IF(J2012="NUEVAS",CONCATENATE("Estado: ",O2012,", ",J2012),
IF(L2012=Meses!$A$3,"Por revisar",
IF(H2012="","Sin registro","En programación Frcst."))),"En programación")))),
"Error")</f>
        <v>En programación Frcst.</v>
      </c>
      <c r="Q2012" s="9" t="str">
        <f t="shared" si="96"/>
        <v/>
      </c>
      <c r="R2012" s="25" t="e">
        <f>IF(P2012="En programación Frcst.",VLOOKUP(L2012,Meses!$A$1:$H$14,3+HLOOKUP(Cronograma!J2012,Meses!$D$1:$G$2,2,FALSE),FALSE),
IF(P2012="En programación",M2012,""))</f>
        <v>#N/A</v>
      </c>
      <c r="S2012" s="25" t="str">
        <f t="shared" si="95"/>
        <v/>
      </c>
      <c r="T2012" s="21" t="str">
        <f>IFERROR(
(VLOOKUP(MONTH(R2012),Meses!$B$3:$C$14,2,FALSE)-DAY(R2012))/VLOOKUP(MONTH(R2012),Meses!$B$3:$C$14,2,FALSE)*U2012,
"")</f>
        <v/>
      </c>
      <c r="U2012" s="22">
        <f t="shared" si="97"/>
        <v>0</v>
      </c>
    </row>
    <row r="2013" spans="1:21" ht="63" hidden="1" thickBot="1" x14ac:dyDescent="0.6">
      <c r="A2013" s="10" t="s">
        <v>2137</v>
      </c>
      <c r="B2013" s="10" t="s">
        <v>2617</v>
      </c>
      <c r="C2013" s="12">
        <v>45029</v>
      </c>
      <c r="D2013" s="10" t="s">
        <v>323</v>
      </c>
      <c r="E2013" s="10" t="s">
        <v>959</v>
      </c>
      <c r="F2013" s="10"/>
      <c r="G2013" s="10" t="s">
        <v>15</v>
      </c>
      <c r="H2013" s="10" t="s">
        <v>17</v>
      </c>
      <c r="I2013" s="10" t="s">
        <v>66</v>
      </c>
      <c r="J2013" s="10"/>
      <c r="K2013" s="10"/>
      <c r="L2013" s="10"/>
      <c r="M2013" s="12"/>
      <c r="N2013" s="10"/>
      <c r="O2013" s="10" t="s">
        <v>2054</v>
      </c>
      <c r="P2013" s="25" t="str">
        <f>IFERROR(
IF(OR(O2013="anulado",O2013="stand by"),CONCATENATE(O2013,": ",H2013),
IF(OR(YEAR(M2013)=2022,YEAR(M2013)=2023),CONCATENATE("Se activó en ",YEAR(M2013)),
IF(AND(OR(O2013="En proceso",O2013="facturando"),AND(J2013="-",M2013="")),"Por revisar",
IF(M2013="",IF(J2013="NUEVAS",CONCATENATE("Estado: ",O2013,", ",J2013),
IF(L2013=Meses!$A$3,"Por revisar",
IF(H2013="","Sin registro","En programación Frcst."))),"En programación")))),
"Error")</f>
        <v>En programación Frcst.</v>
      </c>
      <c r="Q2013" s="9" t="str">
        <f t="shared" si="96"/>
        <v/>
      </c>
      <c r="R2013" s="25" t="e">
        <f>IF(P2013="En programación Frcst.",VLOOKUP(L2013,Meses!$A$1:$H$14,3+HLOOKUP(Cronograma!J2013,Meses!$D$1:$G$2,2,FALSE),FALSE),
IF(P2013="En programación",M2013,""))</f>
        <v>#N/A</v>
      </c>
      <c r="S2013" s="25" t="str">
        <f t="shared" si="95"/>
        <v/>
      </c>
      <c r="T2013" s="21" t="str">
        <f>IFERROR(
(VLOOKUP(MONTH(R2013),Meses!$B$3:$C$14,2,FALSE)-DAY(R2013))/VLOOKUP(MONTH(R2013),Meses!$B$3:$C$14,2,FALSE)*U2013,
"")</f>
        <v/>
      </c>
      <c r="U2013" s="22">
        <f t="shared" si="97"/>
        <v>0</v>
      </c>
    </row>
    <row r="2014" spans="1:21" ht="78.599999999999994" hidden="1" thickBot="1" x14ac:dyDescent="0.6">
      <c r="A2014" s="10" t="s">
        <v>3017</v>
      </c>
      <c r="B2014" s="10" t="s">
        <v>2618</v>
      </c>
      <c r="C2014" s="12">
        <v>45029</v>
      </c>
      <c r="D2014" s="10" t="s">
        <v>323</v>
      </c>
      <c r="E2014" s="10" t="s">
        <v>298</v>
      </c>
      <c r="F2014" s="10"/>
      <c r="G2014" s="10" t="s">
        <v>15</v>
      </c>
      <c r="H2014" s="10" t="s">
        <v>17</v>
      </c>
      <c r="I2014" s="10" t="s">
        <v>66</v>
      </c>
      <c r="J2014" s="10"/>
      <c r="K2014" s="10"/>
      <c r="L2014" s="10"/>
      <c r="M2014" s="12"/>
      <c r="N2014" s="10"/>
      <c r="O2014" s="10" t="s">
        <v>2054</v>
      </c>
      <c r="P2014" s="25" t="str">
        <f>IFERROR(
IF(OR(O2014="anulado",O2014="stand by"),CONCATENATE(O2014,": ",H2014),
IF(OR(YEAR(M2014)=2022,YEAR(M2014)=2023),CONCATENATE("Se activó en ",YEAR(M2014)),
IF(AND(OR(O2014="En proceso",O2014="facturando"),AND(J2014="-",M2014="")),"Por revisar",
IF(M2014="",IF(J2014="NUEVAS",CONCATENATE("Estado: ",O2014,", ",J2014),
IF(L2014=Meses!$A$3,"Por revisar",
IF(H2014="","Sin registro","En programación Frcst."))),"En programación")))),
"Error")</f>
        <v>En programación Frcst.</v>
      </c>
      <c r="Q2014" s="9" t="str">
        <f t="shared" si="96"/>
        <v/>
      </c>
      <c r="R2014" s="25" t="e">
        <f>IF(P2014="En programación Frcst.",VLOOKUP(L2014,Meses!$A$1:$H$14,3+HLOOKUP(Cronograma!J2014,Meses!$D$1:$G$2,2,FALSE),FALSE),
IF(P2014="En programación",M2014,""))</f>
        <v>#N/A</v>
      </c>
      <c r="S2014" s="25" t="str">
        <f t="shared" si="95"/>
        <v/>
      </c>
      <c r="T2014" s="21" t="str">
        <f>IFERROR(
(VLOOKUP(MONTH(R2014),Meses!$B$3:$C$14,2,FALSE)-DAY(R2014))/VLOOKUP(MONTH(R2014),Meses!$B$3:$C$14,2,FALSE)*U2014,
"")</f>
        <v/>
      </c>
      <c r="U2014" s="22">
        <f t="shared" si="97"/>
        <v>0</v>
      </c>
    </row>
    <row r="2015" spans="1:21" ht="31.8" hidden="1" thickBot="1" x14ac:dyDescent="0.6">
      <c r="A2015" s="10" t="s">
        <v>3018</v>
      </c>
      <c r="B2015" s="10" t="s">
        <v>2619</v>
      </c>
      <c r="C2015" s="12">
        <v>45029</v>
      </c>
      <c r="D2015" s="10" t="s">
        <v>323</v>
      </c>
      <c r="E2015" s="10" t="s">
        <v>291</v>
      </c>
      <c r="F2015" s="10"/>
      <c r="G2015" s="10" t="s">
        <v>15</v>
      </c>
      <c r="H2015" s="10" t="s">
        <v>17</v>
      </c>
      <c r="I2015" s="10" t="s">
        <v>66</v>
      </c>
      <c r="J2015" s="10"/>
      <c r="K2015" s="10"/>
      <c r="L2015" s="10"/>
      <c r="M2015" s="12"/>
      <c r="N2015" s="10"/>
      <c r="O2015" s="10" t="s">
        <v>2054</v>
      </c>
      <c r="P2015" s="25" t="str">
        <f>IFERROR(
IF(OR(O2015="anulado",O2015="stand by"),CONCATENATE(O2015,": ",H2015),
IF(OR(YEAR(M2015)=2022,YEAR(M2015)=2023),CONCATENATE("Se activó en ",YEAR(M2015)),
IF(AND(OR(O2015="En proceso",O2015="facturando"),AND(J2015="-",M2015="")),"Por revisar",
IF(M2015="",IF(J2015="NUEVAS",CONCATENATE("Estado: ",O2015,", ",J2015),
IF(L2015=Meses!$A$3,"Por revisar",
IF(H2015="","Sin registro","En programación Frcst."))),"En programación")))),
"Error")</f>
        <v>En programación Frcst.</v>
      </c>
      <c r="Q2015" s="9" t="str">
        <f t="shared" si="96"/>
        <v/>
      </c>
      <c r="R2015" s="25" t="e">
        <f>IF(P2015="En programación Frcst.",VLOOKUP(L2015,Meses!$A$1:$H$14,3+HLOOKUP(Cronograma!J2015,Meses!$D$1:$G$2,2,FALSE),FALSE),
IF(P2015="En programación",M2015,""))</f>
        <v>#N/A</v>
      </c>
      <c r="S2015" s="25" t="str">
        <f t="shared" si="95"/>
        <v/>
      </c>
      <c r="T2015" s="21" t="str">
        <f>IFERROR(
(VLOOKUP(MONTH(R2015),Meses!$B$3:$C$14,2,FALSE)-DAY(R2015))/VLOOKUP(MONTH(R2015),Meses!$B$3:$C$14,2,FALSE)*U2015,
"")</f>
        <v/>
      </c>
      <c r="U2015" s="22">
        <f t="shared" si="97"/>
        <v>0</v>
      </c>
    </row>
    <row r="2016" spans="1:21" ht="31.8" hidden="1" thickBot="1" x14ac:dyDescent="0.6">
      <c r="A2016" s="10" t="s">
        <v>3019</v>
      </c>
      <c r="B2016" s="10" t="s">
        <v>2620</v>
      </c>
      <c r="C2016" s="12">
        <v>45029</v>
      </c>
      <c r="D2016" s="10" t="s">
        <v>323</v>
      </c>
      <c r="E2016" s="10" t="s">
        <v>291</v>
      </c>
      <c r="F2016" s="10"/>
      <c r="G2016" s="10" t="s">
        <v>15</v>
      </c>
      <c r="H2016" s="10" t="s">
        <v>17</v>
      </c>
      <c r="I2016" s="10" t="s">
        <v>66</v>
      </c>
      <c r="J2016" s="10"/>
      <c r="K2016" s="10"/>
      <c r="L2016" s="10"/>
      <c r="M2016" s="12"/>
      <c r="N2016" s="10"/>
      <c r="O2016" s="10" t="s">
        <v>2054</v>
      </c>
      <c r="P2016" s="25" t="str">
        <f>IFERROR(
IF(OR(O2016="anulado",O2016="stand by"),CONCATENATE(O2016,": ",H2016),
IF(OR(YEAR(M2016)=2022,YEAR(M2016)=2023),CONCATENATE("Se activó en ",YEAR(M2016)),
IF(AND(OR(O2016="En proceso",O2016="facturando"),AND(J2016="-",M2016="")),"Por revisar",
IF(M2016="",IF(J2016="NUEVAS",CONCATENATE("Estado: ",O2016,", ",J2016),
IF(L2016=Meses!$A$3,"Por revisar",
IF(H2016="","Sin registro","En programación Frcst."))),"En programación")))),
"Error")</f>
        <v>En programación Frcst.</v>
      </c>
      <c r="Q2016" s="9" t="str">
        <f t="shared" si="96"/>
        <v/>
      </c>
      <c r="R2016" s="25" t="e">
        <f>IF(P2016="En programación Frcst.",VLOOKUP(L2016,Meses!$A$1:$H$14,3+HLOOKUP(Cronograma!J2016,Meses!$D$1:$G$2,2,FALSE),FALSE),
IF(P2016="En programación",M2016,""))</f>
        <v>#N/A</v>
      </c>
      <c r="S2016" s="25" t="str">
        <f t="shared" si="95"/>
        <v/>
      </c>
      <c r="T2016" s="21" t="str">
        <f>IFERROR(
(VLOOKUP(MONTH(R2016),Meses!$B$3:$C$14,2,FALSE)-DAY(R2016))/VLOOKUP(MONTH(R2016),Meses!$B$3:$C$14,2,FALSE)*U2016,
"")</f>
        <v/>
      </c>
      <c r="U2016" s="22">
        <f t="shared" si="97"/>
        <v>0</v>
      </c>
    </row>
    <row r="2017" spans="1:21" ht="47.4" hidden="1" thickBot="1" x14ac:dyDescent="0.6">
      <c r="A2017" s="10" t="s">
        <v>3020</v>
      </c>
      <c r="B2017" s="10" t="s">
        <v>2621</v>
      </c>
      <c r="C2017" s="12">
        <v>45029</v>
      </c>
      <c r="D2017" s="10" t="s">
        <v>323</v>
      </c>
      <c r="E2017" s="10" t="s">
        <v>291</v>
      </c>
      <c r="F2017" s="10"/>
      <c r="G2017" s="10" t="s">
        <v>15</v>
      </c>
      <c r="H2017" s="10" t="s">
        <v>17</v>
      </c>
      <c r="I2017" s="10" t="s">
        <v>66</v>
      </c>
      <c r="J2017" s="10"/>
      <c r="K2017" s="10"/>
      <c r="L2017" s="10"/>
      <c r="M2017" s="12"/>
      <c r="N2017" s="10"/>
      <c r="O2017" s="10" t="s">
        <v>2054</v>
      </c>
      <c r="P2017" s="25" t="str">
        <f>IFERROR(
IF(OR(O2017="anulado",O2017="stand by"),CONCATENATE(O2017,": ",H2017),
IF(OR(YEAR(M2017)=2022,YEAR(M2017)=2023),CONCATENATE("Se activó en ",YEAR(M2017)),
IF(AND(OR(O2017="En proceso",O2017="facturando"),AND(J2017="-",M2017="")),"Por revisar",
IF(M2017="",IF(J2017="NUEVAS",CONCATENATE("Estado: ",O2017,", ",J2017),
IF(L2017=Meses!$A$3,"Por revisar",
IF(H2017="","Sin registro","En programación Frcst."))),"En programación")))),
"Error")</f>
        <v>En programación Frcst.</v>
      </c>
      <c r="Q2017" s="9" t="str">
        <f t="shared" si="96"/>
        <v/>
      </c>
      <c r="R2017" s="25" t="e">
        <f>IF(P2017="En programación Frcst.",VLOOKUP(L2017,Meses!$A$1:$H$14,3+HLOOKUP(Cronograma!J2017,Meses!$D$1:$G$2,2,FALSE),FALSE),
IF(P2017="En programación",M2017,""))</f>
        <v>#N/A</v>
      </c>
      <c r="S2017" s="25" t="str">
        <f t="shared" si="95"/>
        <v/>
      </c>
      <c r="T2017" s="21" t="str">
        <f>IFERROR(
(VLOOKUP(MONTH(R2017),Meses!$B$3:$C$14,2,FALSE)-DAY(R2017))/VLOOKUP(MONTH(R2017),Meses!$B$3:$C$14,2,FALSE)*U2017,
"")</f>
        <v/>
      </c>
      <c r="U2017" s="22">
        <f t="shared" si="97"/>
        <v>0</v>
      </c>
    </row>
    <row r="2018" spans="1:21" ht="63" hidden="1" thickBot="1" x14ac:dyDescent="0.6">
      <c r="A2018" s="10" t="s">
        <v>3021</v>
      </c>
      <c r="B2018" s="10" t="s">
        <v>2622</v>
      </c>
      <c r="C2018" s="12">
        <v>45029</v>
      </c>
      <c r="D2018" s="10" t="s">
        <v>323</v>
      </c>
      <c r="E2018" s="10" t="s">
        <v>291</v>
      </c>
      <c r="F2018" s="10"/>
      <c r="G2018" s="10" t="s">
        <v>15</v>
      </c>
      <c r="H2018" s="10" t="s">
        <v>17</v>
      </c>
      <c r="I2018" s="10" t="s">
        <v>66</v>
      </c>
      <c r="J2018" s="10"/>
      <c r="K2018" s="10"/>
      <c r="L2018" s="10"/>
      <c r="M2018" s="12"/>
      <c r="N2018" s="10"/>
      <c r="O2018" s="10" t="s">
        <v>2054</v>
      </c>
      <c r="P2018" s="25" t="str">
        <f>IFERROR(
IF(OR(O2018="anulado",O2018="stand by"),CONCATENATE(O2018,": ",H2018),
IF(OR(YEAR(M2018)=2022,YEAR(M2018)=2023),CONCATENATE("Se activó en ",YEAR(M2018)),
IF(AND(OR(O2018="En proceso",O2018="facturando"),AND(J2018="-",M2018="")),"Por revisar",
IF(M2018="",IF(J2018="NUEVAS",CONCATENATE("Estado: ",O2018,", ",J2018),
IF(L2018=Meses!$A$3,"Por revisar",
IF(H2018="","Sin registro","En programación Frcst."))),"En programación")))),
"Error")</f>
        <v>En programación Frcst.</v>
      </c>
      <c r="Q2018" s="9" t="str">
        <f t="shared" si="96"/>
        <v/>
      </c>
      <c r="R2018" s="25" t="e">
        <f>IF(P2018="En programación Frcst.",VLOOKUP(L2018,Meses!$A$1:$H$14,3+HLOOKUP(Cronograma!J2018,Meses!$D$1:$G$2,2,FALSE),FALSE),
IF(P2018="En programación",M2018,""))</f>
        <v>#N/A</v>
      </c>
      <c r="S2018" s="25" t="str">
        <f t="shared" si="95"/>
        <v/>
      </c>
      <c r="T2018" s="21" t="str">
        <f>IFERROR(
(VLOOKUP(MONTH(R2018),Meses!$B$3:$C$14,2,FALSE)-DAY(R2018))/VLOOKUP(MONTH(R2018),Meses!$B$3:$C$14,2,FALSE)*U2018,
"")</f>
        <v/>
      </c>
      <c r="U2018" s="22">
        <f t="shared" si="97"/>
        <v>0</v>
      </c>
    </row>
    <row r="2019" spans="1:21" ht="31.8" hidden="1" thickBot="1" x14ac:dyDescent="0.6">
      <c r="A2019" s="10" t="s">
        <v>3022</v>
      </c>
      <c r="B2019" s="10" t="s">
        <v>2623</v>
      </c>
      <c r="C2019" s="12">
        <v>45029</v>
      </c>
      <c r="D2019" s="10" t="s">
        <v>323</v>
      </c>
      <c r="E2019" s="10" t="s">
        <v>14</v>
      </c>
      <c r="F2019" s="10"/>
      <c r="G2019" s="10" t="s">
        <v>15</v>
      </c>
      <c r="H2019" s="10" t="s">
        <v>17</v>
      </c>
      <c r="I2019" s="10" t="s">
        <v>66</v>
      </c>
      <c r="J2019" s="10"/>
      <c r="K2019" s="10"/>
      <c r="L2019" s="10"/>
      <c r="M2019" s="12"/>
      <c r="N2019" s="10"/>
      <c r="O2019" s="10" t="s">
        <v>2054</v>
      </c>
      <c r="P2019" s="25" t="str">
        <f>IFERROR(
IF(OR(O2019="anulado",O2019="stand by"),CONCATENATE(O2019,": ",H2019),
IF(OR(YEAR(M2019)=2022,YEAR(M2019)=2023),CONCATENATE("Se activó en ",YEAR(M2019)),
IF(AND(OR(O2019="En proceso",O2019="facturando"),AND(J2019="-",M2019="")),"Por revisar",
IF(M2019="",IF(J2019="NUEVAS",CONCATENATE("Estado: ",O2019,", ",J2019),
IF(L2019=Meses!$A$3,"Por revisar",
IF(H2019="","Sin registro","En programación Frcst."))),"En programación")))),
"Error")</f>
        <v>En programación Frcst.</v>
      </c>
      <c r="Q2019" s="9" t="str">
        <f t="shared" si="96"/>
        <v/>
      </c>
      <c r="R2019" s="25" t="e">
        <f>IF(P2019="En programación Frcst.",VLOOKUP(L2019,Meses!$A$1:$H$14,3+HLOOKUP(Cronograma!J2019,Meses!$D$1:$G$2,2,FALSE),FALSE),
IF(P2019="En programación",M2019,""))</f>
        <v>#N/A</v>
      </c>
      <c r="S2019" s="25" t="str">
        <f t="shared" si="95"/>
        <v/>
      </c>
      <c r="T2019" s="21" t="str">
        <f>IFERROR(
(VLOOKUP(MONTH(R2019),Meses!$B$3:$C$14,2,FALSE)-DAY(R2019))/VLOOKUP(MONTH(R2019),Meses!$B$3:$C$14,2,FALSE)*U2019,
"")</f>
        <v/>
      </c>
      <c r="U2019" s="22">
        <f t="shared" si="97"/>
        <v>0</v>
      </c>
    </row>
    <row r="2020" spans="1:21" ht="31.8" hidden="1" thickBot="1" x14ac:dyDescent="0.6">
      <c r="A2020" s="10" t="s">
        <v>3023</v>
      </c>
      <c r="B2020" s="10" t="s">
        <v>2624</v>
      </c>
      <c r="C2020" s="12">
        <v>45029</v>
      </c>
      <c r="D2020" s="10" t="s">
        <v>323</v>
      </c>
      <c r="E2020" s="10"/>
      <c r="F2020" s="10"/>
      <c r="G2020" s="10" t="s">
        <v>15</v>
      </c>
      <c r="H2020" s="10" t="s">
        <v>17</v>
      </c>
      <c r="I2020" s="10" t="s">
        <v>66</v>
      </c>
      <c r="J2020" s="10"/>
      <c r="K2020" s="10"/>
      <c r="L2020" s="10"/>
      <c r="M2020" s="12"/>
      <c r="N2020" s="10"/>
      <c r="O2020" s="10" t="s">
        <v>2054</v>
      </c>
      <c r="P2020" s="25" t="str">
        <f>IFERROR(
IF(OR(O2020="anulado",O2020="stand by"),CONCATENATE(O2020,": ",H2020),
IF(OR(YEAR(M2020)=2022,YEAR(M2020)=2023),CONCATENATE("Se activó en ",YEAR(M2020)),
IF(AND(OR(O2020="En proceso",O2020="facturando"),AND(J2020="-",M2020="")),"Por revisar",
IF(M2020="",IF(J2020="NUEVAS",CONCATENATE("Estado: ",O2020,", ",J2020),
IF(L2020=Meses!$A$3,"Por revisar",
IF(H2020="","Sin registro","En programación Frcst."))),"En programación")))),
"Error")</f>
        <v>En programación Frcst.</v>
      </c>
      <c r="Q2020" s="9" t="str">
        <f t="shared" si="96"/>
        <v/>
      </c>
      <c r="R2020" s="25" t="e">
        <f>IF(P2020="En programación Frcst.",VLOOKUP(L2020,Meses!$A$1:$H$14,3+HLOOKUP(Cronograma!J2020,Meses!$D$1:$G$2,2,FALSE),FALSE),
IF(P2020="En programación",M2020,""))</f>
        <v>#N/A</v>
      </c>
      <c r="S2020" s="25" t="str">
        <f t="shared" si="95"/>
        <v/>
      </c>
      <c r="T2020" s="21" t="str">
        <f>IFERROR(
(VLOOKUP(MONTH(R2020),Meses!$B$3:$C$14,2,FALSE)-DAY(R2020))/VLOOKUP(MONTH(R2020),Meses!$B$3:$C$14,2,FALSE)*U2020,
"")</f>
        <v/>
      </c>
      <c r="U2020" s="22">
        <f t="shared" si="97"/>
        <v>0</v>
      </c>
    </row>
    <row r="2021" spans="1:21" ht="31.8" hidden="1" thickBot="1" x14ac:dyDescent="0.6">
      <c r="A2021" s="10" t="s">
        <v>3023</v>
      </c>
      <c r="B2021" s="10" t="s">
        <v>2625</v>
      </c>
      <c r="C2021" s="12">
        <v>45029</v>
      </c>
      <c r="D2021" s="10" t="s">
        <v>323</v>
      </c>
      <c r="E2021" s="10"/>
      <c r="F2021" s="10"/>
      <c r="G2021" s="10" t="s">
        <v>15</v>
      </c>
      <c r="H2021" s="10" t="s">
        <v>17</v>
      </c>
      <c r="I2021" s="10" t="s">
        <v>66</v>
      </c>
      <c r="J2021" s="10"/>
      <c r="K2021" s="10"/>
      <c r="L2021" s="10"/>
      <c r="M2021" s="12"/>
      <c r="N2021" s="10"/>
      <c r="O2021" s="10" t="s">
        <v>2054</v>
      </c>
      <c r="P2021" s="25" t="str">
        <f>IFERROR(
IF(OR(O2021="anulado",O2021="stand by"),CONCATENATE(O2021,": ",H2021),
IF(OR(YEAR(M2021)=2022,YEAR(M2021)=2023),CONCATENATE("Se activó en ",YEAR(M2021)),
IF(AND(OR(O2021="En proceso",O2021="facturando"),AND(J2021="-",M2021="")),"Por revisar",
IF(M2021="",IF(J2021="NUEVAS",CONCATENATE("Estado: ",O2021,", ",J2021),
IF(L2021=Meses!$A$3,"Por revisar",
IF(H2021="","Sin registro","En programación Frcst."))),"En programación")))),
"Error")</f>
        <v>En programación Frcst.</v>
      </c>
      <c r="Q2021" s="9" t="str">
        <f t="shared" si="96"/>
        <v/>
      </c>
      <c r="R2021" s="25" t="e">
        <f>IF(P2021="En programación Frcst.",VLOOKUP(L2021,Meses!$A$1:$H$14,3+HLOOKUP(Cronograma!J2021,Meses!$D$1:$G$2,2,FALSE),FALSE),
IF(P2021="En programación",M2021,""))</f>
        <v>#N/A</v>
      </c>
      <c r="S2021" s="25" t="str">
        <f t="shared" si="95"/>
        <v/>
      </c>
      <c r="T2021" s="21" t="str">
        <f>IFERROR(
(VLOOKUP(MONTH(R2021),Meses!$B$3:$C$14,2,FALSE)-DAY(R2021))/VLOOKUP(MONTH(R2021),Meses!$B$3:$C$14,2,FALSE)*U2021,
"")</f>
        <v/>
      </c>
      <c r="U2021" s="22">
        <f t="shared" si="97"/>
        <v>0</v>
      </c>
    </row>
    <row r="2022" spans="1:21" ht="47.4" hidden="1" thickBot="1" x14ac:dyDescent="0.6">
      <c r="A2022" s="10" t="s">
        <v>3024</v>
      </c>
      <c r="B2022" s="10" t="s">
        <v>2626</v>
      </c>
      <c r="C2022" s="12">
        <v>45029</v>
      </c>
      <c r="D2022" s="10" t="s">
        <v>323</v>
      </c>
      <c r="E2022" s="10" t="s">
        <v>677</v>
      </c>
      <c r="F2022" s="10"/>
      <c r="G2022" s="10" t="s">
        <v>15</v>
      </c>
      <c r="H2022" s="10" t="s">
        <v>17</v>
      </c>
      <c r="I2022" s="10" t="s">
        <v>66</v>
      </c>
      <c r="J2022" s="10"/>
      <c r="K2022" s="10"/>
      <c r="L2022" s="10"/>
      <c r="M2022" s="12"/>
      <c r="N2022" s="10"/>
      <c r="O2022" s="10" t="s">
        <v>2054</v>
      </c>
      <c r="P2022" s="25" t="str">
        <f>IFERROR(
IF(OR(O2022="anulado",O2022="stand by"),CONCATENATE(O2022,": ",H2022),
IF(OR(YEAR(M2022)=2022,YEAR(M2022)=2023),CONCATENATE("Se activó en ",YEAR(M2022)),
IF(AND(OR(O2022="En proceso",O2022="facturando"),AND(J2022="-",M2022="")),"Por revisar",
IF(M2022="",IF(J2022="NUEVAS",CONCATENATE("Estado: ",O2022,", ",J2022),
IF(L2022=Meses!$A$3,"Por revisar",
IF(H2022="","Sin registro","En programación Frcst."))),"En programación")))),
"Error")</f>
        <v>En programación Frcst.</v>
      </c>
      <c r="Q2022" s="9" t="str">
        <f t="shared" si="96"/>
        <v/>
      </c>
      <c r="R2022" s="25" t="e">
        <f>IF(P2022="En programación Frcst.",VLOOKUP(L2022,Meses!$A$1:$H$14,3+HLOOKUP(Cronograma!J2022,Meses!$D$1:$G$2,2,FALSE),FALSE),
IF(P2022="En programación",M2022,""))</f>
        <v>#N/A</v>
      </c>
      <c r="S2022" s="25" t="str">
        <f t="shared" si="95"/>
        <v/>
      </c>
      <c r="T2022" s="21" t="str">
        <f>IFERROR(
(VLOOKUP(MONTH(R2022),Meses!$B$3:$C$14,2,FALSE)-DAY(R2022))/VLOOKUP(MONTH(R2022),Meses!$B$3:$C$14,2,FALSE)*U2022,
"")</f>
        <v/>
      </c>
      <c r="U2022" s="22">
        <f t="shared" si="97"/>
        <v>0</v>
      </c>
    </row>
    <row r="2023" spans="1:21" ht="94.2" hidden="1" thickBot="1" x14ac:dyDescent="0.6">
      <c r="A2023" s="10" t="s">
        <v>3025</v>
      </c>
      <c r="B2023" s="10" t="s">
        <v>2627</v>
      </c>
      <c r="C2023" s="12">
        <v>45029</v>
      </c>
      <c r="D2023" s="10" t="s">
        <v>323</v>
      </c>
      <c r="E2023" s="10" t="s">
        <v>291</v>
      </c>
      <c r="F2023" s="10"/>
      <c r="G2023" s="10" t="s">
        <v>15</v>
      </c>
      <c r="H2023" s="10" t="s">
        <v>17</v>
      </c>
      <c r="I2023" s="10" t="s">
        <v>66</v>
      </c>
      <c r="J2023" s="10"/>
      <c r="K2023" s="10"/>
      <c r="L2023" s="10"/>
      <c r="M2023" s="12"/>
      <c r="N2023" s="10"/>
      <c r="O2023" s="10" t="s">
        <v>2054</v>
      </c>
      <c r="P2023" s="25" t="str">
        <f>IFERROR(
IF(OR(O2023="anulado",O2023="stand by"),CONCATENATE(O2023,": ",H2023),
IF(OR(YEAR(M2023)=2022,YEAR(M2023)=2023),CONCATENATE("Se activó en ",YEAR(M2023)),
IF(AND(OR(O2023="En proceso",O2023="facturando"),AND(J2023="-",M2023="")),"Por revisar",
IF(M2023="",IF(J2023="NUEVAS",CONCATENATE("Estado: ",O2023,", ",J2023),
IF(L2023=Meses!$A$3,"Por revisar",
IF(H2023="","Sin registro","En programación Frcst."))),"En programación")))),
"Error")</f>
        <v>En programación Frcst.</v>
      </c>
      <c r="Q2023" s="9" t="str">
        <f t="shared" si="96"/>
        <v/>
      </c>
      <c r="R2023" s="25" t="e">
        <f>IF(P2023="En programación Frcst.",VLOOKUP(L2023,Meses!$A$1:$H$14,3+HLOOKUP(Cronograma!J2023,Meses!$D$1:$G$2,2,FALSE),FALSE),
IF(P2023="En programación",M2023,""))</f>
        <v>#N/A</v>
      </c>
      <c r="S2023" s="25" t="str">
        <f t="shared" si="95"/>
        <v/>
      </c>
      <c r="T2023" s="21" t="str">
        <f>IFERROR(
(VLOOKUP(MONTH(R2023),Meses!$B$3:$C$14,2,FALSE)-DAY(R2023))/VLOOKUP(MONTH(R2023),Meses!$B$3:$C$14,2,FALSE)*U2023,
"")</f>
        <v/>
      </c>
      <c r="U2023" s="22">
        <f t="shared" si="97"/>
        <v>0</v>
      </c>
    </row>
    <row r="2024" spans="1:21" ht="94.2" hidden="1" thickBot="1" x14ac:dyDescent="0.6">
      <c r="A2024" s="10" t="s">
        <v>3025</v>
      </c>
      <c r="B2024" s="10" t="s">
        <v>2628</v>
      </c>
      <c r="C2024" s="12">
        <v>45029</v>
      </c>
      <c r="D2024" s="10" t="s">
        <v>323</v>
      </c>
      <c r="E2024" s="10" t="s">
        <v>291</v>
      </c>
      <c r="F2024" s="10"/>
      <c r="G2024" s="10" t="s">
        <v>15</v>
      </c>
      <c r="H2024" s="10" t="s">
        <v>17</v>
      </c>
      <c r="I2024" s="10" t="s">
        <v>66</v>
      </c>
      <c r="J2024" s="10"/>
      <c r="K2024" s="10"/>
      <c r="L2024" s="10"/>
      <c r="M2024" s="12"/>
      <c r="N2024" s="10"/>
      <c r="O2024" s="10" t="s">
        <v>2054</v>
      </c>
      <c r="P2024" s="25" t="str">
        <f>IFERROR(
IF(OR(O2024="anulado",O2024="stand by"),CONCATENATE(O2024,": ",H2024),
IF(OR(YEAR(M2024)=2022,YEAR(M2024)=2023),CONCATENATE("Se activó en ",YEAR(M2024)),
IF(AND(OR(O2024="En proceso",O2024="facturando"),AND(J2024="-",M2024="")),"Por revisar",
IF(M2024="",IF(J2024="NUEVAS",CONCATENATE("Estado: ",O2024,", ",J2024),
IF(L2024=Meses!$A$3,"Por revisar",
IF(H2024="","Sin registro","En programación Frcst."))),"En programación")))),
"Error")</f>
        <v>En programación Frcst.</v>
      </c>
      <c r="Q2024" s="9" t="str">
        <f t="shared" si="96"/>
        <v/>
      </c>
      <c r="R2024" s="25" t="e">
        <f>IF(P2024="En programación Frcst.",VLOOKUP(L2024,Meses!$A$1:$H$14,3+HLOOKUP(Cronograma!J2024,Meses!$D$1:$G$2,2,FALSE),FALSE),
IF(P2024="En programación",M2024,""))</f>
        <v>#N/A</v>
      </c>
      <c r="S2024" s="25" t="str">
        <f t="shared" si="95"/>
        <v/>
      </c>
      <c r="T2024" s="21" t="str">
        <f>IFERROR(
(VLOOKUP(MONTH(R2024),Meses!$B$3:$C$14,2,FALSE)-DAY(R2024))/VLOOKUP(MONTH(R2024),Meses!$B$3:$C$14,2,FALSE)*U2024,
"")</f>
        <v/>
      </c>
      <c r="U2024" s="22">
        <f t="shared" si="97"/>
        <v>0</v>
      </c>
    </row>
    <row r="2025" spans="1:21" ht="47.4" hidden="1" thickBot="1" x14ac:dyDescent="0.6">
      <c r="A2025" s="10" t="s">
        <v>3026</v>
      </c>
      <c r="B2025" s="10" t="s">
        <v>2629</v>
      </c>
      <c r="C2025" s="12">
        <v>45029</v>
      </c>
      <c r="D2025" s="10" t="s">
        <v>323</v>
      </c>
      <c r="E2025" s="10" t="s">
        <v>291</v>
      </c>
      <c r="F2025" s="10"/>
      <c r="G2025" s="10" t="s">
        <v>15</v>
      </c>
      <c r="H2025" s="10" t="s">
        <v>17</v>
      </c>
      <c r="I2025" s="10" t="s">
        <v>66</v>
      </c>
      <c r="J2025" s="10"/>
      <c r="K2025" s="10"/>
      <c r="L2025" s="10"/>
      <c r="M2025" s="12"/>
      <c r="N2025" s="10"/>
      <c r="O2025" s="10" t="s">
        <v>2054</v>
      </c>
      <c r="P2025" s="25" t="str">
        <f>IFERROR(
IF(OR(O2025="anulado",O2025="stand by"),CONCATENATE(O2025,": ",H2025),
IF(OR(YEAR(M2025)=2022,YEAR(M2025)=2023),CONCATENATE("Se activó en ",YEAR(M2025)),
IF(AND(OR(O2025="En proceso",O2025="facturando"),AND(J2025="-",M2025="")),"Por revisar",
IF(M2025="",IF(J2025="NUEVAS",CONCATENATE("Estado: ",O2025,", ",J2025),
IF(L2025=Meses!$A$3,"Por revisar",
IF(H2025="","Sin registro","En programación Frcst."))),"En programación")))),
"Error")</f>
        <v>En programación Frcst.</v>
      </c>
      <c r="Q2025" s="9" t="str">
        <f t="shared" si="96"/>
        <v/>
      </c>
      <c r="R2025" s="25" t="e">
        <f>IF(P2025="En programación Frcst.",VLOOKUP(L2025,Meses!$A$1:$H$14,3+HLOOKUP(Cronograma!J2025,Meses!$D$1:$G$2,2,FALSE),FALSE),
IF(P2025="En programación",M2025,""))</f>
        <v>#N/A</v>
      </c>
      <c r="S2025" s="25" t="str">
        <f t="shared" si="95"/>
        <v/>
      </c>
      <c r="T2025" s="21" t="str">
        <f>IFERROR(
(VLOOKUP(MONTH(R2025),Meses!$B$3:$C$14,2,FALSE)-DAY(R2025))/VLOOKUP(MONTH(R2025),Meses!$B$3:$C$14,2,FALSE)*U2025,
"")</f>
        <v/>
      </c>
      <c r="U2025" s="22">
        <f t="shared" si="97"/>
        <v>0</v>
      </c>
    </row>
    <row r="2026" spans="1:21" ht="78.599999999999994" hidden="1" thickBot="1" x14ac:dyDescent="0.6">
      <c r="A2026" s="10" t="s">
        <v>2064</v>
      </c>
      <c r="B2026" s="10" t="s">
        <v>2630</v>
      </c>
      <c r="C2026" s="12">
        <v>45029</v>
      </c>
      <c r="D2026" s="10" t="s">
        <v>323</v>
      </c>
      <c r="E2026" s="10" t="s">
        <v>289</v>
      </c>
      <c r="F2026" s="10"/>
      <c r="G2026" s="10" t="s">
        <v>15</v>
      </c>
      <c r="H2026" s="10" t="s">
        <v>17</v>
      </c>
      <c r="I2026" s="10" t="s">
        <v>66</v>
      </c>
      <c r="J2026" s="10"/>
      <c r="K2026" s="10"/>
      <c r="L2026" s="10"/>
      <c r="M2026" s="12"/>
      <c r="N2026" s="10"/>
      <c r="O2026" s="10" t="s">
        <v>2054</v>
      </c>
      <c r="P2026" s="25" t="str">
        <f>IFERROR(
IF(OR(O2026="anulado",O2026="stand by"),CONCATENATE(O2026,": ",H2026),
IF(OR(YEAR(M2026)=2022,YEAR(M2026)=2023),CONCATENATE("Se activó en ",YEAR(M2026)),
IF(AND(OR(O2026="En proceso",O2026="facturando"),AND(J2026="-",M2026="")),"Por revisar",
IF(M2026="",IF(J2026="NUEVAS",CONCATENATE("Estado: ",O2026,", ",J2026),
IF(L2026=Meses!$A$3,"Por revisar",
IF(H2026="","Sin registro","En programación Frcst."))),"En programación")))),
"Error")</f>
        <v>En programación Frcst.</v>
      </c>
      <c r="Q2026" s="9" t="str">
        <f t="shared" si="96"/>
        <v/>
      </c>
      <c r="R2026" s="25" t="e">
        <f>IF(P2026="En programación Frcst.",VLOOKUP(L2026,Meses!$A$1:$H$14,3+HLOOKUP(Cronograma!J2026,Meses!$D$1:$G$2,2,FALSE),FALSE),
IF(P2026="En programación",M2026,""))</f>
        <v>#N/A</v>
      </c>
      <c r="S2026" s="25" t="str">
        <f t="shared" si="95"/>
        <v/>
      </c>
      <c r="T2026" s="21" t="str">
        <f>IFERROR(
(VLOOKUP(MONTH(R2026),Meses!$B$3:$C$14,2,FALSE)-DAY(R2026))/VLOOKUP(MONTH(R2026),Meses!$B$3:$C$14,2,FALSE)*U2026,
"")</f>
        <v/>
      </c>
      <c r="U2026" s="22">
        <f t="shared" si="97"/>
        <v>0</v>
      </c>
    </row>
    <row r="2027" spans="1:21" ht="78.599999999999994" hidden="1" thickBot="1" x14ac:dyDescent="0.6">
      <c r="A2027" s="10" t="s">
        <v>2064</v>
      </c>
      <c r="B2027" s="10" t="s">
        <v>2631</v>
      </c>
      <c r="C2027" s="12">
        <v>45029</v>
      </c>
      <c r="D2027" s="10" t="s">
        <v>323</v>
      </c>
      <c r="E2027" s="10" t="s">
        <v>233</v>
      </c>
      <c r="F2027" s="10"/>
      <c r="G2027" s="10" t="s">
        <v>15</v>
      </c>
      <c r="H2027" s="10" t="s">
        <v>17</v>
      </c>
      <c r="I2027" s="10" t="s">
        <v>66</v>
      </c>
      <c r="J2027" s="10"/>
      <c r="K2027" s="10"/>
      <c r="L2027" s="10"/>
      <c r="M2027" s="12"/>
      <c r="N2027" s="10"/>
      <c r="O2027" s="10" t="s">
        <v>2054</v>
      </c>
      <c r="P2027" s="25" t="str">
        <f>IFERROR(
IF(OR(O2027="anulado",O2027="stand by"),CONCATENATE(O2027,": ",H2027),
IF(OR(YEAR(M2027)=2022,YEAR(M2027)=2023),CONCATENATE("Se activó en ",YEAR(M2027)),
IF(AND(OR(O2027="En proceso",O2027="facturando"),AND(J2027="-",M2027="")),"Por revisar",
IF(M2027="",IF(J2027="NUEVAS",CONCATENATE("Estado: ",O2027,", ",J2027),
IF(L2027=Meses!$A$3,"Por revisar",
IF(H2027="","Sin registro","En programación Frcst."))),"En programación")))),
"Error")</f>
        <v>En programación Frcst.</v>
      </c>
      <c r="Q2027" s="9" t="str">
        <f t="shared" si="96"/>
        <v/>
      </c>
      <c r="R2027" s="25" t="e">
        <f>IF(P2027="En programación Frcst.",VLOOKUP(L2027,Meses!$A$1:$H$14,3+HLOOKUP(Cronograma!J2027,Meses!$D$1:$G$2,2,FALSE),FALSE),
IF(P2027="En programación",M2027,""))</f>
        <v>#N/A</v>
      </c>
      <c r="S2027" s="25" t="str">
        <f t="shared" si="95"/>
        <v/>
      </c>
      <c r="T2027" s="21" t="str">
        <f>IFERROR(
(VLOOKUP(MONTH(R2027),Meses!$B$3:$C$14,2,FALSE)-DAY(R2027))/VLOOKUP(MONTH(R2027),Meses!$B$3:$C$14,2,FALSE)*U2027,
"")</f>
        <v/>
      </c>
      <c r="U2027" s="22">
        <f t="shared" si="97"/>
        <v>0</v>
      </c>
    </row>
    <row r="2028" spans="1:21" ht="78.599999999999994" hidden="1" thickBot="1" x14ac:dyDescent="0.6">
      <c r="A2028" s="10" t="s">
        <v>2064</v>
      </c>
      <c r="B2028" s="10" t="s">
        <v>2632</v>
      </c>
      <c r="C2028" s="12">
        <v>45029</v>
      </c>
      <c r="D2028" s="10" t="s">
        <v>323</v>
      </c>
      <c r="E2028" s="10" t="s">
        <v>291</v>
      </c>
      <c r="F2028" s="10"/>
      <c r="G2028" s="10" t="s">
        <v>15</v>
      </c>
      <c r="H2028" s="10" t="s">
        <v>17</v>
      </c>
      <c r="I2028" s="10" t="s">
        <v>66</v>
      </c>
      <c r="J2028" s="10"/>
      <c r="K2028" s="10"/>
      <c r="L2028" s="10"/>
      <c r="M2028" s="12"/>
      <c r="N2028" s="10"/>
      <c r="O2028" s="10" t="s">
        <v>2054</v>
      </c>
      <c r="P2028" s="25" t="str">
        <f>IFERROR(
IF(OR(O2028="anulado",O2028="stand by"),CONCATENATE(O2028,": ",H2028),
IF(OR(YEAR(M2028)=2022,YEAR(M2028)=2023),CONCATENATE("Se activó en ",YEAR(M2028)),
IF(AND(OR(O2028="En proceso",O2028="facturando"),AND(J2028="-",M2028="")),"Por revisar",
IF(M2028="",IF(J2028="NUEVAS",CONCATENATE("Estado: ",O2028,", ",J2028),
IF(L2028=Meses!$A$3,"Por revisar",
IF(H2028="","Sin registro","En programación Frcst."))),"En programación")))),
"Error")</f>
        <v>En programación Frcst.</v>
      </c>
      <c r="Q2028" s="9" t="str">
        <f t="shared" si="96"/>
        <v/>
      </c>
      <c r="R2028" s="25" t="e">
        <f>IF(P2028="En programación Frcst.",VLOOKUP(L2028,Meses!$A$1:$H$14,3+HLOOKUP(Cronograma!J2028,Meses!$D$1:$G$2,2,FALSE),FALSE),
IF(P2028="En programación",M2028,""))</f>
        <v>#N/A</v>
      </c>
      <c r="S2028" s="25" t="str">
        <f t="shared" si="95"/>
        <v/>
      </c>
      <c r="T2028" s="21" t="str">
        <f>IFERROR(
(VLOOKUP(MONTH(R2028),Meses!$B$3:$C$14,2,FALSE)-DAY(R2028))/VLOOKUP(MONTH(R2028),Meses!$B$3:$C$14,2,FALSE)*U2028,
"")</f>
        <v/>
      </c>
      <c r="U2028" s="22">
        <f t="shared" si="97"/>
        <v>0</v>
      </c>
    </row>
    <row r="2029" spans="1:21" ht="31.8" hidden="1" thickBot="1" x14ac:dyDescent="0.6">
      <c r="A2029" s="10" t="s">
        <v>3027</v>
      </c>
      <c r="B2029" s="10" t="s">
        <v>2633</v>
      </c>
      <c r="C2029" s="12">
        <v>45029</v>
      </c>
      <c r="D2029" s="10" t="s">
        <v>323</v>
      </c>
      <c r="E2029" s="10" t="s">
        <v>291</v>
      </c>
      <c r="F2029" s="10"/>
      <c r="G2029" s="10" t="s">
        <v>15</v>
      </c>
      <c r="H2029" s="10" t="s">
        <v>17</v>
      </c>
      <c r="I2029" s="10" t="s">
        <v>66</v>
      </c>
      <c r="J2029" s="10"/>
      <c r="K2029" s="10"/>
      <c r="L2029" s="10"/>
      <c r="M2029" s="12"/>
      <c r="N2029" s="10"/>
      <c r="O2029" s="10" t="s">
        <v>2054</v>
      </c>
      <c r="P2029" s="25" t="str">
        <f>IFERROR(
IF(OR(O2029="anulado",O2029="stand by"),CONCATENATE(O2029,": ",H2029),
IF(OR(YEAR(M2029)=2022,YEAR(M2029)=2023),CONCATENATE("Se activó en ",YEAR(M2029)),
IF(AND(OR(O2029="En proceso",O2029="facturando"),AND(J2029="-",M2029="")),"Por revisar",
IF(M2029="",IF(J2029="NUEVAS",CONCATENATE("Estado: ",O2029,", ",J2029),
IF(L2029=Meses!$A$3,"Por revisar",
IF(H2029="","Sin registro","En programación Frcst."))),"En programación")))),
"Error")</f>
        <v>En programación Frcst.</v>
      </c>
      <c r="Q2029" s="9" t="str">
        <f t="shared" si="96"/>
        <v/>
      </c>
      <c r="R2029" s="25" t="e">
        <f>IF(P2029="En programación Frcst.",VLOOKUP(L2029,Meses!$A$1:$H$14,3+HLOOKUP(Cronograma!J2029,Meses!$D$1:$G$2,2,FALSE),FALSE),
IF(P2029="En programación",M2029,""))</f>
        <v>#N/A</v>
      </c>
      <c r="S2029" s="25" t="str">
        <f t="shared" si="95"/>
        <v/>
      </c>
      <c r="T2029" s="21" t="str">
        <f>IFERROR(
(VLOOKUP(MONTH(R2029),Meses!$B$3:$C$14,2,FALSE)-DAY(R2029))/VLOOKUP(MONTH(R2029),Meses!$B$3:$C$14,2,FALSE)*U2029,
"")</f>
        <v/>
      </c>
      <c r="U2029" s="22">
        <f t="shared" si="97"/>
        <v>0</v>
      </c>
    </row>
    <row r="2030" spans="1:21" ht="31.8" hidden="1" thickBot="1" x14ac:dyDescent="0.6">
      <c r="A2030" s="10" t="s">
        <v>3028</v>
      </c>
      <c r="B2030" s="10" t="s">
        <v>2634</v>
      </c>
      <c r="C2030" s="12">
        <v>45029</v>
      </c>
      <c r="D2030" s="10" t="s">
        <v>323</v>
      </c>
      <c r="E2030" s="10" t="s">
        <v>14</v>
      </c>
      <c r="F2030" s="10"/>
      <c r="G2030" s="10" t="s">
        <v>15</v>
      </c>
      <c r="H2030" s="10" t="s">
        <v>17</v>
      </c>
      <c r="I2030" s="10" t="s">
        <v>66</v>
      </c>
      <c r="J2030" s="10"/>
      <c r="K2030" s="10"/>
      <c r="L2030" s="10"/>
      <c r="M2030" s="12"/>
      <c r="N2030" s="10"/>
      <c r="O2030" s="10" t="s">
        <v>2054</v>
      </c>
      <c r="P2030" s="25" t="str">
        <f>IFERROR(
IF(OR(O2030="anulado",O2030="stand by"),CONCATENATE(O2030,": ",H2030),
IF(OR(YEAR(M2030)=2022,YEAR(M2030)=2023),CONCATENATE("Se activó en ",YEAR(M2030)),
IF(AND(OR(O2030="En proceso",O2030="facturando"),AND(J2030="-",M2030="")),"Por revisar",
IF(M2030="",IF(J2030="NUEVAS",CONCATENATE("Estado: ",O2030,", ",J2030),
IF(L2030=Meses!$A$3,"Por revisar",
IF(H2030="","Sin registro","En programación Frcst."))),"En programación")))),
"Error")</f>
        <v>En programación Frcst.</v>
      </c>
      <c r="Q2030" s="9" t="str">
        <f t="shared" si="96"/>
        <v/>
      </c>
      <c r="R2030" s="25" t="e">
        <f>IF(P2030="En programación Frcst.",VLOOKUP(L2030,Meses!$A$1:$H$14,3+HLOOKUP(Cronograma!J2030,Meses!$D$1:$G$2,2,FALSE),FALSE),
IF(P2030="En programación",M2030,""))</f>
        <v>#N/A</v>
      </c>
      <c r="S2030" s="25" t="str">
        <f t="shared" si="95"/>
        <v/>
      </c>
      <c r="T2030" s="21" t="str">
        <f>IFERROR(
(VLOOKUP(MONTH(R2030),Meses!$B$3:$C$14,2,FALSE)-DAY(R2030))/VLOOKUP(MONTH(R2030),Meses!$B$3:$C$14,2,FALSE)*U2030,
"")</f>
        <v/>
      </c>
      <c r="U2030" s="22">
        <f t="shared" si="97"/>
        <v>0</v>
      </c>
    </row>
    <row r="2031" spans="1:21" ht="31.8" hidden="1" thickBot="1" x14ac:dyDescent="0.6">
      <c r="A2031" s="10" t="s">
        <v>3029</v>
      </c>
      <c r="B2031" s="10" t="s">
        <v>2635</v>
      </c>
      <c r="C2031" s="12">
        <v>45029</v>
      </c>
      <c r="D2031" s="10" t="s">
        <v>323</v>
      </c>
      <c r="E2031" s="10"/>
      <c r="F2031" s="10"/>
      <c r="G2031" s="10" t="s">
        <v>15</v>
      </c>
      <c r="H2031" s="10" t="s">
        <v>17</v>
      </c>
      <c r="I2031" s="10" t="s">
        <v>66</v>
      </c>
      <c r="J2031" s="10"/>
      <c r="K2031" s="10"/>
      <c r="L2031" s="10"/>
      <c r="M2031" s="12"/>
      <c r="N2031" s="10"/>
      <c r="O2031" s="10" t="s">
        <v>2054</v>
      </c>
      <c r="P2031" s="25" t="str">
        <f>IFERROR(
IF(OR(O2031="anulado",O2031="stand by"),CONCATENATE(O2031,": ",H2031),
IF(OR(YEAR(M2031)=2022,YEAR(M2031)=2023),CONCATENATE("Se activó en ",YEAR(M2031)),
IF(AND(OR(O2031="En proceso",O2031="facturando"),AND(J2031="-",M2031="")),"Por revisar",
IF(M2031="",IF(J2031="NUEVAS",CONCATENATE("Estado: ",O2031,", ",J2031),
IF(L2031=Meses!$A$3,"Por revisar",
IF(H2031="","Sin registro","En programación Frcst."))),"En programación")))),
"Error")</f>
        <v>En programación Frcst.</v>
      </c>
      <c r="Q2031" s="9" t="str">
        <f t="shared" si="96"/>
        <v/>
      </c>
      <c r="R2031" s="25" t="e">
        <f>IF(P2031="En programación Frcst.",VLOOKUP(L2031,Meses!$A$1:$H$14,3+HLOOKUP(Cronograma!J2031,Meses!$D$1:$G$2,2,FALSE),FALSE),
IF(P2031="En programación",M2031,""))</f>
        <v>#N/A</v>
      </c>
      <c r="S2031" s="25" t="str">
        <f t="shared" si="95"/>
        <v/>
      </c>
      <c r="T2031" s="21" t="str">
        <f>IFERROR(
(VLOOKUP(MONTH(R2031),Meses!$B$3:$C$14,2,FALSE)-DAY(R2031))/VLOOKUP(MONTH(R2031),Meses!$B$3:$C$14,2,FALSE)*U2031,
"")</f>
        <v/>
      </c>
      <c r="U2031" s="22">
        <f t="shared" si="97"/>
        <v>0</v>
      </c>
    </row>
    <row r="2032" spans="1:21" ht="31.8" hidden="1" thickBot="1" x14ac:dyDescent="0.6">
      <c r="A2032" s="10" t="s">
        <v>3029</v>
      </c>
      <c r="B2032" s="10" t="s">
        <v>2636</v>
      </c>
      <c r="C2032" s="12">
        <v>45029</v>
      </c>
      <c r="D2032" s="10" t="s">
        <v>323</v>
      </c>
      <c r="E2032" s="10" t="s">
        <v>289</v>
      </c>
      <c r="F2032" s="10"/>
      <c r="G2032" s="10" t="s">
        <v>15</v>
      </c>
      <c r="H2032" s="10" t="s">
        <v>17</v>
      </c>
      <c r="I2032" s="10" t="s">
        <v>66</v>
      </c>
      <c r="J2032" s="10"/>
      <c r="K2032" s="10"/>
      <c r="L2032" s="10"/>
      <c r="M2032" s="12"/>
      <c r="N2032" s="10"/>
      <c r="O2032" s="10" t="s">
        <v>2054</v>
      </c>
      <c r="P2032" s="25" t="str">
        <f>IFERROR(
IF(OR(O2032="anulado",O2032="stand by"),CONCATENATE(O2032,": ",H2032),
IF(OR(YEAR(M2032)=2022,YEAR(M2032)=2023),CONCATENATE("Se activó en ",YEAR(M2032)),
IF(AND(OR(O2032="En proceso",O2032="facturando"),AND(J2032="-",M2032="")),"Por revisar",
IF(M2032="",IF(J2032="NUEVAS",CONCATENATE("Estado: ",O2032,", ",J2032),
IF(L2032=Meses!$A$3,"Por revisar",
IF(H2032="","Sin registro","En programación Frcst."))),"En programación")))),
"Error")</f>
        <v>En programación Frcst.</v>
      </c>
      <c r="Q2032" s="9" t="str">
        <f t="shared" si="96"/>
        <v/>
      </c>
      <c r="R2032" s="25" t="e">
        <f>IF(P2032="En programación Frcst.",VLOOKUP(L2032,Meses!$A$1:$H$14,3+HLOOKUP(Cronograma!J2032,Meses!$D$1:$G$2,2,FALSE),FALSE),
IF(P2032="En programación",M2032,""))</f>
        <v>#N/A</v>
      </c>
      <c r="S2032" s="25" t="str">
        <f t="shared" si="95"/>
        <v/>
      </c>
      <c r="T2032" s="21" t="str">
        <f>IFERROR(
(VLOOKUP(MONTH(R2032),Meses!$B$3:$C$14,2,FALSE)-DAY(R2032))/VLOOKUP(MONTH(R2032),Meses!$B$3:$C$14,2,FALSE)*U2032,
"")</f>
        <v/>
      </c>
      <c r="U2032" s="22">
        <f t="shared" si="97"/>
        <v>0</v>
      </c>
    </row>
    <row r="2033" spans="1:21" ht="47.4" hidden="1" thickBot="1" x14ac:dyDescent="0.6">
      <c r="A2033" s="10" t="s">
        <v>2154</v>
      </c>
      <c r="B2033" s="10" t="s">
        <v>2637</v>
      </c>
      <c r="C2033" s="12">
        <v>45029</v>
      </c>
      <c r="D2033" s="10" t="s">
        <v>323</v>
      </c>
      <c r="E2033" s="10" t="s">
        <v>959</v>
      </c>
      <c r="F2033" s="10"/>
      <c r="G2033" s="10" t="s">
        <v>15</v>
      </c>
      <c r="H2033" s="10" t="s">
        <v>17</v>
      </c>
      <c r="I2033" s="10" t="s">
        <v>66</v>
      </c>
      <c r="J2033" s="10"/>
      <c r="K2033" s="10"/>
      <c r="L2033" s="10"/>
      <c r="M2033" s="12"/>
      <c r="N2033" s="10"/>
      <c r="O2033" s="10" t="s">
        <v>2054</v>
      </c>
      <c r="P2033" s="25" t="str">
        <f>IFERROR(
IF(OR(O2033="anulado",O2033="stand by"),CONCATENATE(O2033,": ",H2033),
IF(OR(YEAR(M2033)=2022,YEAR(M2033)=2023),CONCATENATE("Se activó en ",YEAR(M2033)),
IF(AND(OR(O2033="En proceso",O2033="facturando"),AND(J2033="-",M2033="")),"Por revisar",
IF(M2033="",IF(J2033="NUEVAS",CONCATENATE("Estado: ",O2033,", ",J2033),
IF(L2033=Meses!$A$3,"Por revisar",
IF(H2033="","Sin registro","En programación Frcst."))),"En programación")))),
"Error")</f>
        <v>En programación Frcst.</v>
      </c>
      <c r="Q2033" s="9" t="str">
        <f t="shared" si="96"/>
        <v/>
      </c>
      <c r="R2033" s="25" t="e">
        <f>IF(P2033="En programación Frcst.",VLOOKUP(L2033,Meses!$A$1:$H$14,3+HLOOKUP(Cronograma!J2033,Meses!$D$1:$G$2,2,FALSE),FALSE),
IF(P2033="En programación",M2033,""))</f>
        <v>#N/A</v>
      </c>
      <c r="S2033" s="25" t="str">
        <f t="shared" si="95"/>
        <v/>
      </c>
      <c r="T2033" s="21" t="str">
        <f>IFERROR(
(VLOOKUP(MONTH(R2033),Meses!$B$3:$C$14,2,FALSE)-DAY(R2033))/VLOOKUP(MONTH(R2033),Meses!$B$3:$C$14,2,FALSE)*U2033,
"")</f>
        <v/>
      </c>
      <c r="U2033" s="22">
        <f t="shared" si="97"/>
        <v>0</v>
      </c>
    </row>
    <row r="2034" spans="1:21" ht="47.4" hidden="1" thickBot="1" x14ac:dyDescent="0.6">
      <c r="A2034" s="10" t="s">
        <v>2154</v>
      </c>
      <c r="B2034" s="10" t="s">
        <v>2638</v>
      </c>
      <c r="C2034" s="12">
        <v>45029</v>
      </c>
      <c r="D2034" s="10" t="s">
        <v>323</v>
      </c>
      <c r="E2034" s="10" t="s">
        <v>959</v>
      </c>
      <c r="F2034" s="10"/>
      <c r="G2034" s="10" t="s">
        <v>15</v>
      </c>
      <c r="H2034" s="10" t="s">
        <v>17</v>
      </c>
      <c r="I2034" s="10" t="s">
        <v>66</v>
      </c>
      <c r="J2034" s="10"/>
      <c r="K2034" s="10"/>
      <c r="L2034" s="10"/>
      <c r="M2034" s="12"/>
      <c r="N2034" s="10"/>
      <c r="O2034" s="10" t="s">
        <v>2054</v>
      </c>
      <c r="P2034" s="25" t="str">
        <f>IFERROR(
IF(OR(O2034="anulado",O2034="stand by"),CONCATENATE(O2034,": ",H2034),
IF(OR(YEAR(M2034)=2022,YEAR(M2034)=2023),CONCATENATE("Se activó en ",YEAR(M2034)),
IF(AND(OR(O2034="En proceso",O2034="facturando"),AND(J2034="-",M2034="")),"Por revisar",
IF(M2034="",IF(J2034="NUEVAS",CONCATENATE("Estado: ",O2034,", ",J2034),
IF(L2034=Meses!$A$3,"Por revisar",
IF(H2034="","Sin registro","En programación Frcst."))),"En programación")))),
"Error")</f>
        <v>En programación Frcst.</v>
      </c>
      <c r="Q2034" s="9" t="str">
        <f t="shared" si="96"/>
        <v/>
      </c>
      <c r="R2034" s="25" t="e">
        <f>IF(P2034="En programación Frcst.",VLOOKUP(L2034,Meses!$A$1:$H$14,3+HLOOKUP(Cronograma!J2034,Meses!$D$1:$G$2,2,FALSE),FALSE),
IF(P2034="En programación",M2034,""))</f>
        <v>#N/A</v>
      </c>
      <c r="S2034" s="25" t="str">
        <f t="shared" si="95"/>
        <v/>
      </c>
      <c r="T2034" s="21" t="str">
        <f>IFERROR(
(VLOOKUP(MONTH(R2034),Meses!$B$3:$C$14,2,FALSE)-DAY(R2034))/VLOOKUP(MONTH(R2034),Meses!$B$3:$C$14,2,FALSE)*U2034,
"")</f>
        <v/>
      </c>
      <c r="U2034" s="22">
        <f t="shared" si="97"/>
        <v>0</v>
      </c>
    </row>
    <row r="2035" spans="1:21" ht="47.4" hidden="1" thickBot="1" x14ac:dyDescent="0.6">
      <c r="A2035" s="10" t="s">
        <v>2154</v>
      </c>
      <c r="B2035" s="10" t="s">
        <v>2639</v>
      </c>
      <c r="C2035" s="12">
        <v>45029</v>
      </c>
      <c r="D2035" s="10" t="s">
        <v>323</v>
      </c>
      <c r="E2035" s="10" t="s">
        <v>959</v>
      </c>
      <c r="F2035" s="10"/>
      <c r="G2035" s="10" t="s">
        <v>15</v>
      </c>
      <c r="H2035" s="10" t="s">
        <v>17</v>
      </c>
      <c r="I2035" s="10" t="s">
        <v>66</v>
      </c>
      <c r="J2035" s="10"/>
      <c r="K2035" s="10"/>
      <c r="L2035" s="10"/>
      <c r="M2035" s="12"/>
      <c r="N2035" s="10"/>
      <c r="O2035" s="10" t="s">
        <v>2054</v>
      </c>
      <c r="P2035" s="25" t="str">
        <f>IFERROR(
IF(OR(O2035="anulado",O2035="stand by"),CONCATENATE(O2035,": ",H2035),
IF(OR(YEAR(M2035)=2022,YEAR(M2035)=2023),CONCATENATE("Se activó en ",YEAR(M2035)),
IF(AND(OR(O2035="En proceso",O2035="facturando"),AND(J2035="-",M2035="")),"Por revisar",
IF(M2035="",IF(J2035="NUEVAS",CONCATENATE("Estado: ",O2035,", ",J2035),
IF(L2035=Meses!$A$3,"Por revisar",
IF(H2035="","Sin registro","En programación Frcst."))),"En programación")))),
"Error")</f>
        <v>En programación Frcst.</v>
      </c>
      <c r="Q2035" s="9" t="str">
        <f t="shared" si="96"/>
        <v/>
      </c>
      <c r="R2035" s="25" t="e">
        <f>IF(P2035="En programación Frcst.",VLOOKUP(L2035,Meses!$A$1:$H$14,3+HLOOKUP(Cronograma!J2035,Meses!$D$1:$G$2,2,FALSE),FALSE),
IF(P2035="En programación",M2035,""))</f>
        <v>#N/A</v>
      </c>
      <c r="S2035" s="25" t="str">
        <f t="shared" si="95"/>
        <v/>
      </c>
      <c r="T2035" s="21" t="str">
        <f>IFERROR(
(VLOOKUP(MONTH(R2035),Meses!$B$3:$C$14,2,FALSE)-DAY(R2035))/VLOOKUP(MONTH(R2035),Meses!$B$3:$C$14,2,FALSE)*U2035,
"")</f>
        <v/>
      </c>
      <c r="U2035" s="22">
        <f t="shared" si="97"/>
        <v>0</v>
      </c>
    </row>
    <row r="2036" spans="1:21" ht="31.8" hidden="1" thickBot="1" x14ac:dyDescent="0.6">
      <c r="A2036" s="10" t="s">
        <v>3030</v>
      </c>
      <c r="B2036" s="10" t="s">
        <v>2640</v>
      </c>
      <c r="C2036" s="12">
        <v>45029</v>
      </c>
      <c r="D2036" s="10" t="s">
        <v>323</v>
      </c>
      <c r="E2036" s="10" t="s">
        <v>289</v>
      </c>
      <c r="F2036" s="10"/>
      <c r="G2036" s="10" t="s">
        <v>15</v>
      </c>
      <c r="H2036" s="10" t="s">
        <v>17</v>
      </c>
      <c r="I2036" s="10" t="s">
        <v>66</v>
      </c>
      <c r="J2036" s="10"/>
      <c r="K2036" s="10"/>
      <c r="L2036" s="10"/>
      <c r="M2036" s="12"/>
      <c r="N2036" s="10"/>
      <c r="O2036" s="10" t="s">
        <v>2054</v>
      </c>
      <c r="P2036" s="25" t="str">
        <f>IFERROR(
IF(OR(O2036="anulado",O2036="stand by"),CONCATENATE(O2036,": ",H2036),
IF(OR(YEAR(M2036)=2022,YEAR(M2036)=2023),CONCATENATE("Se activó en ",YEAR(M2036)),
IF(AND(OR(O2036="En proceso",O2036="facturando"),AND(J2036="-",M2036="")),"Por revisar",
IF(M2036="",IF(J2036="NUEVAS",CONCATENATE("Estado: ",O2036,", ",J2036),
IF(L2036=Meses!$A$3,"Por revisar",
IF(H2036="","Sin registro","En programación Frcst."))),"En programación")))),
"Error")</f>
        <v>En programación Frcst.</v>
      </c>
      <c r="Q2036" s="9" t="str">
        <f t="shared" si="96"/>
        <v/>
      </c>
      <c r="R2036" s="25" t="e">
        <f>IF(P2036="En programación Frcst.",VLOOKUP(L2036,Meses!$A$1:$H$14,3+HLOOKUP(Cronograma!J2036,Meses!$D$1:$G$2,2,FALSE),FALSE),
IF(P2036="En programación",M2036,""))</f>
        <v>#N/A</v>
      </c>
      <c r="S2036" s="25" t="str">
        <f t="shared" si="95"/>
        <v/>
      </c>
      <c r="T2036" s="21" t="str">
        <f>IFERROR(
(VLOOKUP(MONTH(R2036),Meses!$B$3:$C$14,2,FALSE)-DAY(R2036))/VLOOKUP(MONTH(R2036),Meses!$B$3:$C$14,2,FALSE)*U2036,
"")</f>
        <v/>
      </c>
      <c r="U2036" s="22">
        <f t="shared" si="97"/>
        <v>0</v>
      </c>
    </row>
    <row r="2037" spans="1:21" ht="31.8" hidden="1" thickBot="1" x14ac:dyDescent="0.6">
      <c r="A2037" s="10" t="s">
        <v>3030</v>
      </c>
      <c r="B2037" s="10" t="s">
        <v>2641</v>
      </c>
      <c r="C2037" s="12">
        <v>45029</v>
      </c>
      <c r="D2037" s="10" t="s">
        <v>323</v>
      </c>
      <c r="E2037" s="10" t="s">
        <v>289</v>
      </c>
      <c r="F2037" s="10"/>
      <c r="G2037" s="10" t="s">
        <v>15</v>
      </c>
      <c r="H2037" s="10" t="s">
        <v>17</v>
      </c>
      <c r="I2037" s="10" t="s">
        <v>66</v>
      </c>
      <c r="J2037" s="10"/>
      <c r="K2037" s="10"/>
      <c r="L2037" s="10"/>
      <c r="M2037" s="12"/>
      <c r="N2037" s="10"/>
      <c r="O2037" s="10" t="s">
        <v>2054</v>
      </c>
      <c r="P2037" s="25" t="str">
        <f>IFERROR(
IF(OR(O2037="anulado",O2037="stand by"),CONCATENATE(O2037,": ",H2037),
IF(OR(YEAR(M2037)=2022,YEAR(M2037)=2023),CONCATENATE("Se activó en ",YEAR(M2037)),
IF(AND(OR(O2037="En proceso",O2037="facturando"),AND(J2037="-",M2037="")),"Por revisar",
IF(M2037="",IF(J2037="NUEVAS",CONCATENATE("Estado: ",O2037,", ",J2037),
IF(L2037=Meses!$A$3,"Por revisar",
IF(H2037="","Sin registro","En programación Frcst."))),"En programación")))),
"Error")</f>
        <v>En programación Frcst.</v>
      </c>
      <c r="Q2037" s="9" t="str">
        <f t="shared" si="96"/>
        <v/>
      </c>
      <c r="R2037" s="25" t="e">
        <f>IF(P2037="En programación Frcst.",VLOOKUP(L2037,Meses!$A$1:$H$14,3+HLOOKUP(Cronograma!J2037,Meses!$D$1:$G$2,2,FALSE),FALSE),
IF(P2037="En programación",M2037,""))</f>
        <v>#N/A</v>
      </c>
      <c r="S2037" s="25" t="str">
        <f t="shared" si="95"/>
        <v/>
      </c>
      <c r="T2037" s="21" t="str">
        <f>IFERROR(
(VLOOKUP(MONTH(R2037),Meses!$B$3:$C$14,2,FALSE)-DAY(R2037))/VLOOKUP(MONTH(R2037),Meses!$B$3:$C$14,2,FALSE)*U2037,
"")</f>
        <v/>
      </c>
      <c r="U2037" s="22">
        <f t="shared" si="97"/>
        <v>0</v>
      </c>
    </row>
    <row r="2038" spans="1:21" ht="31.8" hidden="1" thickBot="1" x14ac:dyDescent="0.6">
      <c r="A2038" s="10" t="s">
        <v>3031</v>
      </c>
      <c r="B2038" s="10" t="s">
        <v>2642</v>
      </c>
      <c r="C2038" s="12">
        <v>45029</v>
      </c>
      <c r="D2038" s="10" t="s">
        <v>323</v>
      </c>
      <c r="E2038" s="10"/>
      <c r="F2038" s="10"/>
      <c r="G2038" s="10" t="s">
        <v>15</v>
      </c>
      <c r="H2038" s="10" t="s">
        <v>17</v>
      </c>
      <c r="I2038" s="10" t="s">
        <v>66</v>
      </c>
      <c r="J2038" s="10"/>
      <c r="K2038" s="10"/>
      <c r="L2038" s="10"/>
      <c r="M2038" s="12"/>
      <c r="N2038" s="10"/>
      <c r="O2038" s="10" t="s">
        <v>2054</v>
      </c>
      <c r="P2038" s="25" t="str">
        <f>IFERROR(
IF(OR(O2038="anulado",O2038="stand by"),CONCATENATE(O2038,": ",H2038),
IF(OR(YEAR(M2038)=2022,YEAR(M2038)=2023),CONCATENATE("Se activó en ",YEAR(M2038)),
IF(AND(OR(O2038="En proceso",O2038="facturando"),AND(J2038="-",M2038="")),"Por revisar",
IF(M2038="",IF(J2038="NUEVAS",CONCATENATE("Estado: ",O2038,", ",J2038),
IF(L2038=Meses!$A$3,"Por revisar",
IF(H2038="","Sin registro","En programación Frcst."))),"En programación")))),
"Error")</f>
        <v>En programación Frcst.</v>
      </c>
      <c r="Q2038" s="9" t="str">
        <f t="shared" si="96"/>
        <v/>
      </c>
      <c r="R2038" s="25" t="e">
        <f>IF(P2038="En programación Frcst.",VLOOKUP(L2038,Meses!$A$1:$H$14,3+HLOOKUP(Cronograma!J2038,Meses!$D$1:$G$2,2,FALSE),FALSE),
IF(P2038="En programación",M2038,""))</f>
        <v>#N/A</v>
      </c>
      <c r="S2038" s="25" t="str">
        <f t="shared" si="95"/>
        <v/>
      </c>
      <c r="T2038" s="21" t="str">
        <f>IFERROR(
(VLOOKUP(MONTH(R2038),Meses!$B$3:$C$14,2,FALSE)-DAY(R2038))/VLOOKUP(MONTH(R2038),Meses!$B$3:$C$14,2,FALSE)*U2038,
"")</f>
        <v/>
      </c>
      <c r="U2038" s="22">
        <f t="shared" si="97"/>
        <v>0</v>
      </c>
    </row>
    <row r="2039" spans="1:21" ht="63" hidden="1" thickBot="1" x14ac:dyDescent="0.6">
      <c r="A2039" s="10" t="s">
        <v>3032</v>
      </c>
      <c r="B2039" s="10" t="s">
        <v>2643</v>
      </c>
      <c r="C2039" s="12">
        <v>45029</v>
      </c>
      <c r="D2039" s="10" t="s">
        <v>323</v>
      </c>
      <c r="E2039" s="10" t="s">
        <v>23</v>
      </c>
      <c r="F2039" s="10"/>
      <c r="G2039" s="10" t="s">
        <v>15</v>
      </c>
      <c r="H2039" s="10" t="s">
        <v>17</v>
      </c>
      <c r="I2039" s="10" t="s">
        <v>66</v>
      </c>
      <c r="J2039" s="10"/>
      <c r="K2039" s="10"/>
      <c r="L2039" s="10"/>
      <c r="M2039" s="12"/>
      <c r="N2039" s="10"/>
      <c r="O2039" s="10" t="s">
        <v>2054</v>
      </c>
      <c r="P2039" s="25" t="str">
        <f>IFERROR(
IF(OR(O2039="anulado",O2039="stand by"),CONCATENATE(O2039,": ",H2039),
IF(OR(YEAR(M2039)=2022,YEAR(M2039)=2023),CONCATENATE("Se activó en ",YEAR(M2039)),
IF(AND(OR(O2039="En proceso",O2039="facturando"),AND(J2039="-",M2039="")),"Por revisar",
IF(M2039="",IF(J2039="NUEVAS",CONCATENATE("Estado: ",O2039,", ",J2039),
IF(L2039=Meses!$A$3,"Por revisar",
IF(H2039="","Sin registro","En programación Frcst."))),"En programación")))),
"Error")</f>
        <v>En programación Frcst.</v>
      </c>
      <c r="Q2039" s="9" t="str">
        <f t="shared" si="96"/>
        <v/>
      </c>
      <c r="R2039" s="25" t="e">
        <f>IF(P2039="En programación Frcst.",VLOOKUP(L2039,Meses!$A$1:$H$14,3+HLOOKUP(Cronograma!J2039,Meses!$D$1:$G$2,2,FALSE),FALSE),
IF(P2039="En programación",M2039,""))</f>
        <v>#N/A</v>
      </c>
      <c r="S2039" s="25" t="str">
        <f t="shared" si="95"/>
        <v/>
      </c>
      <c r="T2039" s="21" t="str">
        <f>IFERROR(
(VLOOKUP(MONTH(R2039),Meses!$B$3:$C$14,2,FALSE)-DAY(R2039))/VLOOKUP(MONTH(R2039),Meses!$B$3:$C$14,2,FALSE)*U2039,
"")</f>
        <v/>
      </c>
      <c r="U2039" s="22">
        <f t="shared" si="97"/>
        <v>0</v>
      </c>
    </row>
    <row r="2040" spans="1:21" ht="63" hidden="1" thickBot="1" x14ac:dyDescent="0.6">
      <c r="A2040" s="10" t="s">
        <v>3032</v>
      </c>
      <c r="B2040" s="10" t="s">
        <v>2644</v>
      </c>
      <c r="C2040" s="12">
        <v>45029</v>
      </c>
      <c r="D2040" s="10" t="s">
        <v>323</v>
      </c>
      <c r="E2040" s="10" t="s">
        <v>23</v>
      </c>
      <c r="F2040" s="10"/>
      <c r="G2040" s="10" t="s">
        <v>15</v>
      </c>
      <c r="H2040" s="10" t="s">
        <v>17</v>
      </c>
      <c r="I2040" s="10" t="s">
        <v>66</v>
      </c>
      <c r="J2040" s="10"/>
      <c r="K2040" s="10"/>
      <c r="L2040" s="10"/>
      <c r="M2040" s="12"/>
      <c r="N2040" s="10"/>
      <c r="O2040" s="10" t="s">
        <v>2054</v>
      </c>
      <c r="P2040" s="25" t="str">
        <f>IFERROR(
IF(OR(O2040="anulado",O2040="stand by"),CONCATENATE(O2040,": ",H2040),
IF(OR(YEAR(M2040)=2022,YEAR(M2040)=2023),CONCATENATE("Se activó en ",YEAR(M2040)),
IF(AND(OR(O2040="En proceso",O2040="facturando"),AND(J2040="-",M2040="")),"Por revisar",
IF(M2040="",IF(J2040="NUEVAS",CONCATENATE("Estado: ",O2040,", ",J2040),
IF(L2040=Meses!$A$3,"Por revisar",
IF(H2040="","Sin registro","En programación Frcst."))),"En programación")))),
"Error")</f>
        <v>En programación Frcst.</v>
      </c>
      <c r="Q2040" s="9" t="str">
        <f t="shared" si="96"/>
        <v/>
      </c>
      <c r="R2040" s="25" t="e">
        <f>IF(P2040="En programación Frcst.",VLOOKUP(L2040,Meses!$A$1:$H$14,3+HLOOKUP(Cronograma!J2040,Meses!$D$1:$G$2,2,FALSE),FALSE),
IF(P2040="En programación",M2040,""))</f>
        <v>#N/A</v>
      </c>
      <c r="S2040" s="25" t="str">
        <f t="shared" si="95"/>
        <v/>
      </c>
      <c r="T2040" s="21" t="str">
        <f>IFERROR(
(VLOOKUP(MONTH(R2040),Meses!$B$3:$C$14,2,FALSE)-DAY(R2040))/VLOOKUP(MONTH(R2040),Meses!$B$3:$C$14,2,FALSE)*U2040,
"")</f>
        <v/>
      </c>
      <c r="U2040" s="22">
        <f t="shared" si="97"/>
        <v>0</v>
      </c>
    </row>
    <row r="2041" spans="1:21" ht="31.8" hidden="1" thickBot="1" x14ac:dyDescent="0.6">
      <c r="A2041" s="10" t="s">
        <v>3033</v>
      </c>
      <c r="B2041" s="10" t="s">
        <v>2645</v>
      </c>
      <c r="C2041" s="12">
        <v>45029</v>
      </c>
      <c r="D2041" s="10" t="s">
        <v>323</v>
      </c>
      <c r="E2041" s="10" t="s">
        <v>298</v>
      </c>
      <c r="F2041" s="10"/>
      <c r="G2041" s="10" t="s">
        <v>15</v>
      </c>
      <c r="H2041" s="10" t="s">
        <v>17</v>
      </c>
      <c r="I2041" s="10" t="s">
        <v>66</v>
      </c>
      <c r="J2041" s="10"/>
      <c r="K2041" s="10"/>
      <c r="L2041" s="10"/>
      <c r="M2041" s="12"/>
      <c r="N2041" s="10"/>
      <c r="O2041" s="10" t="s">
        <v>2054</v>
      </c>
      <c r="P2041" s="25" t="str">
        <f>IFERROR(
IF(OR(O2041="anulado",O2041="stand by"),CONCATENATE(O2041,": ",H2041),
IF(OR(YEAR(M2041)=2022,YEAR(M2041)=2023),CONCATENATE("Se activó en ",YEAR(M2041)),
IF(AND(OR(O2041="En proceso",O2041="facturando"),AND(J2041="-",M2041="")),"Por revisar",
IF(M2041="",IF(J2041="NUEVAS",CONCATENATE("Estado: ",O2041,", ",J2041),
IF(L2041=Meses!$A$3,"Por revisar",
IF(H2041="","Sin registro","En programación Frcst."))),"En programación")))),
"Error")</f>
        <v>En programación Frcst.</v>
      </c>
      <c r="Q2041" s="9" t="str">
        <f t="shared" si="96"/>
        <v/>
      </c>
      <c r="R2041" s="25" t="e">
        <f>IF(P2041="En programación Frcst.",VLOOKUP(L2041,Meses!$A$1:$H$14,3+HLOOKUP(Cronograma!J2041,Meses!$D$1:$G$2,2,FALSE),FALSE),
IF(P2041="En programación",M2041,""))</f>
        <v>#N/A</v>
      </c>
      <c r="S2041" s="25" t="str">
        <f t="shared" si="95"/>
        <v/>
      </c>
      <c r="T2041" s="21" t="str">
        <f>IFERROR(
(VLOOKUP(MONTH(R2041),Meses!$B$3:$C$14,2,FALSE)-DAY(R2041))/VLOOKUP(MONTH(R2041),Meses!$B$3:$C$14,2,FALSE)*U2041,
"")</f>
        <v/>
      </c>
      <c r="U2041" s="22">
        <f t="shared" si="97"/>
        <v>0</v>
      </c>
    </row>
    <row r="2042" spans="1:21" ht="31.8" hidden="1" thickBot="1" x14ac:dyDescent="0.6">
      <c r="A2042" s="10" t="s">
        <v>3034</v>
      </c>
      <c r="B2042" s="10" t="s">
        <v>2646</v>
      </c>
      <c r="C2042" s="12">
        <v>45029</v>
      </c>
      <c r="D2042" s="10" t="s">
        <v>323</v>
      </c>
      <c r="E2042" s="10" t="s">
        <v>14</v>
      </c>
      <c r="F2042" s="10"/>
      <c r="G2042" s="10" t="s">
        <v>15</v>
      </c>
      <c r="H2042" s="10" t="s">
        <v>17</v>
      </c>
      <c r="I2042" s="10" t="s">
        <v>66</v>
      </c>
      <c r="J2042" s="10"/>
      <c r="K2042" s="10"/>
      <c r="L2042" s="10"/>
      <c r="M2042" s="12"/>
      <c r="N2042" s="10"/>
      <c r="O2042" s="10" t="s">
        <v>2054</v>
      </c>
      <c r="P2042" s="25" t="str">
        <f>IFERROR(
IF(OR(O2042="anulado",O2042="stand by"),CONCATENATE(O2042,": ",H2042),
IF(OR(YEAR(M2042)=2022,YEAR(M2042)=2023),CONCATENATE("Se activó en ",YEAR(M2042)),
IF(AND(OR(O2042="En proceso",O2042="facturando"),AND(J2042="-",M2042="")),"Por revisar",
IF(M2042="",IF(J2042="NUEVAS",CONCATENATE("Estado: ",O2042,", ",J2042),
IF(L2042=Meses!$A$3,"Por revisar",
IF(H2042="","Sin registro","En programación Frcst."))),"En programación")))),
"Error")</f>
        <v>En programación Frcst.</v>
      </c>
      <c r="Q2042" s="9" t="str">
        <f t="shared" si="96"/>
        <v/>
      </c>
      <c r="R2042" s="25" t="e">
        <f>IF(P2042="En programación Frcst.",VLOOKUP(L2042,Meses!$A$1:$H$14,3+HLOOKUP(Cronograma!J2042,Meses!$D$1:$G$2,2,FALSE),FALSE),
IF(P2042="En programación",M2042,""))</f>
        <v>#N/A</v>
      </c>
      <c r="S2042" s="25" t="str">
        <f t="shared" si="95"/>
        <v/>
      </c>
      <c r="T2042" s="21" t="str">
        <f>IFERROR(
(VLOOKUP(MONTH(R2042),Meses!$B$3:$C$14,2,FALSE)-DAY(R2042))/VLOOKUP(MONTH(R2042),Meses!$B$3:$C$14,2,FALSE)*U2042,
"")</f>
        <v/>
      </c>
      <c r="U2042" s="22">
        <f t="shared" si="97"/>
        <v>0</v>
      </c>
    </row>
    <row r="2043" spans="1:21" ht="31.8" hidden="1" thickBot="1" x14ac:dyDescent="0.6">
      <c r="A2043" s="10" t="s">
        <v>3035</v>
      </c>
      <c r="B2043" s="10" t="s">
        <v>2647</v>
      </c>
      <c r="C2043" s="12">
        <v>45029</v>
      </c>
      <c r="D2043" s="10" t="s">
        <v>323</v>
      </c>
      <c r="E2043" s="10"/>
      <c r="F2043" s="10"/>
      <c r="G2043" s="10" t="s">
        <v>15</v>
      </c>
      <c r="H2043" s="10" t="s">
        <v>17</v>
      </c>
      <c r="I2043" s="10" t="s">
        <v>66</v>
      </c>
      <c r="J2043" s="10"/>
      <c r="K2043" s="10"/>
      <c r="L2043" s="10"/>
      <c r="M2043" s="12"/>
      <c r="N2043" s="10"/>
      <c r="O2043" s="10" t="s">
        <v>2054</v>
      </c>
      <c r="P2043" s="25" t="str">
        <f>IFERROR(
IF(OR(O2043="anulado",O2043="stand by"),CONCATENATE(O2043,": ",H2043),
IF(OR(YEAR(M2043)=2022,YEAR(M2043)=2023),CONCATENATE("Se activó en ",YEAR(M2043)),
IF(AND(OR(O2043="En proceso",O2043="facturando"),AND(J2043="-",M2043="")),"Por revisar",
IF(M2043="",IF(J2043="NUEVAS",CONCATENATE("Estado: ",O2043,", ",J2043),
IF(L2043=Meses!$A$3,"Por revisar",
IF(H2043="","Sin registro","En programación Frcst."))),"En programación")))),
"Error")</f>
        <v>En programación Frcst.</v>
      </c>
      <c r="Q2043" s="9" t="str">
        <f t="shared" si="96"/>
        <v/>
      </c>
      <c r="R2043" s="25" t="e">
        <f>IF(P2043="En programación Frcst.",VLOOKUP(L2043,Meses!$A$1:$H$14,3+HLOOKUP(Cronograma!J2043,Meses!$D$1:$G$2,2,FALSE),FALSE),
IF(P2043="En programación",M2043,""))</f>
        <v>#N/A</v>
      </c>
      <c r="S2043" s="25" t="str">
        <f t="shared" si="95"/>
        <v/>
      </c>
      <c r="T2043" s="21" t="str">
        <f>IFERROR(
(VLOOKUP(MONTH(R2043),Meses!$B$3:$C$14,2,FALSE)-DAY(R2043))/VLOOKUP(MONTH(R2043),Meses!$B$3:$C$14,2,FALSE)*U2043,
"")</f>
        <v/>
      </c>
      <c r="U2043" s="22">
        <f t="shared" si="97"/>
        <v>0</v>
      </c>
    </row>
    <row r="2044" spans="1:21" ht="31.8" hidden="1" thickBot="1" x14ac:dyDescent="0.6">
      <c r="A2044" s="10" t="s">
        <v>3036</v>
      </c>
      <c r="B2044" s="10" t="s">
        <v>2648</v>
      </c>
      <c r="C2044" s="12">
        <v>45029</v>
      </c>
      <c r="D2044" s="10" t="s">
        <v>323</v>
      </c>
      <c r="E2044" s="10" t="s">
        <v>14</v>
      </c>
      <c r="F2044" s="10"/>
      <c r="G2044" s="10" t="s">
        <v>15</v>
      </c>
      <c r="H2044" s="10" t="s">
        <v>17</v>
      </c>
      <c r="I2044" s="10" t="s">
        <v>66</v>
      </c>
      <c r="J2044" s="10"/>
      <c r="K2044" s="10"/>
      <c r="L2044" s="10"/>
      <c r="M2044" s="12"/>
      <c r="N2044" s="10"/>
      <c r="O2044" s="10" t="s">
        <v>2054</v>
      </c>
      <c r="P2044" s="25" t="str">
        <f>IFERROR(
IF(OR(O2044="anulado",O2044="stand by"),CONCATENATE(O2044,": ",H2044),
IF(OR(YEAR(M2044)=2022,YEAR(M2044)=2023),CONCATENATE("Se activó en ",YEAR(M2044)),
IF(AND(OR(O2044="En proceso",O2044="facturando"),AND(J2044="-",M2044="")),"Por revisar",
IF(M2044="",IF(J2044="NUEVAS",CONCATENATE("Estado: ",O2044,", ",J2044),
IF(L2044=Meses!$A$3,"Por revisar",
IF(H2044="","Sin registro","En programación Frcst."))),"En programación")))),
"Error")</f>
        <v>En programación Frcst.</v>
      </c>
      <c r="Q2044" s="9" t="str">
        <f t="shared" si="96"/>
        <v/>
      </c>
      <c r="R2044" s="25" t="e">
        <f>IF(P2044="En programación Frcst.",VLOOKUP(L2044,Meses!$A$1:$H$14,3+HLOOKUP(Cronograma!J2044,Meses!$D$1:$G$2,2,FALSE),FALSE),
IF(P2044="En programación",M2044,""))</f>
        <v>#N/A</v>
      </c>
      <c r="S2044" s="25" t="str">
        <f t="shared" si="95"/>
        <v/>
      </c>
      <c r="T2044" s="21" t="str">
        <f>IFERROR(
(VLOOKUP(MONTH(R2044),Meses!$B$3:$C$14,2,FALSE)-DAY(R2044))/VLOOKUP(MONTH(R2044),Meses!$B$3:$C$14,2,FALSE)*U2044,
"")</f>
        <v/>
      </c>
      <c r="U2044" s="22">
        <f t="shared" si="97"/>
        <v>0</v>
      </c>
    </row>
    <row r="2045" spans="1:21" ht="31.8" hidden="1" thickBot="1" x14ac:dyDescent="0.6">
      <c r="A2045" s="10" t="s">
        <v>3037</v>
      </c>
      <c r="B2045" s="10" t="s">
        <v>2649</v>
      </c>
      <c r="C2045" s="12">
        <v>45029</v>
      </c>
      <c r="D2045" s="10" t="s">
        <v>323</v>
      </c>
      <c r="E2045" s="10" t="s">
        <v>14</v>
      </c>
      <c r="F2045" s="10"/>
      <c r="G2045" s="10" t="s">
        <v>15</v>
      </c>
      <c r="H2045" s="10" t="s">
        <v>17</v>
      </c>
      <c r="I2045" s="10" t="s">
        <v>66</v>
      </c>
      <c r="J2045" s="10"/>
      <c r="K2045" s="10"/>
      <c r="L2045" s="10"/>
      <c r="M2045" s="12"/>
      <c r="N2045" s="10"/>
      <c r="O2045" s="10" t="s">
        <v>2054</v>
      </c>
      <c r="P2045" s="25" t="str">
        <f>IFERROR(
IF(OR(O2045="anulado",O2045="stand by"),CONCATENATE(O2045,": ",H2045),
IF(OR(YEAR(M2045)=2022,YEAR(M2045)=2023),CONCATENATE("Se activó en ",YEAR(M2045)),
IF(AND(OR(O2045="En proceso",O2045="facturando"),AND(J2045="-",M2045="")),"Por revisar",
IF(M2045="",IF(J2045="NUEVAS",CONCATENATE("Estado: ",O2045,", ",J2045),
IF(L2045=Meses!$A$3,"Por revisar",
IF(H2045="","Sin registro","En programación Frcst."))),"En programación")))),
"Error")</f>
        <v>En programación Frcst.</v>
      </c>
      <c r="Q2045" s="9" t="str">
        <f t="shared" si="96"/>
        <v/>
      </c>
      <c r="R2045" s="25" t="e">
        <f>IF(P2045="En programación Frcst.",VLOOKUP(L2045,Meses!$A$1:$H$14,3+HLOOKUP(Cronograma!J2045,Meses!$D$1:$G$2,2,FALSE),FALSE),
IF(P2045="En programación",M2045,""))</f>
        <v>#N/A</v>
      </c>
      <c r="S2045" s="25" t="str">
        <f t="shared" ref="S2045:S2108" si="98">IFERROR(CONCATENATE(YEAR(R2045),"/",MONTH(R2045)),"")</f>
        <v/>
      </c>
      <c r="T2045" s="21" t="str">
        <f>IFERROR(
(VLOOKUP(MONTH(R2045),Meses!$B$3:$C$14,2,FALSE)-DAY(R2045))/VLOOKUP(MONTH(R2045),Meses!$B$3:$C$14,2,FALSE)*U2045,
"")</f>
        <v/>
      </c>
      <c r="U2045" s="22">
        <f t="shared" si="97"/>
        <v>0</v>
      </c>
    </row>
    <row r="2046" spans="1:21" ht="31.8" hidden="1" thickBot="1" x14ac:dyDescent="0.6">
      <c r="A2046" s="10" t="s">
        <v>2651</v>
      </c>
      <c r="B2046" s="10" t="s">
        <v>2650</v>
      </c>
      <c r="C2046" s="12">
        <v>45036</v>
      </c>
      <c r="D2046" s="10" t="s">
        <v>323</v>
      </c>
      <c r="E2046" s="10"/>
      <c r="F2046" s="10"/>
      <c r="G2046" s="10" t="s">
        <v>15</v>
      </c>
      <c r="H2046" s="10" t="s">
        <v>2406</v>
      </c>
      <c r="I2046" s="10" t="s">
        <v>66</v>
      </c>
      <c r="J2046" s="10"/>
      <c r="K2046" s="10"/>
      <c r="L2046" s="10"/>
      <c r="M2046" s="12"/>
      <c r="N2046" s="10"/>
      <c r="O2046" s="10" t="s">
        <v>2054</v>
      </c>
      <c r="P2046" s="25" t="str">
        <f>IFERROR(
IF(OR(O2046="anulado",O2046="stand by"),CONCATENATE(O2046,": ",H2046),
IF(OR(YEAR(M2046)=2022,YEAR(M2046)=2023),CONCATENATE("Se activó en ",YEAR(M2046)),
IF(AND(OR(O2046="En proceso",O2046="facturando"),AND(J2046="-",M2046="")),"Por revisar",
IF(M2046="",IF(J2046="NUEVAS",CONCATENATE("Estado: ",O2046,", ",J2046),
IF(L2046=Meses!$A$3,"Por revisar",
IF(H2046="","Sin registro","En programación Frcst."))),"En programación")))),
"Error")</f>
        <v>En programación Frcst.</v>
      </c>
      <c r="Q2046" s="9" t="str">
        <f t="shared" si="96"/>
        <v/>
      </c>
      <c r="R2046" s="25" t="e">
        <f>IF(P2046="En programación Frcst.",VLOOKUP(L2046,Meses!$A$1:$H$14,3+HLOOKUP(Cronograma!J2046,Meses!$D$1:$G$2,2,FALSE),FALSE),
IF(P2046="En programación",M2046,""))</f>
        <v>#N/A</v>
      </c>
      <c r="S2046" s="25" t="str">
        <f t="shared" si="98"/>
        <v/>
      </c>
      <c r="T2046" s="21" t="str">
        <f>IFERROR(
(VLOOKUP(MONTH(R2046),Meses!$B$3:$C$14,2,FALSE)-DAY(R2046))/VLOOKUP(MONTH(R2046),Meses!$B$3:$C$14,2,FALSE)*U2046,
"")</f>
        <v/>
      </c>
      <c r="U2046" s="22">
        <f t="shared" si="97"/>
        <v>0</v>
      </c>
    </row>
    <row r="2047" spans="1:21" ht="63" hidden="1" thickBot="1" x14ac:dyDescent="0.6">
      <c r="A2047" s="10" t="s">
        <v>3038</v>
      </c>
      <c r="B2047" s="10" t="s">
        <v>2652</v>
      </c>
      <c r="C2047" s="12">
        <v>45029</v>
      </c>
      <c r="D2047" s="10" t="s">
        <v>323</v>
      </c>
      <c r="E2047" s="10" t="s">
        <v>677</v>
      </c>
      <c r="F2047" s="10"/>
      <c r="G2047" s="10" t="s">
        <v>15</v>
      </c>
      <c r="H2047" s="10" t="s">
        <v>17</v>
      </c>
      <c r="I2047" s="10" t="s">
        <v>66</v>
      </c>
      <c r="J2047" s="10"/>
      <c r="K2047" s="10"/>
      <c r="L2047" s="10"/>
      <c r="M2047" s="12"/>
      <c r="N2047" s="10"/>
      <c r="O2047" s="10" t="s">
        <v>2054</v>
      </c>
      <c r="P2047" s="25" t="str">
        <f>IFERROR(
IF(OR(O2047="anulado",O2047="stand by"),CONCATENATE(O2047,": ",H2047),
IF(OR(YEAR(M2047)=2022,YEAR(M2047)=2023),CONCATENATE("Se activó en ",YEAR(M2047)),
IF(AND(OR(O2047="En proceso",O2047="facturando"),AND(J2047="-",M2047="")),"Por revisar",
IF(M2047="",IF(J2047="NUEVAS",CONCATENATE("Estado: ",O2047,", ",J2047),
IF(L2047=Meses!$A$3,"Por revisar",
IF(H2047="","Sin registro","En programación Frcst."))),"En programación")))),
"Error")</f>
        <v>En programación Frcst.</v>
      </c>
      <c r="Q2047" s="9" t="str">
        <f t="shared" si="96"/>
        <v/>
      </c>
      <c r="R2047" s="25" t="e">
        <f>IF(P2047="En programación Frcst.",VLOOKUP(L2047,Meses!$A$1:$H$14,3+HLOOKUP(Cronograma!J2047,Meses!$D$1:$G$2,2,FALSE),FALSE),
IF(P2047="En programación",M2047,""))</f>
        <v>#N/A</v>
      </c>
      <c r="S2047" s="25" t="str">
        <f t="shared" si="98"/>
        <v/>
      </c>
      <c r="T2047" s="21" t="str">
        <f>IFERROR(
(VLOOKUP(MONTH(R2047),Meses!$B$3:$C$14,2,FALSE)-DAY(R2047))/VLOOKUP(MONTH(R2047),Meses!$B$3:$C$14,2,FALSE)*U2047,
"")</f>
        <v/>
      </c>
      <c r="U2047" s="22">
        <f t="shared" si="97"/>
        <v>0</v>
      </c>
    </row>
    <row r="2048" spans="1:21" ht="31.8" hidden="1" thickBot="1" x14ac:dyDescent="0.6">
      <c r="A2048" s="10" t="s">
        <v>3039</v>
      </c>
      <c r="B2048" s="10" t="s">
        <v>2653</v>
      </c>
      <c r="C2048" s="12">
        <v>45029</v>
      </c>
      <c r="D2048" s="10" t="s">
        <v>323</v>
      </c>
      <c r="E2048" s="10" t="s">
        <v>14</v>
      </c>
      <c r="F2048" s="10"/>
      <c r="G2048" s="10" t="s">
        <v>15</v>
      </c>
      <c r="H2048" s="10" t="s">
        <v>17</v>
      </c>
      <c r="I2048" s="10" t="s">
        <v>66</v>
      </c>
      <c r="J2048" s="10"/>
      <c r="K2048" s="10"/>
      <c r="L2048" s="10"/>
      <c r="M2048" s="12"/>
      <c r="N2048" s="10"/>
      <c r="O2048" s="10" t="s">
        <v>2054</v>
      </c>
      <c r="P2048" s="25" t="str">
        <f>IFERROR(
IF(OR(O2048="anulado",O2048="stand by"),CONCATENATE(O2048,": ",H2048),
IF(OR(YEAR(M2048)=2022,YEAR(M2048)=2023),CONCATENATE("Se activó en ",YEAR(M2048)),
IF(AND(OR(O2048="En proceso",O2048="facturando"),AND(J2048="-",M2048="")),"Por revisar",
IF(M2048="",IF(J2048="NUEVAS",CONCATENATE("Estado: ",O2048,", ",J2048),
IF(L2048=Meses!$A$3,"Por revisar",
IF(H2048="","Sin registro","En programación Frcst."))),"En programación")))),
"Error")</f>
        <v>En programación Frcst.</v>
      </c>
      <c r="Q2048" s="9" t="str">
        <f t="shared" si="96"/>
        <v/>
      </c>
      <c r="R2048" s="25" t="e">
        <f>IF(P2048="En programación Frcst.",VLOOKUP(L2048,Meses!$A$1:$H$14,3+HLOOKUP(Cronograma!J2048,Meses!$D$1:$G$2,2,FALSE),FALSE),
IF(P2048="En programación",M2048,""))</f>
        <v>#N/A</v>
      </c>
      <c r="S2048" s="25" t="str">
        <f t="shared" si="98"/>
        <v/>
      </c>
      <c r="T2048" s="21" t="str">
        <f>IFERROR(
(VLOOKUP(MONTH(R2048),Meses!$B$3:$C$14,2,FALSE)-DAY(R2048))/VLOOKUP(MONTH(R2048),Meses!$B$3:$C$14,2,FALSE)*U2048,
"")</f>
        <v/>
      </c>
      <c r="U2048" s="22">
        <f t="shared" si="97"/>
        <v>0</v>
      </c>
    </row>
    <row r="2049" spans="1:21" ht="31.8" hidden="1" thickBot="1" x14ac:dyDescent="0.6">
      <c r="A2049" s="10" t="s">
        <v>3040</v>
      </c>
      <c r="B2049" s="10" t="s">
        <v>2654</v>
      </c>
      <c r="C2049" s="12">
        <v>45029</v>
      </c>
      <c r="D2049" s="10" t="s">
        <v>323</v>
      </c>
      <c r="E2049" s="10" t="s">
        <v>14</v>
      </c>
      <c r="F2049" s="10"/>
      <c r="G2049" s="10" t="s">
        <v>15</v>
      </c>
      <c r="H2049" s="10" t="s">
        <v>17</v>
      </c>
      <c r="I2049" s="10" t="s">
        <v>66</v>
      </c>
      <c r="J2049" s="10"/>
      <c r="K2049" s="10"/>
      <c r="L2049" s="10"/>
      <c r="M2049" s="12"/>
      <c r="N2049" s="10"/>
      <c r="O2049" s="10" t="s">
        <v>2054</v>
      </c>
      <c r="P2049" s="25" t="str">
        <f>IFERROR(
IF(OR(O2049="anulado",O2049="stand by"),CONCATENATE(O2049,": ",H2049),
IF(OR(YEAR(M2049)=2022,YEAR(M2049)=2023),CONCATENATE("Se activó en ",YEAR(M2049)),
IF(AND(OR(O2049="En proceso",O2049="facturando"),AND(J2049="-",M2049="")),"Por revisar",
IF(M2049="",IF(J2049="NUEVAS",CONCATENATE("Estado: ",O2049,", ",J2049),
IF(L2049=Meses!$A$3,"Por revisar",
IF(H2049="","Sin registro","En programación Frcst."))),"En programación")))),
"Error")</f>
        <v>En programación Frcst.</v>
      </c>
      <c r="Q2049" s="9" t="str">
        <f t="shared" si="96"/>
        <v/>
      </c>
      <c r="R2049" s="25" t="e">
        <f>IF(P2049="En programación Frcst.",VLOOKUP(L2049,Meses!$A$1:$H$14,3+HLOOKUP(Cronograma!J2049,Meses!$D$1:$G$2,2,FALSE),FALSE),
IF(P2049="En programación",M2049,""))</f>
        <v>#N/A</v>
      </c>
      <c r="S2049" s="25" t="str">
        <f t="shared" si="98"/>
        <v/>
      </c>
      <c r="T2049" s="21" t="str">
        <f>IFERROR(
(VLOOKUP(MONTH(R2049),Meses!$B$3:$C$14,2,FALSE)-DAY(R2049))/VLOOKUP(MONTH(R2049),Meses!$B$3:$C$14,2,FALSE)*U2049,
"")</f>
        <v/>
      </c>
      <c r="U2049" s="22">
        <f t="shared" si="97"/>
        <v>0</v>
      </c>
    </row>
    <row r="2050" spans="1:21" ht="31.8" hidden="1" thickBot="1" x14ac:dyDescent="0.6">
      <c r="A2050" s="10" t="s">
        <v>3040</v>
      </c>
      <c r="B2050" s="10" t="s">
        <v>2655</v>
      </c>
      <c r="C2050" s="12">
        <v>45029</v>
      </c>
      <c r="D2050" s="10" t="s">
        <v>323</v>
      </c>
      <c r="E2050" s="10" t="s">
        <v>14</v>
      </c>
      <c r="F2050" s="10"/>
      <c r="G2050" s="10" t="s">
        <v>15</v>
      </c>
      <c r="H2050" s="10" t="s">
        <v>17</v>
      </c>
      <c r="I2050" s="10" t="s">
        <v>66</v>
      </c>
      <c r="J2050" s="10"/>
      <c r="K2050" s="10"/>
      <c r="L2050" s="10"/>
      <c r="M2050" s="12"/>
      <c r="N2050" s="10"/>
      <c r="O2050" s="10" t="s">
        <v>2054</v>
      </c>
      <c r="P2050" s="25" t="str">
        <f>IFERROR(
IF(OR(O2050="anulado",O2050="stand by"),CONCATENATE(O2050,": ",H2050),
IF(OR(YEAR(M2050)=2022,YEAR(M2050)=2023),CONCATENATE("Se activó en ",YEAR(M2050)),
IF(AND(OR(O2050="En proceso",O2050="facturando"),AND(J2050="-",M2050="")),"Por revisar",
IF(M2050="",IF(J2050="NUEVAS",CONCATENATE("Estado: ",O2050,", ",J2050),
IF(L2050=Meses!$A$3,"Por revisar",
IF(H2050="","Sin registro","En programación Frcst."))),"En programación")))),
"Error")</f>
        <v>En programación Frcst.</v>
      </c>
      <c r="Q2050" s="9" t="str">
        <f t="shared" ref="Q2050:Q2113" si="99">IF(P2050="Por revisar",CONCATENATE("programación de act. ",N2050,", estado: ",O2050,", Comercializador: ",D2050,", Etapa: ",H2050),"")</f>
        <v/>
      </c>
      <c r="R2050" s="25" t="e">
        <f>IF(P2050="En programación Frcst.",VLOOKUP(L2050,Meses!$A$1:$H$14,3+HLOOKUP(Cronograma!J2050,Meses!$D$1:$G$2,2,FALSE),FALSE),
IF(P2050="En programación",M2050,""))</f>
        <v>#N/A</v>
      </c>
      <c r="S2050" s="25" t="str">
        <f t="shared" si="98"/>
        <v/>
      </c>
      <c r="T2050" s="21" t="str">
        <f>IFERROR(
(VLOOKUP(MONTH(R2050),Meses!$B$3:$C$14,2,FALSE)-DAY(R2050))/VLOOKUP(MONTH(R2050),Meses!$B$3:$C$14,2,FALSE)*U2050,
"")</f>
        <v/>
      </c>
      <c r="U2050" s="22">
        <f t="shared" ref="U2050:U2113" si="100">F2050</f>
        <v>0</v>
      </c>
    </row>
    <row r="2051" spans="1:21" ht="31.8" hidden="1" thickBot="1" x14ac:dyDescent="0.6">
      <c r="A2051" s="10" t="s">
        <v>3041</v>
      </c>
      <c r="B2051" s="10" t="s">
        <v>2656</v>
      </c>
      <c r="C2051" s="12">
        <v>45029</v>
      </c>
      <c r="D2051" s="10" t="s">
        <v>323</v>
      </c>
      <c r="E2051" s="10" t="s">
        <v>291</v>
      </c>
      <c r="F2051" s="10"/>
      <c r="G2051" s="10" t="s">
        <v>15</v>
      </c>
      <c r="H2051" s="10" t="s">
        <v>17</v>
      </c>
      <c r="I2051" s="10" t="s">
        <v>66</v>
      </c>
      <c r="J2051" s="10"/>
      <c r="K2051" s="10"/>
      <c r="L2051" s="10"/>
      <c r="M2051" s="12"/>
      <c r="N2051" s="10"/>
      <c r="O2051" s="10" t="s">
        <v>2054</v>
      </c>
      <c r="P2051" s="25" t="str">
        <f>IFERROR(
IF(OR(O2051="anulado",O2051="stand by"),CONCATENATE(O2051,": ",H2051),
IF(OR(YEAR(M2051)=2022,YEAR(M2051)=2023),CONCATENATE("Se activó en ",YEAR(M2051)),
IF(AND(OR(O2051="En proceso",O2051="facturando"),AND(J2051="-",M2051="")),"Por revisar",
IF(M2051="",IF(J2051="NUEVAS",CONCATENATE("Estado: ",O2051,", ",J2051),
IF(L2051=Meses!$A$3,"Por revisar",
IF(H2051="","Sin registro","En programación Frcst."))),"En programación")))),
"Error")</f>
        <v>En programación Frcst.</v>
      </c>
      <c r="Q2051" s="9" t="str">
        <f t="shared" si="99"/>
        <v/>
      </c>
      <c r="R2051" s="25" t="e">
        <f>IF(P2051="En programación Frcst.",VLOOKUP(L2051,Meses!$A$1:$H$14,3+HLOOKUP(Cronograma!J2051,Meses!$D$1:$G$2,2,FALSE),FALSE),
IF(P2051="En programación",M2051,""))</f>
        <v>#N/A</v>
      </c>
      <c r="S2051" s="25" t="str">
        <f t="shared" si="98"/>
        <v/>
      </c>
      <c r="T2051" s="21" t="str">
        <f>IFERROR(
(VLOOKUP(MONTH(R2051),Meses!$B$3:$C$14,2,FALSE)-DAY(R2051))/VLOOKUP(MONTH(R2051),Meses!$B$3:$C$14,2,FALSE)*U2051,
"")</f>
        <v/>
      </c>
      <c r="U2051" s="22">
        <f t="shared" si="100"/>
        <v>0</v>
      </c>
    </row>
    <row r="2052" spans="1:21" ht="63" hidden="1" thickBot="1" x14ac:dyDescent="0.6">
      <c r="A2052" s="10" t="s">
        <v>3042</v>
      </c>
      <c r="B2052" s="10" t="s">
        <v>2657</v>
      </c>
      <c r="C2052" s="12">
        <v>45029</v>
      </c>
      <c r="D2052" s="10" t="s">
        <v>323</v>
      </c>
      <c r="E2052" s="10" t="s">
        <v>23</v>
      </c>
      <c r="F2052" s="10"/>
      <c r="G2052" s="10" t="s">
        <v>15</v>
      </c>
      <c r="H2052" s="10" t="s">
        <v>17</v>
      </c>
      <c r="I2052" s="10" t="s">
        <v>66</v>
      </c>
      <c r="J2052" s="10"/>
      <c r="K2052" s="10"/>
      <c r="L2052" s="10"/>
      <c r="M2052" s="12"/>
      <c r="N2052" s="10"/>
      <c r="O2052" s="10" t="s">
        <v>2054</v>
      </c>
      <c r="P2052" s="25" t="str">
        <f>IFERROR(
IF(OR(O2052="anulado",O2052="stand by"),CONCATENATE(O2052,": ",H2052),
IF(OR(YEAR(M2052)=2022,YEAR(M2052)=2023),CONCATENATE("Se activó en ",YEAR(M2052)),
IF(AND(OR(O2052="En proceso",O2052="facturando"),AND(J2052="-",M2052="")),"Por revisar",
IF(M2052="",IF(J2052="NUEVAS",CONCATENATE("Estado: ",O2052,", ",J2052),
IF(L2052=Meses!$A$3,"Por revisar",
IF(H2052="","Sin registro","En programación Frcst."))),"En programación")))),
"Error")</f>
        <v>En programación Frcst.</v>
      </c>
      <c r="Q2052" s="9" t="str">
        <f t="shared" si="99"/>
        <v/>
      </c>
      <c r="R2052" s="25" t="e">
        <f>IF(P2052="En programación Frcst.",VLOOKUP(L2052,Meses!$A$1:$H$14,3+HLOOKUP(Cronograma!J2052,Meses!$D$1:$G$2,2,FALSE),FALSE),
IF(P2052="En programación",M2052,""))</f>
        <v>#N/A</v>
      </c>
      <c r="S2052" s="25" t="str">
        <f t="shared" si="98"/>
        <v/>
      </c>
      <c r="T2052" s="21" t="str">
        <f>IFERROR(
(VLOOKUP(MONTH(R2052),Meses!$B$3:$C$14,2,FALSE)-DAY(R2052))/VLOOKUP(MONTH(R2052),Meses!$B$3:$C$14,2,FALSE)*U2052,
"")</f>
        <v/>
      </c>
      <c r="U2052" s="22">
        <f t="shared" si="100"/>
        <v>0</v>
      </c>
    </row>
    <row r="2053" spans="1:21" ht="47.4" hidden="1" thickBot="1" x14ac:dyDescent="0.6">
      <c r="A2053" s="10" t="s">
        <v>3043</v>
      </c>
      <c r="B2053" s="10" t="s">
        <v>2658</v>
      </c>
      <c r="C2053" s="12">
        <v>45029</v>
      </c>
      <c r="D2053" s="10" t="s">
        <v>323</v>
      </c>
      <c r="E2053" s="10" t="s">
        <v>959</v>
      </c>
      <c r="F2053" s="10"/>
      <c r="G2053" s="10" t="s">
        <v>15</v>
      </c>
      <c r="H2053" s="10" t="s">
        <v>17</v>
      </c>
      <c r="I2053" s="10" t="s">
        <v>66</v>
      </c>
      <c r="J2053" s="10"/>
      <c r="K2053" s="10"/>
      <c r="L2053" s="10"/>
      <c r="M2053" s="12"/>
      <c r="N2053" s="10"/>
      <c r="O2053" s="10" t="s">
        <v>2054</v>
      </c>
      <c r="P2053" s="25" t="str">
        <f>IFERROR(
IF(OR(O2053="anulado",O2053="stand by"),CONCATENATE(O2053,": ",H2053),
IF(OR(YEAR(M2053)=2022,YEAR(M2053)=2023),CONCATENATE("Se activó en ",YEAR(M2053)),
IF(AND(OR(O2053="En proceso",O2053="facturando"),AND(J2053="-",M2053="")),"Por revisar",
IF(M2053="",IF(J2053="NUEVAS",CONCATENATE("Estado: ",O2053,", ",J2053),
IF(L2053=Meses!$A$3,"Por revisar",
IF(H2053="","Sin registro","En programación Frcst."))),"En programación")))),
"Error")</f>
        <v>En programación Frcst.</v>
      </c>
      <c r="Q2053" s="9" t="str">
        <f t="shared" si="99"/>
        <v/>
      </c>
      <c r="R2053" s="25" t="e">
        <f>IF(P2053="En programación Frcst.",VLOOKUP(L2053,Meses!$A$1:$H$14,3+HLOOKUP(Cronograma!J2053,Meses!$D$1:$G$2,2,FALSE),FALSE),
IF(P2053="En programación",M2053,""))</f>
        <v>#N/A</v>
      </c>
      <c r="S2053" s="25" t="str">
        <f t="shared" si="98"/>
        <v/>
      </c>
      <c r="T2053" s="21" t="str">
        <f>IFERROR(
(VLOOKUP(MONTH(R2053),Meses!$B$3:$C$14,2,FALSE)-DAY(R2053))/VLOOKUP(MONTH(R2053),Meses!$B$3:$C$14,2,FALSE)*U2053,
"")</f>
        <v/>
      </c>
      <c r="U2053" s="22">
        <f t="shared" si="100"/>
        <v>0</v>
      </c>
    </row>
    <row r="2054" spans="1:21" ht="63" hidden="1" thickBot="1" x14ac:dyDescent="0.6">
      <c r="A2054" s="10" t="s">
        <v>3044</v>
      </c>
      <c r="B2054" s="10" t="s">
        <v>2659</v>
      </c>
      <c r="C2054" s="12">
        <v>45029</v>
      </c>
      <c r="D2054" s="10" t="s">
        <v>323</v>
      </c>
      <c r="E2054" s="10" t="s">
        <v>289</v>
      </c>
      <c r="F2054" s="10"/>
      <c r="G2054" s="10" t="s">
        <v>15</v>
      </c>
      <c r="H2054" s="10" t="s">
        <v>17</v>
      </c>
      <c r="I2054" s="10" t="s">
        <v>66</v>
      </c>
      <c r="J2054" s="10"/>
      <c r="K2054" s="10"/>
      <c r="L2054" s="10"/>
      <c r="M2054" s="12"/>
      <c r="N2054" s="10"/>
      <c r="O2054" s="10" t="s">
        <v>2054</v>
      </c>
      <c r="P2054" s="25" t="str">
        <f>IFERROR(
IF(OR(O2054="anulado",O2054="stand by"),CONCATENATE(O2054,": ",H2054),
IF(OR(YEAR(M2054)=2022,YEAR(M2054)=2023),CONCATENATE("Se activó en ",YEAR(M2054)),
IF(AND(OR(O2054="En proceso",O2054="facturando"),AND(J2054="-",M2054="")),"Por revisar",
IF(M2054="",IF(J2054="NUEVAS",CONCATENATE("Estado: ",O2054,", ",J2054),
IF(L2054=Meses!$A$3,"Por revisar",
IF(H2054="","Sin registro","En programación Frcst."))),"En programación")))),
"Error")</f>
        <v>En programación Frcst.</v>
      </c>
      <c r="Q2054" s="9" t="str">
        <f t="shared" si="99"/>
        <v/>
      </c>
      <c r="R2054" s="25" t="e">
        <f>IF(P2054="En programación Frcst.",VLOOKUP(L2054,Meses!$A$1:$H$14,3+HLOOKUP(Cronograma!J2054,Meses!$D$1:$G$2,2,FALSE),FALSE),
IF(P2054="En programación",M2054,""))</f>
        <v>#N/A</v>
      </c>
      <c r="S2054" s="25" t="str">
        <f t="shared" si="98"/>
        <v/>
      </c>
      <c r="T2054" s="21" t="str">
        <f>IFERROR(
(VLOOKUP(MONTH(R2054),Meses!$B$3:$C$14,2,FALSE)-DAY(R2054))/VLOOKUP(MONTH(R2054),Meses!$B$3:$C$14,2,FALSE)*U2054,
"")</f>
        <v/>
      </c>
      <c r="U2054" s="22">
        <f t="shared" si="100"/>
        <v>0</v>
      </c>
    </row>
    <row r="2055" spans="1:21" ht="47.4" hidden="1" thickBot="1" x14ac:dyDescent="0.6">
      <c r="A2055" s="10" t="s">
        <v>3045</v>
      </c>
      <c r="B2055" s="10" t="s">
        <v>2660</v>
      </c>
      <c r="C2055" s="12">
        <v>45029</v>
      </c>
      <c r="D2055" s="10" t="s">
        <v>323</v>
      </c>
      <c r="E2055" s="10" t="s">
        <v>291</v>
      </c>
      <c r="F2055" s="10"/>
      <c r="G2055" s="10" t="s">
        <v>15</v>
      </c>
      <c r="H2055" s="10" t="s">
        <v>17</v>
      </c>
      <c r="I2055" s="10" t="s">
        <v>66</v>
      </c>
      <c r="J2055" s="10"/>
      <c r="K2055" s="10"/>
      <c r="L2055" s="10"/>
      <c r="M2055" s="12"/>
      <c r="N2055" s="10"/>
      <c r="O2055" s="10" t="s">
        <v>2054</v>
      </c>
      <c r="P2055" s="25" t="str">
        <f>IFERROR(
IF(OR(O2055="anulado",O2055="stand by"),CONCATENATE(O2055,": ",H2055),
IF(OR(YEAR(M2055)=2022,YEAR(M2055)=2023),CONCATENATE("Se activó en ",YEAR(M2055)),
IF(AND(OR(O2055="En proceso",O2055="facturando"),AND(J2055="-",M2055="")),"Por revisar",
IF(M2055="",IF(J2055="NUEVAS",CONCATENATE("Estado: ",O2055,", ",J2055),
IF(L2055=Meses!$A$3,"Por revisar",
IF(H2055="","Sin registro","En programación Frcst."))),"En programación")))),
"Error")</f>
        <v>En programación Frcst.</v>
      </c>
      <c r="Q2055" s="9" t="str">
        <f t="shared" si="99"/>
        <v/>
      </c>
      <c r="R2055" s="25" t="e">
        <f>IF(P2055="En programación Frcst.",VLOOKUP(L2055,Meses!$A$1:$H$14,3+HLOOKUP(Cronograma!J2055,Meses!$D$1:$G$2,2,FALSE),FALSE),
IF(P2055="En programación",M2055,""))</f>
        <v>#N/A</v>
      </c>
      <c r="S2055" s="25" t="str">
        <f t="shared" si="98"/>
        <v/>
      </c>
      <c r="T2055" s="21" t="str">
        <f>IFERROR(
(VLOOKUP(MONTH(R2055),Meses!$B$3:$C$14,2,FALSE)-DAY(R2055))/VLOOKUP(MONTH(R2055),Meses!$B$3:$C$14,2,FALSE)*U2055,
"")</f>
        <v/>
      </c>
      <c r="U2055" s="22">
        <f t="shared" si="100"/>
        <v>0</v>
      </c>
    </row>
    <row r="2056" spans="1:21" ht="63" hidden="1" thickBot="1" x14ac:dyDescent="0.6">
      <c r="A2056" s="10" t="s">
        <v>3046</v>
      </c>
      <c r="B2056" s="10" t="s">
        <v>2661</v>
      </c>
      <c r="C2056" s="12">
        <v>45036</v>
      </c>
      <c r="D2056" s="10" t="s">
        <v>323</v>
      </c>
      <c r="E2056" s="10" t="s">
        <v>14</v>
      </c>
      <c r="F2056" s="10"/>
      <c r="G2056" s="10" t="s">
        <v>15</v>
      </c>
      <c r="H2056" s="10" t="s">
        <v>17</v>
      </c>
      <c r="I2056" s="10" t="s">
        <v>66</v>
      </c>
      <c r="J2056" s="10"/>
      <c r="K2056" s="10"/>
      <c r="L2056" s="10"/>
      <c r="M2056" s="12"/>
      <c r="N2056" s="10"/>
      <c r="O2056" s="10" t="s">
        <v>2054</v>
      </c>
      <c r="P2056" s="25" t="str">
        <f>IFERROR(
IF(OR(O2056="anulado",O2056="stand by"),CONCATENATE(O2056,": ",H2056),
IF(OR(YEAR(M2056)=2022,YEAR(M2056)=2023),CONCATENATE("Se activó en ",YEAR(M2056)),
IF(AND(OR(O2056="En proceso",O2056="facturando"),AND(J2056="-",M2056="")),"Por revisar",
IF(M2056="",IF(J2056="NUEVAS",CONCATENATE("Estado: ",O2056,", ",J2056),
IF(L2056=Meses!$A$3,"Por revisar",
IF(H2056="","Sin registro","En programación Frcst."))),"En programación")))),
"Error")</f>
        <v>En programación Frcst.</v>
      </c>
      <c r="Q2056" s="9" t="str">
        <f t="shared" si="99"/>
        <v/>
      </c>
      <c r="R2056" s="25" t="e">
        <f>IF(P2056="En programación Frcst.",VLOOKUP(L2056,Meses!$A$1:$H$14,3+HLOOKUP(Cronograma!J2056,Meses!$D$1:$G$2,2,FALSE),FALSE),
IF(P2056="En programación",M2056,""))</f>
        <v>#N/A</v>
      </c>
      <c r="S2056" s="25" t="str">
        <f t="shared" si="98"/>
        <v/>
      </c>
      <c r="T2056" s="21" t="str">
        <f>IFERROR(
(VLOOKUP(MONTH(R2056),Meses!$B$3:$C$14,2,FALSE)-DAY(R2056))/VLOOKUP(MONTH(R2056),Meses!$B$3:$C$14,2,FALSE)*U2056,
"")</f>
        <v/>
      </c>
      <c r="U2056" s="22">
        <f t="shared" si="100"/>
        <v>0</v>
      </c>
    </row>
    <row r="2057" spans="1:21" ht="94.2" hidden="1" thickBot="1" x14ac:dyDescent="0.6">
      <c r="A2057" s="10" t="s">
        <v>3047</v>
      </c>
      <c r="B2057" s="10" t="s">
        <v>2662</v>
      </c>
      <c r="C2057" s="12">
        <v>45029</v>
      </c>
      <c r="D2057" s="10" t="s">
        <v>323</v>
      </c>
      <c r="E2057" s="10" t="s">
        <v>14</v>
      </c>
      <c r="F2057" s="10"/>
      <c r="G2057" s="10" t="s">
        <v>15</v>
      </c>
      <c r="H2057" s="10" t="s">
        <v>17</v>
      </c>
      <c r="I2057" s="10" t="s">
        <v>66</v>
      </c>
      <c r="J2057" s="10"/>
      <c r="K2057" s="10"/>
      <c r="L2057" s="10"/>
      <c r="M2057" s="12"/>
      <c r="N2057" s="10"/>
      <c r="O2057" s="10" t="s">
        <v>2054</v>
      </c>
      <c r="P2057" s="25" t="str">
        <f>IFERROR(
IF(OR(O2057="anulado",O2057="stand by"),CONCATENATE(O2057,": ",H2057),
IF(OR(YEAR(M2057)=2022,YEAR(M2057)=2023),CONCATENATE("Se activó en ",YEAR(M2057)),
IF(AND(OR(O2057="En proceso",O2057="facturando"),AND(J2057="-",M2057="")),"Por revisar",
IF(M2057="",IF(J2057="NUEVAS",CONCATENATE("Estado: ",O2057,", ",J2057),
IF(L2057=Meses!$A$3,"Por revisar",
IF(H2057="","Sin registro","En programación Frcst."))),"En programación")))),
"Error")</f>
        <v>En programación Frcst.</v>
      </c>
      <c r="Q2057" s="9" t="str">
        <f t="shared" si="99"/>
        <v/>
      </c>
      <c r="R2057" s="25" t="e">
        <f>IF(P2057="En programación Frcst.",VLOOKUP(L2057,Meses!$A$1:$H$14,3+HLOOKUP(Cronograma!J2057,Meses!$D$1:$G$2,2,FALSE),FALSE),
IF(P2057="En programación",M2057,""))</f>
        <v>#N/A</v>
      </c>
      <c r="S2057" s="25" t="str">
        <f t="shared" si="98"/>
        <v/>
      </c>
      <c r="T2057" s="21" t="str">
        <f>IFERROR(
(VLOOKUP(MONTH(R2057),Meses!$B$3:$C$14,2,FALSE)-DAY(R2057))/VLOOKUP(MONTH(R2057),Meses!$B$3:$C$14,2,FALSE)*U2057,
"")</f>
        <v/>
      </c>
      <c r="U2057" s="22">
        <f t="shared" si="100"/>
        <v>0</v>
      </c>
    </row>
    <row r="2058" spans="1:21" ht="31.8" hidden="1" thickBot="1" x14ac:dyDescent="0.6">
      <c r="A2058" s="10" t="s">
        <v>3048</v>
      </c>
      <c r="B2058" s="10" t="s">
        <v>2663</v>
      </c>
      <c r="C2058" s="12">
        <v>45029</v>
      </c>
      <c r="D2058" s="10" t="s">
        <v>323</v>
      </c>
      <c r="E2058" s="10" t="s">
        <v>23</v>
      </c>
      <c r="F2058" s="10"/>
      <c r="G2058" s="10" t="s">
        <v>15</v>
      </c>
      <c r="H2058" s="10" t="s">
        <v>17</v>
      </c>
      <c r="I2058" s="10" t="s">
        <v>66</v>
      </c>
      <c r="J2058" s="10"/>
      <c r="K2058" s="10"/>
      <c r="L2058" s="10"/>
      <c r="M2058" s="12"/>
      <c r="N2058" s="10"/>
      <c r="O2058" s="10" t="s">
        <v>2054</v>
      </c>
      <c r="P2058" s="25" t="str">
        <f>IFERROR(
IF(OR(O2058="anulado",O2058="stand by"),CONCATENATE(O2058,": ",H2058),
IF(OR(YEAR(M2058)=2022,YEAR(M2058)=2023),CONCATENATE("Se activó en ",YEAR(M2058)),
IF(AND(OR(O2058="En proceso",O2058="facturando"),AND(J2058="-",M2058="")),"Por revisar",
IF(M2058="",IF(J2058="NUEVAS",CONCATENATE("Estado: ",O2058,", ",J2058),
IF(L2058=Meses!$A$3,"Por revisar",
IF(H2058="","Sin registro","En programación Frcst."))),"En programación")))),
"Error")</f>
        <v>En programación Frcst.</v>
      </c>
      <c r="Q2058" s="9" t="str">
        <f t="shared" si="99"/>
        <v/>
      </c>
      <c r="R2058" s="25" t="e">
        <f>IF(P2058="En programación Frcst.",VLOOKUP(L2058,Meses!$A$1:$H$14,3+HLOOKUP(Cronograma!J2058,Meses!$D$1:$G$2,2,FALSE),FALSE),
IF(P2058="En programación",M2058,""))</f>
        <v>#N/A</v>
      </c>
      <c r="S2058" s="25" t="str">
        <f t="shared" si="98"/>
        <v/>
      </c>
      <c r="T2058" s="21" t="str">
        <f>IFERROR(
(VLOOKUP(MONTH(R2058),Meses!$B$3:$C$14,2,FALSE)-DAY(R2058))/VLOOKUP(MONTH(R2058),Meses!$B$3:$C$14,2,FALSE)*U2058,
"")</f>
        <v/>
      </c>
      <c r="U2058" s="22">
        <f t="shared" si="100"/>
        <v>0</v>
      </c>
    </row>
    <row r="2059" spans="1:21" ht="31.8" hidden="1" thickBot="1" x14ac:dyDescent="0.6">
      <c r="A2059" s="10" t="s">
        <v>3049</v>
      </c>
      <c r="B2059" s="10" t="s">
        <v>2664</v>
      </c>
      <c r="C2059" s="12">
        <v>45029</v>
      </c>
      <c r="D2059" s="10" t="s">
        <v>323</v>
      </c>
      <c r="E2059" s="10"/>
      <c r="F2059" s="10"/>
      <c r="G2059" s="10" t="s">
        <v>15</v>
      </c>
      <c r="H2059" s="10" t="s">
        <v>17</v>
      </c>
      <c r="I2059" s="10" t="s">
        <v>66</v>
      </c>
      <c r="J2059" s="10"/>
      <c r="K2059" s="10"/>
      <c r="L2059" s="10"/>
      <c r="M2059" s="12"/>
      <c r="N2059" s="10"/>
      <c r="O2059" s="10" t="s">
        <v>2054</v>
      </c>
      <c r="P2059" s="25" t="str">
        <f>IFERROR(
IF(OR(O2059="anulado",O2059="stand by"),CONCATENATE(O2059,": ",H2059),
IF(OR(YEAR(M2059)=2022,YEAR(M2059)=2023),CONCATENATE("Se activó en ",YEAR(M2059)),
IF(AND(OR(O2059="En proceso",O2059="facturando"),AND(J2059="-",M2059="")),"Por revisar",
IF(M2059="",IF(J2059="NUEVAS",CONCATENATE("Estado: ",O2059,", ",J2059),
IF(L2059=Meses!$A$3,"Por revisar",
IF(H2059="","Sin registro","En programación Frcst."))),"En programación")))),
"Error")</f>
        <v>En programación Frcst.</v>
      </c>
      <c r="Q2059" s="9" t="str">
        <f t="shared" si="99"/>
        <v/>
      </c>
      <c r="R2059" s="25" t="e">
        <f>IF(P2059="En programación Frcst.",VLOOKUP(L2059,Meses!$A$1:$H$14,3+HLOOKUP(Cronograma!J2059,Meses!$D$1:$G$2,2,FALSE),FALSE),
IF(P2059="En programación",M2059,""))</f>
        <v>#N/A</v>
      </c>
      <c r="S2059" s="25" t="str">
        <f t="shared" si="98"/>
        <v/>
      </c>
      <c r="T2059" s="21" t="str">
        <f>IFERROR(
(VLOOKUP(MONTH(R2059),Meses!$B$3:$C$14,2,FALSE)-DAY(R2059))/VLOOKUP(MONTH(R2059),Meses!$B$3:$C$14,2,FALSE)*U2059,
"")</f>
        <v/>
      </c>
      <c r="U2059" s="22">
        <f t="shared" si="100"/>
        <v>0</v>
      </c>
    </row>
    <row r="2060" spans="1:21" ht="31.8" hidden="1" thickBot="1" x14ac:dyDescent="0.6">
      <c r="A2060" s="10" t="s">
        <v>3050</v>
      </c>
      <c r="B2060" s="10" t="s">
        <v>2665</v>
      </c>
      <c r="C2060" s="12">
        <v>45029</v>
      </c>
      <c r="D2060" s="10" t="s">
        <v>323</v>
      </c>
      <c r="E2060" s="10"/>
      <c r="F2060" s="10"/>
      <c r="G2060" s="10" t="s">
        <v>15</v>
      </c>
      <c r="H2060" s="10" t="s">
        <v>17</v>
      </c>
      <c r="I2060" s="10" t="s">
        <v>66</v>
      </c>
      <c r="J2060" s="10"/>
      <c r="K2060" s="10"/>
      <c r="L2060" s="10"/>
      <c r="M2060" s="12"/>
      <c r="N2060" s="10"/>
      <c r="O2060" s="10" t="s">
        <v>2054</v>
      </c>
      <c r="P2060" s="25" t="str">
        <f>IFERROR(
IF(OR(O2060="anulado",O2060="stand by"),CONCATENATE(O2060,": ",H2060),
IF(OR(YEAR(M2060)=2022,YEAR(M2060)=2023),CONCATENATE("Se activó en ",YEAR(M2060)),
IF(AND(OR(O2060="En proceso",O2060="facturando"),AND(J2060="-",M2060="")),"Por revisar",
IF(M2060="",IF(J2060="NUEVAS",CONCATENATE("Estado: ",O2060,", ",J2060),
IF(L2060=Meses!$A$3,"Por revisar",
IF(H2060="","Sin registro","En programación Frcst."))),"En programación")))),
"Error")</f>
        <v>En programación Frcst.</v>
      </c>
      <c r="Q2060" s="9" t="str">
        <f t="shared" si="99"/>
        <v/>
      </c>
      <c r="R2060" s="25" t="e">
        <f>IF(P2060="En programación Frcst.",VLOOKUP(L2060,Meses!$A$1:$H$14,3+HLOOKUP(Cronograma!J2060,Meses!$D$1:$G$2,2,FALSE),FALSE),
IF(P2060="En programación",M2060,""))</f>
        <v>#N/A</v>
      </c>
      <c r="S2060" s="25" t="str">
        <f t="shared" si="98"/>
        <v/>
      </c>
      <c r="T2060" s="21" t="str">
        <f>IFERROR(
(VLOOKUP(MONTH(R2060),Meses!$B$3:$C$14,2,FALSE)-DAY(R2060))/VLOOKUP(MONTH(R2060),Meses!$B$3:$C$14,2,FALSE)*U2060,
"")</f>
        <v/>
      </c>
      <c r="U2060" s="22">
        <f t="shared" si="100"/>
        <v>0</v>
      </c>
    </row>
    <row r="2061" spans="1:21" ht="31.8" hidden="1" thickBot="1" x14ac:dyDescent="0.6">
      <c r="A2061" s="10" t="s">
        <v>3051</v>
      </c>
      <c r="B2061" s="10" t="s">
        <v>2666</v>
      </c>
      <c r="C2061" s="12">
        <v>45029</v>
      </c>
      <c r="D2061" s="10" t="s">
        <v>323</v>
      </c>
      <c r="E2061" s="10" t="s">
        <v>289</v>
      </c>
      <c r="F2061" s="10"/>
      <c r="G2061" s="10" t="s">
        <v>15</v>
      </c>
      <c r="H2061" s="10" t="s">
        <v>17</v>
      </c>
      <c r="I2061" s="10" t="s">
        <v>66</v>
      </c>
      <c r="J2061" s="10"/>
      <c r="K2061" s="10"/>
      <c r="L2061" s="10"/>
      <c r="M2061" s="12"/>
      <c r="N2061" s="10"/>
      <c r="O2061" s="10" t="s">
        <v>2054</v>
      </c>
      <c r="P2061" s="25" t="str">
        <f>IFERROR(
IF(OR(O2061="anulado",O2061="stand by"),CONCATENATE(O2061,": ",H2061),
IF(OR(YEAR(M2061)=2022,YEAR(M2061)=2023),CONCATENATE("Se activó en ",YEAR(M2061)),
IF(AND(OR(O2061="En proceso",O2061="facturando"),AND(J2061="-",M2061="")),"Por revisar",
IF(M2061="",IF(J2061="NUEVAS",CONCATENATE("Estado: ",O2061,", ",J2061),
IF(L2061=Meses!$A$3,"Por revisar",
IF(H2061="","Sin registro","En programación Frcst."))),"En programación")))),
"Error")</f>
        <v>En programación Frcst.</v>
      </c>
      <c r="Q2061" s="9" t="str">
        <f t="shared" si="99"/>
        <v/>
      </c>
      <c r="R2061" s="25" t="e">
        <f>IF(P2061="En programación Frcst.",VLOOKUP(L2061,Meses!$A$1:$H$14,3+HLOOKUP(Cronograma!J2061,Meses!$D$1:$G$2,2,FALSE),FALSE),
IF(P2061="En programación",M2061,""))</f>
        <v>#N/A</v>
      </c>
      <c r="S2061" s="25" t="str">
        <f t="shared" si="98"/>
        <v/>
      </c>
      <c r="T2061" s="21" t="str">
        <f>IFERROR(
(VLOOKUP(MONTH(R2061),Meses!$B$3:$C$14,2,FALSE)-DAY(R2061))/VLOOKUP(MONTH(R2061),Meses!$B$3:$C$14,2,FALSE)*U2061,
"")</f>
        <v/>
      </c>
      <c r="U2061" s="22">
        <f t="shared" si="100"/>
        <v>0</v>
      </c>
    </row>
    <row r="2062" spans="1:21" ht="47.4" hidden="1" thickBot="1" x14ac:dyDescent="0.6">
      <c r="A2062" s="10" t="s">
        <v>3052</v>
      </c>
      <c r="B2062" s="10" t="s">
        <v>2667</v>
      </c>
      <c r="C2062" s="12">
        <v>45029</v>
      </c>
      <c r="D2062" s="10" t="s">
        <v>323</v>
      </c>
      <c r="E2062" s="10" t="s">
        <v>23</v>
      </c>
      <c r="F2062" s="10"/>
      <c r="G2062" s="10" t="s">
        <v>15</v>
      </c>
      <c r="H2062" s="10" t="s">
        <v>17</v>
      </c>
      <c r="I2062" s="10" t="s">
        <v>66</v>
      </c>
      <c r="J2062" s="10"/>
      <c r="K2062" s="10"/>
      <c r="L2062" s="10"/>
      <c r="M2062" s="12"/>
      <c r="N2062" s="10"/>
      <c r="O2062" s="10" t="s">
        <v>2054</v>
      </c>
      <c r="P2062" s="25" t="str">
        <f>IFERROR(
IF(OR(O2062="anulado",O2062="stand by"),CONCATENATE(O2062,": ",H2062),
IF(OR(YEAR(M2062)=2022,YEAR(M2062)=2023),CONCATENATE("Se activó en ",YEAR(M2062)),
IF(AND(OR(O2062="En proceso",O2062="facturando"),AND(J2062="-",M2062="")),"Por revisar",
IF(M2062="",IF(J2062="NUEVAS",CONCATENATE("Estado: ",O2062,", ",J2062),
IF(L2062=Meses!$A$3,"Por revisar",
IF(H2062="","Sin registro","En programación Frcst."))),"En programación")))),
"Error")</f>
        <v>En programación Frcst.</v>
      </c>
      <c r="Q2062" s="9" t="str">
        <f t="shared" si="99"/>
        <v/>
      </c>
      <c r="R2062" s="25" t="e">
        <f>IF(P2062="En programación Frcst.",VLOOKUP(L2062,Meses!$A$1:$H$14,3+HLOOKUP(Cronograma!J2062,Meses!$D$1:$G$2,2,FALSE),FALSE),
IF(P2062="En programación",M2062,""))</f>
        <v>#N/A</v>
      </c>
      <c r="S2062" s="25" t="str">
        <f t="shared" si="98"/>
        <v/>
      </c>
      <c r="T2062" s="21" t="str">
        <f>IFERROR(
(VLOOKUP(MONTH(R2062),Meses!$B$3:$C$14,2,FALSE)-DAY(R2062))/VLOOKUP(MONTH(R2062),Meses!$B$3:$C$14,2,FALSE)*U2062,
"")</f>
        <v/>
      </c>
      <c r="U2062" s="22">
        <f t="shared" si="100"/>
        <v>0</v>
      </c>
    </row>
    <row r="2063" spans="1:21" ht="31.8" hidden="1" thickBot="1" x14ac:dyDescent="0.6">
      <c r="A2063" s="10" t="s">
        <v>3053</v>
      </c>
      <c r="B2063" s="10" t="s">
        <v>2668</v>
      </c>
      <c r="C2063" s="12">
        <v>45029</v>
      </c>
      <c r="D2063" s="10" t="s">
        <v>323</v>
      </c>
      <c r="E2063" s="10" t="s">
        <v>959</v>
      </c>
      <c r="F2063" s="10"/>
      <c r="G2063" s="10" t="s">
        <v>15</v>
      </c>
      <c r="H2063" s="10" t="s">
        <v>17</v>
      </c>
      <c r="I2063" s="10" t="s">
        <v>66</v>
      </c>
      <c r="J2063" s="10"/>
      <c r="K2063" s="10"/>
      <c r="L2063" s="10"/>
      <c r="M2063" s="12"/>
      <c r="N2063" s="10"/>
      <c r="O2063" s="10" t="s">
        <v>2054</v>
      </c>
      <c r="P2063" s="25" t="str">
        <f>IFERROR(
IF(OR(O2063="anulado",O2063="stand by"),CONCATENATE(O2063,": ",H2063),
IF(OR(YEAR(M2063)=2022,YEAR(M2063)=2023),CONCATENATE("Se activó en ",YEAR(M2063)),
IF(AND(OR(O2063="En proceso",O2063="facturando"),AND(J2063="-",M2063="")),"Por revisar",
IF(M2063="",IF(J2063="NUEVAS",CONCATENATE("Estado: ",O2063,", ",J2063),
IF(L2063=Meses!$A$3,"Por revisar",
IF(H2063="","Sin registro","En programación Frcst."))),"En programación")))),
"Error")</f>
        <v>En programación Frcst.</v>
      </c>
      <c r="Q2063" s="9" t="str">
        <f t="shared" si="99"/>
        <v/>
      </c>
      <c r="R2063" s="25" t="e">
        <f>IF(P2063="En programación Frcst.",VLOOKUP(L2063,Meses!$A$1:$H$14,3+HLOOKUP(Cronograma!J2063,Meses!$D$1:$G$2,2,FALSE),FALSE),
IF(P2063="En programación",M2063,""))</f>
        <v>#N/A</v>
      </c>
      <c r="S2063" s="25" t="str">
        <f t="shared" si="98"/>
        <v/>
      </c>
      <c r="T2063" s="21" t="str">
        <f>IFERROR(
(VLOOKUP(MONTH(R2063),Meses!$B$3:$C$14,2,FALSE)-DAY(R2063))/VLOOKUP(MONTH(R2063),Meses!$B$3:$C$14,2,FALSE)*U2063,
"")</f>
        <v/>
      </c>
      <c r="U2063" s="22">
        <f t="shared" si="100"/>
        <v>0</v>
      </c>
    </row>
    <row r="2064" spans="1:21" ht="31.8" hidden="1" thickBot="1" x14ac:dyDescent="0.6">
      <c r="A2064" s="10" t="s">
        <v>3054</v>
      </c>
      <c r="B2064" s="10" t="s">
        <v>2669</v>
      </c>
      <c r="C2064" s="12">
        <v>45029</v>
      </c>
      <c r="D2064" s="10" t="s">
        <v>323</v>
      </c>
      <c r="E2064" s="10" t="s">
        <v>959</v>
      </c>
      <c r="F2064" s="10"/>
      <c r="G2064" s="10" t="s">
        <v>15</v>
      </c>
      <c r="H2064" s="10" t="s">
        <v>17</v>
      </c>
      <c r="I2064" s="10" t="s">
        <v>66</v>
      </c>
      <c r="J2064" s="10"/>
      <c r="K2064" s="10"/>
      <c r="L2064" s="10"/>
      <c r="M2064" s="12"/>
      <c r="N2064" s="10"/>
      <c r="O2064" s="10" t="s">
        <v>2054</v>
      </c>
      <c r="P2064" s="25" t="str">
        <f>IFERROR(
IF(OR(O2064="anulado",O2064="stand by"),CONCATENATE(O2064,": ",H2064),
IF(OR(YEAR(M2064)=2022,YEAR(M2064)=2023),CONCATENATE("Se activó en ",YEAR(M2064)),
IF(AND(OR(O2064="En proceso",O2064="facturando"),AND(J2064="-",M2064="")),"Por revisar",
IF(M2064="",IF(J2064="NUEVAS",CONCATENATE("Estado: ",O2064,", ",J2064),
IF(L2064=Meses!$A$3,"Por revisar",
IF(H2064="","Sin registro","En programación Frcst."))),"En programación")))),
"Error")</f>
        <v>En programación Frcst.</v>
      </c>
      <c r="Q2064" s="9" t="str">
        <f t="shared" si="99"/>
        <v/>
      </c>
      <c r="R2064" s="25" t="e">
        <f>IF(P2064="En programación Frcst.",VLOOKUP(L2064,Meses!$A$1:$H$14,3+HLOOKUP(Cronograma!J2064,Meses!$D$1:$G$2,2,FALSE),FALSE),
IF(P2064="En programación",M2064,""))</f>
        <v>#N/A</v>
      </c>
      <c r="S2064" s="25" t="str">
        <f t="shared" si="98"/>
        <v/>
      </c>
      <c r="T2064" s="21" t="str">
        <f>IFERROR(
(VLOOKUP(MONTH(R2064),Meses!$B$3:$C$14,2,FALSE)-DAY(R2064))/VLOOKUP(MONTH(R2064),Meses!$B$3:$C$14,2,FALSE)*U2064,
"")</f>
        <v/>
      </c>
      <c r="U2064" s="22">
        <f t="shared" si="100"/>
        <v>0</v>
      </c>
    </row>
    <row r="2065" spans="1:21" ht="31.8" hidden="1" thickBot="1" x14ac:dyDescent="0.6">
      <c r="A2065" s="10" t="s">
        <v>3055</v>
      </c>
      <c r="B2065" s="10" t="s">
        <v>2670</v>
      </c>
      <c r="C2065" s="12">
        <v>45029</v>
      </c>
      <c r="D2065" s="10" t="s">
        <v>323</v>
      </c>
      <c r="E2065" s="10" t="s">
        <v>291</v>
      </c>
      <c r="F2065" s="10"/>
      <c r="G2065" s="10" t="s">
        <v>15</v>
      </c>
      <c r="H2065" s="10" t="s">
        <v>17</v>
      </c>
      <c r="I2065" s="10" t="s">
        <v>66</v>
      </c>
      <c r="J2065" s="10"/>
      <c r="K2065" s="10"/>
      <c r="L2065" s="10"/>
      <c r="M2065" s="12"/>
      <c r="N2065" s="10"/>
      <c r="O2065" s="10" t="s">
        <v>2054</v>
      </c>
      <c r="P2065" s="25" t="str">
        <f>IFERROR(
IF(OR(O2065="anulado",O2065="stand by"),CONCATENATE(O2065,": ",H2065),
IF(OR(YEAR(M2065)=2022,YEAR(M2065)=2023),CONCATENATE("Se activó en ",YEAR(M2065)),
IF(AND(OR(O2065="En proceso",O2065="facturando"),AND(J2065="-",M2065="")),"Por revisar",
IF(M2065="",IF(J2065="NUEVAS",CONCATENATE("Estado: ",O2065,", ",J2065),
IF(L2065=Meses!$A$3,"Por revisar",
IF(H2065="","Sin registro","En programación Frcst."))),"En programación")))),
"Error")</f>
        <v>En programación Frcst.</v>
      </c>
      <c r="Q2065" s="9" t="str">
        <f t="shared" si="99"/>
        <v/>
      </c>
      <c r="R2065" s="25" t="e">
        <f>IF(P2065="En programación Frcst.",VLOOKUP(L2065,Meses!$A$1:$H$14,3+HLOOKUP(Cronograma!J2065,Meses!$D$1:$G$2,2,FALSE),FALSE),
IF(P2065="En programación",M2065,""))</f>
        <v>#N/A</v>
      </c>
      <c r="S2065" s="25" t="str">
        <f t="shared" si="98"/>
        <v/>
      </c>
      <c r="T2065" s="21" t="str">
        <f>IFERROR(
(VLOOKUP(MONTH(R2065),Meses!$B$3:$C$14,2,FALSE)-DAY(R2065))/VLOOKUP(MONTH(R2065),Meses!$B$3:$C$14,2,FALSE)*U2065,
"")</f>
        <v/>
      </c>
      <c r="U2065" s="22">
        <f t="shared" si="100"/>
        <v>0</v>
      </c>
    </row>
    <row r="2066" spans="1:21" ht="47.4" hidden="1" thickBot="1" x14ac:dyDescent="0.6">
      <c r="A2066" s="10" t="s">
        <v>3056</v>
      </c>
      <c r="B2066" s="10" t="s">
        <v>2671</v>
      </c>
      <c r="C2066" s="12">
        <v>45029</v>
      </c>
      <c r="D2066" s="10" t="s">
        <v>323</v>
      </c>
      <c r="E2066" s="10" t="s">
        <v>291</v>
      </c>
      <c r="F2066" s="10"/>
      <c r="G2066" s="10" t="s">
        <v>15</v>
      </c>
      <c r="H2066" s="10" t="s">
        <v>17</v>
      </c>
      <c r="I2066" s="10" t="s">
        <v>66</v>
      </c>
      <c r="J2066" s="10"/>
      <c r="K2066" s="10"/>
      <c r="L2066" s="10"/>
      <c r="M2066" s="12"/>
      <c r="N2066" s="10"/>
      <c r="O2066" s="10" t="s">
        <v>2054</v>
      </c>
      <c r="P2066" s="25" t="str">
        <f>IFERROR(
IF(OR(O2066="anulado",O2066="stand by"),CONCATENATE(O2066,": ",H2066),
IF(OR(YEAR(M2066)=2022,YEAR(M2066)=2023),CONCATENATE("Se activó en ",YEAR(M2066)),
IF(AND(OR(O2066="En proceso",O2066="facturando"),AND(J2066="-",M2066="")),"Por revisar",
IF(M2066="",IF(J2066="NUEVAS",CONCATENATE("Estado: ",O2066,", ",J2066),
IF(L2066=Meses!$A$3,"Por revisar",
IF(H2066="","Sin registro","En programación Frcst."))),"En programación")))),
"Error")</f>
        <v>En programación Frcst.</v>
      </c>
      <c r="Q2066" s="9" t="str">
        <f t="shared" si="99"/>
        <v/>
      </c>
      <c r="R2066" s="25" t="e">
        <f>IF(P2066="En programación Frcst.",VLOOKUP(L2066,Meses!$A$1:$H$14,3+HLOOKUP(Cronograma!J2066,Meses!$D$1:$G$2,2,FALSE),FALSE),
IF(P2066="En programación",M2066,""))</f>
        <v>#N/A</v>
      </c>
      <c r="S2066" s="25" t="str">
        <f t="shared" si="98"/>
        <v/>
      </c>
      <c r="T2066" s="21" t="str">
        <f>IFERROR(
(VLOOKUP(MONTH(R2066),Meses!$B$3:$C$14,2,FALSE)-DAY(R2066))/VLOOKUP(MONTH(R2066),Meses!$B$3:$C$14,2,FALSE)*U2066,
"")</f>
        <v/>
      </c>
      <c r="U2066" s="22">
        <f t="shared" si="100"/>
        <v>0</v>
      </c>
    </row>
    <row r="2067" spans="1:21" ht="47.4" hidden="1" thickBot="1" x14ac:dyDescent="0.6">
      <c r="A2067" s="10" t="s">
        <v>3057</v>
      </c>
      <c r="B2067" s="10" t="s">
        <v>2672</v>
      </c>
      <c r="C2067" s="12">
        <v>45029</v>
      </c>
      <c r="D2067" s="10" t="s">
        <v>323</v>
      </c>
      <c r="E2067" s="10" t="s">
        <v>291</v>
      </c>
      <c r="F2067" s="10"/>
      <c r="G2067" s="10" t="s">
        <v>15</v>
      </c>
      <c r="H2067" s="10" t="s">
        <v>17</v>
      </c>
      <c r="I2067" s="10" t="s">
        <v>66</v>
      </c>
      <c r="J2067" s="10"/>
      <c r="K2067" s="10"/>
      <c r="L2067" s="10"/>
      <c r="M2067" s="12"/>
      <c r="N2067" s="10"/>
      <c r="O2067" s="10" t="s">
        <v>2054</v>
      </c>
      <c r="P2067" s="25" t="str">
        <f>IFERROR(
IF(OR(O2067="anulado",O2067="stand by"),CONCATENATE(O2067,": ",H2067),
IF(OR(YEAR(M2067)=2022,YEAR(M2067)=2023),CONCATENATE("Se activó en ",YEAR(M2067)),
IF(AND(OR(O2067="En proceso",O2067="facturando"),AND(J2067="-",M2067="")),"Por revisar",
IF(M2067="",IF(J2067="NUEVAS",CONCATENATE("Estado: ",O2067,", ",J2067),
IF(L2067=Meses!$A$3,"Por revisar",
IF(H2067="","Sin registro","En programación Frcst."))),"En programación")))),
"Error")</f>
        <v>En programación Frcst.</v>
      </c>
      <c r="Q2067" s="9" t="str">
        <f t="shared" si="99"/>
        <v/>
      </c>
      <c r="R2067" s="25" t="e">
        <f>IF(P2067="En programación Frcst.",VLOOKUP(L2067,Meses!$A$1:$H$14,3+HLOOKUP(Cronograma!J2067,Meses!$D$1:$G$2,2,FALSE),FALSE),
IF(P2067="En programación",M2067,""))</f>
        <v>#N/A</v>
      </c>
      <c r="S2067" s="25" t="str">
        <f t="shared" si="98"/>
        <v/>
      </c>
      <c r="T2067" s="21" t="str">
        <f>IFERROR(
(VLOOKUP(MONTH(R2067),Meses!$B$3:$C$14,2,FALSE)-DAY(R2067))/VLOOKUP(MONTH(R2067),Meses!$B$3:$C$14,2,FALSE)*U2067,
"")</f>
        <v/>
      </c>
      <c r="U2067" s="22">
        <f t="shared" si="100"/>
        <v>0</v>
      </c>
    </row>
    <row r="2068" spans="1:21" ht="78.599999999999994" hidden="1" thickBot="1" x14ac:dyDescent="0.6">
      <c r="A2068" s="10" t="s">
        <v>3058</v>
      </c>
      <c r="B2068" s="10" t="s">
        <v>2673</v>
      </c>
      <c r="C2068" s="12">
        <v>45029</v>
      </c>
      <c r="D2068" s="10" t="s">
        <v>323</v>
      </c>
      <c r="E2068" s="10" t="s">
        <v>291</v>
      </c>
      <c r="F2068" s="10"/>
      <c r="G2068" s="10" t="s">
        <v>15</v>
      </c>
      <c r="H2068" s="10" t="s">
        <v>17</v>
      </c>
      <c r="I2068" s="10" t="s">
        <v>66</v>
      </c>
      <c r="J2068" s="10"/>
      <c r="K2068" s="10"/>
      <c r="L2068" s="10"/>
      <c r="M2068" s="12"/>
      <c r="N2068" s="10"/>
      <c r="O2068" s="10" t="s">
        <v>2054</v>
      </c>
      <c r="P2068" s="25" t="str">
        <f>IFERROR(
IF(OR(O2068="anulado",O2068="stand by"),CONCATENATE(O2068,": ",H2068),
IF(OR(YEAR(M2068)=2022,YEAR(M2068)=2023),CONCATENATE("Se activó en ",YEAR(M2068)),
IF(AND(OR(O2068="En proceso",O2068="facturando"),AND(J2068="-",M2068="")),"Por revisar",
IF(M2068="",IF(J2068="NUEVAS",CONCATENATE("Estado: ",O2068,", ",J2068),
IF(L2068=Meses!$A$3,"Por revisar",
IF(H2068="","Sin registro","En programación Frcst."))),"En programación")))),
"Error")</f>
        <v>En programación Frcst.</v>
      </c>
      <c r="Q2068" s="9" t="str">
        <f t="shared" si="99"/>
        <v/>
      </c>
      <c r="R2068" s="25" t="e">
        <f>IF(P2068="En programación Frcst.",VLOOKUP(L2068,Meses!$A$1:$H$14,3+HLOOKUP(Cronograma!J2068,Meses!$D$1:$G$2,2,FALSE),FALSE),
IF(P2068="En programación",M2068,""))</f>
        <v>#N/A</v>
      </c>
      <c r="S2068" s="25" t="str">
        <f t="shared" si="98"/>
        <v/>
      </c>
      <c r="T2068" s="21" t="str">
        <f>IFERROR(
(VLOOKUP(MONTH(R2068),Meses!$B$3:$C$14,2,FALSE)-DAY(R2068))/VLOOKUP(MONTH(R2068),Meses!$B$3:$C$14,2,FALSE)*U2068,
"")</f>
        <v/>
      </c>
      <c r="U2068" s="22">
        <f t="shared" si="100"/>
        <v>0</v>
      </c>
    </row>
    <row r="2069" spans="1:21" ht="31.8" hidden="1" thickBot="1" x14ac:dyDescent="0.6">
      <c r="A2069" s="10" t="s">
        <v>3059</v>
      </c>
      <c r="B2069" s="10" t="s">
        <v>2674</v>
      </c>
      <c r="C2069" s="12">
        <v>45029</v>
      </c>
      <c r="D2069" s="10" t="s">
        <v>323</v>
      </c>
      <c r="E2069" s="10" t="s">
        <v>23</v>
      </c>
      <c r="F2069" s="10"/>
      <c r="G2069" s="10" t="s">
        <v>15</v>
      </c>
      <c r="H2069" s="10" t="s">
        <v>17</v>
      </c>
      <c r="I2069" s="10" t="s">
        <v>66</v>
      </c>
      <c r="J2069" s="10"/>
      <c r="K2069" s="10"/>
      <c r="L2069" s="10"/>
      <c r="M2069" s="12"/>
      <c r="N2069" s="10"/>
      <c r="O2069" s="10" t="s">
        <v>2054</v>
      </c>
      <c r="P2069" s="25" t="str">
        <f>IFERROR(
IF(OR(O2069="anulado",O2069="stand by"),CONCATENATE(O2069,": ",H2069),
IF(OR(YEAR(M2069)=2022,YEAR(M2069)=2023),CONCATENATE("Se activó en ",YEAR(M2069)),
IF(AND(OR(O2069="En proceso",O2069="facturando"),AND(J2069="-",M2069="")),"Por revisar",
IF(M2069="",IF(J2069="NUEVAS",CONCATENATE("Estado: ",O2069,", ",J2069),
IF(L2069=Meses!$A$3,"Por revisar",
IF(H2069="","Sin registro","En programación Frcst."))),"En programación")))),
"Error")</f>
        <v>En programación Frcst.</v>
      </c>
      <c r="Q2069" s="9" t="str">
        <f t="shared" si="99"/>
        <v/>
      </c>
      <c r="R2069" s="25" t="e">
        <f>IF(P2069="En programación Frcst.",VLOOKUP(L2069,Meses!$A$1:$H$14,3+HLOOKUP(Cronograma!J2069,Meses!$D$1:$G$2,2,FALSE),FALSE),
IF(P2069="En programación",M2069,""))</f>
        <v>#N/A</v>
      </c>
      <c r="S2069" s="25" t="str">
        <f t="shared" si="98"/>
        <v/>
      </c>
      <c r="T2069" s="21" t="str">
        <f>IFERROR(
(VLOOKUP(MONTH(R2069),Meses!$B$3:$C$14,2,FALSE)-DAY(R2069))/VLOOKUP(MONTH(R2069),Meses!$B$3:$C$14,2,FALSE)*U2069,
"")</f>
        <v/>
      </c>
      <c r="U2069" s="22">
        <f t="shared" si="100"/>
        <v>0</v>
      </c>
    </row>
    <row r="2070" spans="1:21" ht="31.8" hidden="1" thickBot="1" x14ac:dyDescent="0.6">
      <c r="A2070" s="10" t="s">
        <v>3059</v>
      </c>
      <c r="B2070" s="10" t="s">
        <v>2675</v>
      </c>
      <c r="C2070" s="12">
        <v>45029</v>
      </c>
      <c r="D2070" s="10" t="s">
        <v>323</v>
      </c>
      <c r="E2070" s="10" t="s">
        <v>23</v>
      </c>
      <c r="F2070" s="10"/>
      <c r="G2070" s="10" t="s">
        <v>15</v>
      </c>
      <c r="H2070" s="10" t="s">
        <v>17</v>
      </c>
      <c r="I2070" s="10" t="s">
        <v>66</v>
      </c>
      <c r="J2070" s="10"/>
      <c r="K2070" s="10"/>
      <c r="L2070" s="10"/>
      <c r="M2070" s="12"/>
      <c r="N2070" s="10"/>
      <c r="O2070" s="10" t="s">
        <v>2054</v>
      </c>
      <c r="P2070" s="25" t="str">
        <f>IFERROR(
IF(OR(O2070="anulado",O2070="stand by"),CONCATENATE(O2070,": ",H2070),
IF(OR(YEAR(M2070)=2022,YEAR(M2070)=2023),CONCATENATE("Se activó en ",YEAR(M2070)),
IF(AND(OR(O2070="En proceso",O2070="facturando"),AND(J2070="-",M2070="")),"Por revisar",
IF(M2070="",IF(J2070="NUEVAS",CONCATENATE("Estado: ",O2070,", ",J2070),
IF(L2070=Meses!$A$3,"Por revisar",
IF(H2070="","Sin registro","En programación Frcst."))),"En programación")))),
"Error")</f>
        <v>En programación Frcst.</v>
      </c>
      <c r="Q2070" s="9" t="str">
        <f t="shared" si="99"/>
        <v/>
      </c>
      <c r="R2070" s="25" t="e">
        <f>IF(P2070="En programación Frcst.",VLOOKUP(L2070,Meses!$A$1:$H$14,3+HLOOKUP(Cronograma!J2070,Meses!$D$1:$G$2,2,FALSE),FALSE),
IF(P2070="En programación",M2070,""))</f>
        <v>#N/A</v>
      </c>
      <c r="S2070" s="25" t="str">
        <f t="shared" si="98"/>
        <v/>
      </c>
      <c r="T2070" s="21" t="str">
        <f>IFERROR(
(VLOOKUP(MONTH(R2070),Meses!$B$3:$C$14,2,FALSE)-DAY(R2070))/VLOOKUP(MONTH(R2070),Meses!$B$3:$C$14,2,FALSE)*U2070,
"")</f>
        <v/>
      </c>
      <c r="U2070" s="22">
        <f t="shared" si="100"/>
        <v>0</v>
      </c>
    </row>
    <row r="2071" spans="1:21" ht="31.8" hidden="1" thickBot="1" x14ac:dyDescent="0.6">
      <c r="A2071" s="10" t="s">
        <v>3059</v>
      </c>
      <c r="B2071" s="10" t="s">
        <v>2676</v>
      </c>
      <c r="C2071" s="12">
        <v>45029</v>
      </c>
      <c r="D2071" s="10" t="s">
        <v>323</v>
      </c>
      <c r="E2071" s="10"/>
      <c r="F2071" s="10"/>
      <c r="G2071" s="10" t="s">
        <v>15</v>
      </c>
      <c r="H2071" s="10" t="s">
        <v>17</v>
      </c>
      <c r="I2071" s="10" t="s">
        <v>66</v>
      </c>
      <c r="J2071" s="10"/>
      <c r="K2071" s="10"/>
      <c r="L2071" s="10"/>
      <c r="M2071" s="12"/>
      <c r="N2071" s="10"/>
      <c r="O2071" s="10" t="s">
        <v>2054</v>
      </c>
      <c r="P2071" s="25" t="str">
        <f>IFERROR(
IF(OR(O2071="anulado",O2071="stand by"),CONCATENATE(O2071,": ",H2071),
IF(OR(YEAR(M2071)=2022,YEAR(M2071)=2023),CONCATENATE("Se activó en ",YEAR(M2071)),
IF(AND(OR(O2071="En proceso",O2071="facturando"),AND(J2071="-",M2071="")),"Por revisar",
IF(M2071="",IF(J2071="NUEVAS",CONCATENATE("Estado: ",O2071,", ",J2071),
IF(L2071=Meses!$A$3,"Por revisar",
IF(H2071="","Sin registro","En programación Frcst."))),"En programación")))),
"Error")</f>
        <v>En programación Frcst.</v>
      </c>
      <c r="Q2071" s="9" t="str">
        <f t="shared" si="99"/>
        <v/>
      </c>
      <c r="R2071" s="25" t="e">
        <f>IF(P2071="En programación Frcst.",VLOOKUP(L2071,Meses!$A$1:$H$14,3+HLOOKUP(Cronograma!J2071,Meses!$D$1:$G$2,2,FALSE),FALSE),
IF(P2071="En programación",M2071,""))</f>
        <v>#N/A</v>
      </c>
      <c r="S2071" s="25" t="str">
        <f t="shared" si="98"/>
        <v/>
      </c>
      <c r="T2071" s="21" t="str">
        <f>IFERROR(
(VLOOKUP(MONTH(R2071),Meses!$B$3:$C$14,2,FALSE)-DAY(R2071))/VLOOKUP(MONTH(R2071),Meses!$B$3:$C$14,2,FALSE)*U2071,
"")</f>
        <v/>
      </c>
      <c r="U2071" s="22">
        <f t="shared" si="100"/>
        <v>0</v>
      </c>
    </row>
    <row r="2072" spans="1:21" ht="78.599999999999994" hidden="1" thickBot="1" x14ac:dyDescent="0.6">
      <c r="A2072" s="10" t="s">
        <v>3060</v>
      </c>
      <c r="B2072" s="10" t="s">
        <v>2677</v>
      </c>
      <c r="C2072" s="12">
        <v>45029</v>
      </c>
      <c r="D2072" s="10" t="s">
        <v>323</v>
      </c>
      <c r="E2072" s="10" t="s">
        <v>14</v>
      </c>
      <c r="F2072" s="10"/>
      <c r="G2072" s="10" t="s">
        <v>15</v>
      </c>
      <c r="H2072" s="10" t="s">
        <v>17</v>
      </c>
      <c r="I2072" s="10" t="s">
        <v>66</v>
      </c>
      <c r="J2072" s="10"/>
      <c r="K2072" s="10"/>
      <c r="L2072" s="10"/>
      <c r="M2072" s="12"/>
      <c r="N2072" s="10"/>
      <c r="O2072" s="10" t="s">
        <v>2054</v>
      </c>
      <c r="P2072" s="25" t="str">
        <f>IFERROR(
IF(OR(O2072="anulado",O2072="stand by"),CONCATENATE(O2072,": ",H2072),
IF(OR(YEAR(M2072)=2022,YEAR(M2072)=2023),CONCATENATE("Se activó en ",YEAR(M2072)),
IF(AND(OR(O2072="En proceso",O2072="facturando"),AND(J2072="-",M2072="")),"Por revisar",
IF(M2072="",IF(J2072="NUEVAS",CONCATENATE("Estado: ",O2072,", ",J2072),
IF(L2072=Meses!$A$3,"Por revisar",
IF(H2072="","Sin registro","En programación Frcst."))),"En programación")))),
"Error")</f>
        <v>En programación Frcst.</v>
      </c>
      <c r="Q2072" s="9" t="str">
        <f t="shared" si="99"/>
        <v/>
      </c>
      <c r="R2072" s="25" t="e">
        <f>IF(P2072="En programación Frcst.",VLOOKUP(L2072,Meses!$A$1:$H$14,3+HLOOKUP(Cronograma!J2072,Meses!$D$1:$G$2,2,FALSE),FALSE),
IF(P2072="En programación",M2072,""))</f>
        <v>#N/A</v>
      </c>
      <c r="S2072" s="25" t="str">
        <f t="shared" si="98"/>
        <v/>
      </c>
      <c r="T2072" s="21" t="str">
        <f>IFERROR(
(VLOOKUP(MONTH(R2072),Meses!$B$3:$C$14,2,FALSE)-DAY(R2072))/VLOOKUP(MONTH(R2072),Meses!$B$3:$C$14,2,FALSE)*U2072,
"")</f>
        <v/>
      </c>
      <c r="U2072" s="22">
        <f t="shared" si="100"/>
        <v>0</v>
      </c>
    </row>
    <row r="2073" spans="1:21" ht="63" hidden="1" thickBot="1" x14ac:dyDescent="0.6">
      <c r="A2073" s="10" t="s">
        <v>3061</v>
      </c>
      <c r="B2073" s="10" t="s">
        <v>2678</v>
      </c>
      <c r="C2073" s="12">
        <v>45029</v>
      </c>
      <c r="D2073" s="10" t="s">
        <v>323</v>
      </c>
      <c r="E2073" s="10" t="s">
        <v>14</v>
      </c>
      <c r="F2073" s="10"/>
      <c r="G2073" s="10" t="s">
        <v>15</v>
      </c>
      <c r="H2073" s="10" t="s">
        <v>17</v>
      </c>
      <c r="I2073" s="10" t="s">
        <v>66</v>
      </c>
      <c r="J2073" s="10"/>
      <c r="K2073" s="10"/>
      <c r="L2073" s="10"/>
      <c r="M2073" s="12"/>
      <c r="N2073" s="10"/>
      <c r="O2073" s="10" t="s">
        <v>2054</v>
      </c>
      <c r="P2073" s="25" t="str">
        <f>IFERROR(
IF(OR(O2073="anulado",O2073="stand by"),CONCATENATE(O2073,": ",H2073),
IF(OR(YEAR(M2073)=2022,YEAR(M2073)=2023),CONCATENATE("Se activó en ",YEAR(M2073)),
IF(AND(OR(O2073="En proceso",O2073="facturando"),AND(J2073="-",M2073="")),"Por revisar",
IF(M2073="",IF(J2073="NUEVAS",CONCATENATE("Estado: ",O2073,", ",J2073),
IF(L2073=Meses!$A$3,"Por revisar",
IF(H2073="","Sin registro","En programación Frcst."))),"En programación")))),
"Error")</f>
        <v>En programación Frcst.</v>
      </c>
      <c r="Q2073" s="9" t="str">
        <f t="shared" si="99"/>
        <v/>
      </c>
      <c r="R2073" s="25" t="e">
        <f>IF(P2073="En programación Frcst.",VLOOKUP(L2073,Meses!$A$1:$H$14,3+HLOOKUP(Cronograma!J2073,Meses!$D$1:$G$2,2,FALSE),FALSE),
IF(P2073="En programación",M2073,""))</f>
        <v>#N/A</v>
      </c>
      <c r="S2073" s="25" t="str">
        <f t="shared" si="98"/>
        <v/>
      </c>
      <c r="T2073" s="21" t="str">
        <f>IFERROR(
(VLOOKUP(MONTH(R2073),Meses!$B$3:$C$14,2,FALSE)-DAY(R2073))/VLOOKUP(MONTH(R2073),Meses!$B$3:$C$14,2,FALSE)*U2073,
"")</f>
        <v/>
      </c>
      <c r="U2073" s="22">
        <f t="shared" si="100"/>
        <v>0</v>
      </c>
    </row>
    <row r="2074" spans="1:21" ht="63" hidden="1" thickBot="1" x14ac:dyDescent="0.6">
      <c r="A2074" s="10" t="s">
        <v>3061</v>
      </c>
      <c r="B2074" s="10" t="s">
        <v>2679</v>
      </c>
      <c r="C2074" s="12">
        <v>45029</v>
      </c>
      <c r="D2074" s="10" t="s">
        <v>323</v>
      </c>
      <c r="E2074" s="10" t="s">
        <v>14</v>
      </c>
      <c r="F2074" s="10"/>
      <c r="G2074" s="10" t="s">
        <v>15</v>
      </c>
      <c r="H2074" s="10" t="s">
        <v>17</v>
      </c>
      <c r="I2074" s="10" t="s">
        <v>66</v>
      </c>
      <c r="J2074" s="10"/>
      <c r="K2074" s="10"/>
      <c r="L2074" s="10"/>
      <c r="M2074" s="12"/>
      <c r="N2074" s="10"/>
      <c r="O2074" s="10" t="s">
        <v>2054</v>
      </c>
      <c r="P2074" s="25" t="str">
        <f>IFERROR(
IF(OR(O2074="anulado",O2074="stand by"),CONCATENATE(O2074,": ",H2074),
IF(OR(YEAR(M2074)=2022,YEAR(M2074)=2023),CONCATENATE("Se activó en ",YEAR(M2074)),
IF(AND(OR(O2074="En proceso",O2074="facturando"),AND(J2074="-",M2074="")),"Por revisar",
IF(M2074="",IF(J2074="NUEVAS",CONCATENATE("Estado: ",O2074,", ",J2074),
IF(L2074=Meses!$A$3,"Por revisar",
IF(H2074="","Sin registro","En programación Frcst."))),"En programación")))),
"Error")</f>
        <v>En programación Frcst.</v>
      </c>
      <c r="Q2074" s="9" t="str">
        <f t="shared" si="99"/>
        <v/>
      </c>
      <c r="R2074" s="25" t="e">
        <f>IF(P2074="En programación Frcst.",VLOOKUP(L2074,Meses!$A$1:$H$14,3+HLOOKUP(Cronograma!J2074,Meses!$D$1:$G$2,2,FALSE),FALSE),
IF(P2074="En programación",M2074,""))</f>
        <v>#N/A</v>
      </c>
      <c r="S2074" s="25" t="str">
        <f t="shared" si="98"/>
        <v/>
      </c>
      <c r="T2074" s="21" t="str">
        <f>IFERROR(
(VLOOKUP(MONTH(R2074),Meses!$B$3:$C$14,2,FALSE)-DAY(R2074))/VLOOKUP(MONTH(R2074),Meses!$B$3:$C$14,2,FALSE)*U2074,
"")</f>
        <v/>
      </c>
      <c r="U2074" s="22">
        <f t="shared" si="100"/>
        <v>0</v>
      </c>
    </row>
    <row r="2075" spans="1:21" ht="31.8" hidden="1" thickBot="1" x14ac:dyDescent="0.6">
      <c r="A2075" s="10" t="s">
        <v>3062</v>
      </c>
      <c r="B2075" s="10" t="s">
        <v>2680</v>
      </c>
      <c r="C2075" s="12">
        <v>45029</v>
      </c>
      <c r="D2075" s="10" t="s">
        <v>323</v>
      </c>
      <c r="E2075" s="10" t="s">
        <v>14</v>
      </c>
      <c r="F2075" s="10"/>
      <c r="G2075" s="10" t="s">
        <v>15</v>
      </c>
      <c r="H2075" s="10" t="s">
        <v>17</v>
      </c>
      <c r="I2075" s="10" t="s">
        <v>66</v>
      </c>
      <c r="J2075" s="10"/>
      <c r="K2075" s="10"/>
      <c r="L2075" s="10"/>
      <c r="M2075" s="12"/>
      <c r="N2075" s="10"/>
      <c r="O2075" s="10" t="s">
        <v>2054</v>
      </c>
      <c r="P2075" s="25" t="str">
        <f>IFERROR(
IF(OR(O2075="anulado",O2075="stand by"),CONCATENATE(O2075,": ",H2075),
IF(OR(YEAR(M2075)=2022,YEAR(M2075)=2023),CONCATENATE("Se activó en ",YEAR(M2075)),
IF(AND(OR(O2075="En proceso",O2075="facturando"),AND(J2075="-",M2075="")),"Por revisar",
IF(M2075="",IF(J2075="NUEVAS",CONCATENATE("Estado: ",O2075,", ",J2075),
IF(L2075=Meses!$A$3,"Por revisar",
IF(H2075="","Sin registro","En programación Frcst."))),"En programación")))),
"Error")</f>
        <v>En programación Frcst.</v>
      </c>
      <c r="Q2075" s="9" t="str">
        <f t="shared" si="99"/>
        <v/>
      </c>
      <c r="R2075" s="25" t="e">
        <f>IF(P2075="En programación Frcst.",VLOOKUP(L2075,Meses!$A$1:$H$14,3+HLOOKUP(Cronograma!J2075,Meses!$D$1:$G$2,2,FALSE),FALSE),
IF(P2075="En programación",M2075,""))</f>
        <v>#N/A</v>
      </c>
      <c r="S2075" s="25" t="str">
        <f t="shared" si="98"/>
        <v/>
      </c>
      <c r="T2075" s="21" t="str">
        <f>IFERROR(
(VLOOKUP(MONTH(R2075),Meses!$B$3:$C$14,2,FALSE)-DAY(R2075))/VLOOKUP(MONTH(R2075),Meses!$B$3:$C$14,2,FALSE)*U2075,
"")</f>
        <v/>
      </c>
      <c r="U2075" s="22">
        <f t="shared" si="100"/>
        <v>0</v>
      </c>
    </row>
    <row r="2076" spans="1:21" ht="31.8" hidden="1" thickBot="1" x14ac:dyDescent="0.6">
      <c r="A2076" s="10" t="s">
        <v>3063</v>
      </c>
      <c r="B2076" s="10" t="s">
        <v>2681</v>
      </c>
      <c r="C2076" s="12">
        <v>45029</v>
      </c>
      <c r="D2076" s="10" t="s">
        <v>323</v>
      </c>
      <c r="E2076" s="10" t="s">
        <v>14</v>
      </c>
      <c r="F2076" s="10"/>
      <c r="G2076" s="10" t="s">
        <v>15</v>
      </c>
      <c r="H2076" s="10" t="s">
        <v>17</v>
      </c>
      <c r="I2076" s="10" t="s">
        <v>66</v>
      </c>
      <c r="J2076" s="10"/>
      <c r="K2076" s="10"/>
      <c r="L2076" s="10"/>
      <c r="M2076" s="12"/>
      <c r="N2076" s="10"/>
      <c r="O2076" s="10" t="s">
        <v>2054</v>
      </c>
      <c r="P2076" s="25" t="str">
        <f>IFERROR(
IF(OR(O2076="anulado",O2076="stand by"),CONCATENATE(O2076,": ",H2076),
IF(OR(YEAR(M2076)=2022,YEAR(M2076)=2023),CONCATENATE("Se activó en ",YEAR(M2076)),
IF(AND(OR(O2076="En proceso",O2076="facturando"),AND(J2076="-",M2076="")),"Por revisar",
IF(M2076="",IF(J2076="NUEVAS",CONCATENATE("Estado: ",O2076,", ",J2076),
IF(L2076=Meses!$A$3,"Por revisar",
IF(H2076="","Sin registro","En programación Frcst."))),"En programación")))),
"Error")</f>
        <v>En programación Frcst.</v>
      </c>
      <c r="Q2076" s="9" t="str">
        <f t="shared" si="99"/>
        <v/>
      </c>
      <c r="R2076" s="25" t="e">
        <f>IF(P2076="En programación Frcst.",VLOOKUP(L2076,Meses!$A$1:$H$14,3+HLOOKUP(Cronograma!J2076,Meses!$D$1:$G$2,2,FALSE),FALSE),
IF(P2076="En programación",M2076,""))</f>
        <v>#N/A</v>
      </c>
      <c r="S2076" s="25" t="str">
        <f t="shared" si="98"/>
        <v/>
      </c>
      <c r="T2076" s="21" t="str">
        <f>IFERROR(
(VLOOKUP(MONTH(R2076),Meses!$B$3:$C$14,2,FALSE)-DAY(R2076))/VLOOKUP(MONTH(R2076),Meses!$B$3:$C$14,2,FALSE)*U2076,
"")</f>
        <v/>
      </c>
      <c r="U2076" s="22">
        <f t="shared" si="100"/>
        <v>0</v>
      </c>
    </row>
    <row r="2077" spans="1:21" ht="31.8" hidden="1" thickBot="1" x14ac:dyDescent="0.6">
      <c r="A2077" s="10" t="s">
        <v>3064</v>
      </c>
      <c r="B2077" s="10" t="s">
        <v>2682</v>
      </c>
      <c r="C2077" s="12">
        <v>45029</v>
      </c>
      <c r="D2077" s="10" t="s">
        <v>323</v>
      </c>
      <c r="E2077" s="10" t="s">
        <v>23</v>
      </c>
      <c r="F2077" s="10"/>
      <c r="G2077" s="10" t="s">
        <v>15</v>
      </c>
      <c r="H2077" s="10" t="s">
        <v>17</v>
      </c>
      <c r="I2077" s="10" t="s">
        <v>66</v>
      </c>
      <c r="J2077" s="10"/>
      <c r="K2077" s="10"/>
      <c r="L2077" s="10"/>
      <c r="M2077" s="12"/>
      <c r="N2077" s="10"/>
      <c r="O2077" s="10" t="s">
        <v>2054</v>
      </c>
      <c r="P2077" s="25" t="str">
        <f>IFERROR(
IF(OR(O2077="anulado",O2077="stand by"),CONCATENATE(O2077,": ",H2077),
IF(OR(YEAR(M2077)=2022,YEAR(M2077)=2023),CONCATENATE("Se activó en ",YEAR(M2077)),
IF(AND(OR(O2077="En proceso",O2077="facturando"),AND(J2077="-",M2077="")),"Por revisar",
IF(M2077="",IF(J2077="NUEVAS",CONCATENATE("Estado: ",O2077,", ",J2077),
IF(L2077=Meses!$A$3,"Por revisar",
IF(H2077="","Sin registro","En programación Frcst."))),"En programación")))),
"Error")</f>
        <v>En programación Frcst.</v>
      </c>
      <c r="Q2077" s="9" t="str">
        <f t="shared" si="99"/>
        <v/>
      </c>
      <c r="R2077" s="25" t="e">
        <f>IF(P2077="En programación Frcst.",VLOOKUP(L2077,Meses!$A$1:$H$14,3+HLOOKUP(Cronograma!J2077,Meses!$D$1:$G$2,2,FALSE),FALSE),
IF(P2077="En programación",M2077,""))</f>
        <v>#N/A</v>
      </c>
      <c r="S2077" s="25" t="str">
        <f t="shared" si="98"/>
        <v/>
      </c>
      <c r="T2077" s="21" t="str">
        <f>IFERROR(
(VLOOKUP(MONTH(R2077),Meses!$B$3:$C$14,2,FALSE)-DAY(R2077))/VLOOKUP(MONTH(R2077),Meses!$B$3:$C$14,2,FALSE)*U2077,
"")</f>
        <v/>
      </c>
      <c r="U2077" s="22">
        <f t="shared" si="100"/>
        <v>0</v>
      </c>
    </row>
    <row r="2078" spans="1:21" ht="63" hidden="1" thickBot="1" x14ac:dyDescent="0.6">
      <c r="A2078" s="10" t="s">
        <v>3065</v>
      </c>
      <c r="B2078" s="10" t="s">
        <v>2683</v>
      </c>
      <c r="C2078" s="12">
        <v>45029</v>
      </c>
      <c r="D2078" s="10" t="s">
        <v>323</v>
      </c>
      <c r="E2078" s="10" t="s">
        <v>289</v>
      </c>
      <c r="F2078" s="10"/>
      <c r="G2078" s="10" t="s">
        <v>15</v>
      </c>
      <c r="H2078" s="10" t="s">
        <v>17</v>
      </c>
      <c r="I2078" s="10" t="s">
        <v>66</v>
      </c>
      <c r="J2078" s="10"/>
      <c r="K2078" s="10"/>
      <c r="L2078" s="10"/>
      <c r="M2078" s="12"/>
      <c r="N2078" s="10"/>
      <c r="O2078" s="10" t="s">
        <v>2054</v>
      </c>
      <c r="P2078" s="25" t="str">
        <f>IFERROR(
IF(OR(O2078="anulado",O2078="stand by"),CONCATENATE(O2078,": ",H2078),
IF(OR(YEAR(M2078)=2022,YEAR(M2078)=2023),CONCATENATE("Se activó en ",YEAR(M2078)),
IF(AND(OR(O2078="En proceso",O2078="facturando"),AND(J2078="-",M2078="")),"Por revisar",
IF(M2078="",IF(J2078="NUEVAS",CONCATENATE("Estado: ",O2078,", ",J2078),
IF(L2078=Meses!$A$3,"Por revisar",
IF(H2078="","Sin registro","En programación Frcst."))),"En programación")))),
"Error")</f>
        <v>En programación Frcst.</v>
      </c>
      <c r="Q2078" s="9" t="str">
        <f t="shared" si="99"/>
        <v/>
      </c>
      <c r="R2078" s="25" t="e">
        <f>IF(P2078="En programación Frcst.",VLOOKUP(L2078,Meses!$A$1:$H$14,3+HLOOKUP(Cronograma!J2078,Meses!$D$1:$G$2,2,FALSE),FALSE),
IF(P2078="En programación",M2078,""))</f>
        <v>#N/A</v>
      </c>
      <c r="S2078" s="25" t="str">
        <f t="shared" si="98"/>
        <v/>
      </c>
      <c r="T2078" s="21" t="str">
        <f>IFERROR(
(VLOOKUP(MONTH(R2078),Meses!$B$3:$C$14,2,FALSE)-DAY(R2078))/VLOOKUP(MONTH(R2078),Meses!$B$3:$C$14,2,FALSE)*U2078,
"")</f>
        <v/>
      </c>
      <c r="U2078" s="22">
        <f t="shared" si="100"/>
        <v>0</v>
      </c>
    </row>
    <row r="2079" spans="1:21" ht="63" hidden="1" thickBot="1" x14ac:dyDescent="0.6">
      <c r="A2079" s="10" t="s">
        <v>3065</v>
      </c>
      <c r="B2079" s="10" t="s">
        <v>2684</v>
      </c>
      <c r="C2079" s="12">
        <v>45029</v>
      </c>
      <c r="D2079" s="10" t="s">
        <v>323</v>
      </c>
      <c r="E2079" s="10" t="s">
        <v>289</v>
      </c>
      <c r="F2079" s="10"/>
      <c r="G2079" s="10" t="s">
        <v>15</v>
      </c>
      <c r="H2079" s="10" t="s">
        <v>17</v>
      </c>
      <c r="I2079" s="10" t="s">
        <v>66</v>
      </c>
      <c r="J2079" s="10"/>
      <c r="K2079" s="10"/>
      <c r="L2079" s="10"/>
      <c r="M2079" s="12"/>
      <c r="N2079" s="10"/>
      <c r="O2079" s="10" t="s">
        <v>2054</v>
      </c>
      <c r="P2079" s="25" t="str">
        <f>IFERROR(
IF(OR(O2079="anulado",O2079="stand by"),CONCATENATE(O2079,": ",H2079),
IF(OR(YEAR(M2079)=2022,YEAR(M2079)=2023),CONCATENATE("Se activó en ",YEAR(M2079)),
IF(AND(OR(O2079="En proceso",O2079="facturando"),AND(J2079="-",M2079="")),"Por revisar",
IF(M2079="",IF(J2079="NUEVAS",CONCATENATE("Estado: ",O2079,", ",J2079),
IF(L2079=Meses!$A$3,"Por revisar",
IF(H2079="","Sin registro","En programación Frcst."))),"En programación")))),
"Error")</f>
        <v>En programación Frcst.</v>
      </c>
      <c r="Q2079" s="9" t="str">
        <f t="shared" si="99"/>
        <v/>
      </c>
      <c r="R2079" s="25" t="e">
        <f>IF(P2079="En programación Frcst.",VLOOKUP(L2079,Meses!$A$1:$H$14,3+HLOOKUP(Cronograma!J2079,Meses!$D$1:$G$2,2,FALSE),FALSE),
IF(P2079="En programación",M2079,""))</f>
        <v>#N/A</v>
      </c>
      <c r="S2079" s="25" t="str">
        <f t="shared" si="98"/>
        <v/>
      </c>
      <c r="T2079" s="21" t="str">
        <f>IFERROR(
(VLOOKUP(MONTH(R2079),Meses!$B$3:$C$14,2,FALSE)-DAY(R2079))/VLOOKUP(MONTH(R2079),Meses!$B$3:$C$14,2,FALSE)*U2079,
"")</f>
        <v/>
      </c>
      <c r="U2079" s="22">
        <f t="shared" si="100"/>
        <v>0</v>
      </c>
    </row>
    <row r="2080" spans="1:21" ht="63" hidden="1" thickBot="1" x14ac:dyDescent="0.6">
      <c r="A2080" s="10" t="s">
        <v>3065</v>
      </c>
      <c r="B2080" s="10" t="s">
        <v>2685</v>
      </c>
      <c r="C2080" s="12">
        <v>45029</v>
      </c>
      <c r="D2080" s="10" t="s">
        <v>323</v>
      </c>
      <c r="E2080" s="10" t="s">
        <v>289</v>
      </c>
      <c r="F2080" s="10"/>
      <c r="G2080" s="10" t="s">
        <v>15</v>
      </c>
      <c r="H2080" s="10" t="s">
        <v>17</v>
      </c>
      <c r="I2080" s="10" t="s">
        <v>66</v>
      </c>
      <c r="J2080" s="10"/>
      <c r="K2080" s="10"/>
      <c r="L2080" s="10"/>
      <c r="M2080" s="12"/>
      <c r="N2080" s="10"/>
      <c r="O2080" s="10" t="s">
        <v>2054</v>
      </c>
      <c r="P2080" s="25" t="str">
        <f>IFERROR(
IF(OR(O2080="anulado",O2080="stand by"),CONCATENATE(O2080,": ",H2080),
IF(OR(YEAR(M2080)=2022,YEAR(M2080)=2023),CONCATENATE("Se activó en ",YEAR(M2080)),
IF(AND(OR(O2080="En proceso",O2080="facturando"),AND(J2080="-",M2080="")),"Por revisar",
IF(M2080="",IF(J2080="NUEVAS",CONCATENATE("Estado: ",O2080,", ",J2080),
IF(L2080=Meses!$A$3,"Por revisar",
IF(H2080="","Sin registro","En programación Frcst."))),"En programación")))),
"Error")</f>
        <v>En programación Frcst.</v>
      </c>
      <c r="Q2080" s="9" t="str">
        <f t="shared" si="99"/>
        <v/>
      </c>
      <c r="R2080" s="25" t="e">
        <f>IF(P2080="En programación Frcst.",VLOOKUP(L2080,Meses!$A$1:$H$14,3+HLOOKUP(Cronograma!J2080,Meses!$D$1:$G$2,2,FALSE),FALSE),
IF(P2080="En programación",M2080,""))</f>
        <v>#N/A</v>
      </c>
      <c r="S2080" s="25" t="str">
        <f t="shared" si="98"/>
        <v/>
      </c>
      <c r="T2080" s="21" t="str">
        <f>IFERROR(
(VLOOKUP(MONTH(R2080),Meses!$B$3:$C$14,2,FALSE)-DAY(R2080))/VLOOKUP(MONTH(R2080),Meses!$B$3:$C$14,2,FALSE)*U2080,
"")</f>
        <v/>
      </c>
      <c r="U2080" s="22">
        <f t="shared" si="100"/>
        <v>0</v>
      </c>
    </row>
    <row r="2081" spans="1:21" ht="63" hidden="1" thickBot="1" x14ac:dyDescent="0.6">
      <c r="A2081" s="10" t="s">
        <v>3065</v>
      </c>
      <c r="B2081" s="10" t="s">
        <v>2686</v>
      </c>
      <c r="C2081" s="12">
        <v>45029</v>
      </c>
      <c r="D2081" s="10" t="s">
        <v>323</v>
      </c>
      <c r="E2081" s="10" t="s">
        <v>289</v>
      </c>
      <c r="F2081" s="10"/>
      <c r="G2081" s="10" t="s">
        <v>15</v>
      </c>
      <c r="H2081" s="10" t="s">
        <v>17</v>
      </c>
      <c r="I2081" s="10" t="s">
        <v>66</v>
      </c>
      <c r="J2081" s="10"/>
      <c r="K2081" s="10"/>
      <c r="L2081" s="10"/>
      <c r="M2081" s="12"/>
      <c r="N2081" s="10"/>
      <c r="O2081" s="10" t="s">
        <v>2054</v>
      </c>
      <c r="P2081" s="25" t="str">
        <f>IFERROR(
IF(OR(O2081="anulado",O2081="stand by"),CONCATENATE(O2081,": ",H2081),
IF(OR(YEAR(M2081)=2022,YEAR(M2081)=2023),CONCATENATE("Se activó en ",YEAR(M2081)),
IF(AND(OR(O2081="En proceso",O2081="facturando"),AND(J2081="-",M2081="")),"Por revisar",
IF(M2081="",IF(J2081="NUEVAS",CONCATENATE("Estado: ",O2081,", ",J2081),
IF(L2081=Meses!$A$3,"Por revisar",
IF(H2081="","Sin registro","En programación Frcst."))),"En programación")))),
"Error")</f>
        <v>En programación Frcst.</v>
      </c>
      <c r="Q2081" s="9" t="str">
        <f t="shared" si="99"/>
        <v/>
      </c>
      <c r="R2081" s="25" t="e">
        <f>IF(P2081="En programación Frcst.",VLOOKUP(L2081,Meses!$A$1:$H$14,3+HLOOKUP(Cronograma!J2081,Meses!$D$1:$G$2,2,FALSE),FALSE),
IF(P2081="En programación",M2081,""))</f>
        <v>#N/A</v>
      </c>
      <c r="S2081" s="25" t="str">
        <f t="shared" si="98"/>
        <v/>
      </c>
      <c r="T2081" s="21" t="str">
        <f>IFERROR(
(VLOOKUP(MONTH(R2081),Meses!$B$3:$C$14,2,FALSE)-DAY(R2081))/VLOOKUP(MONTH(R2081),Meses!$B$3:$C$14,2,FALSE)*U2081,
"")</f>
        <v/>
      </c>
      <c r="U2081" s="22">
        <f t="shared" si="100"/>
        <v>0</v>
      </c>
    </row>
    <row r="2082" spans="1:21" ht="78.599999999999994" hidden="1" thickBot="1" x14ac:dyDescent="0.6">
      <c r="A2082" s="10" t="s">
        <v>3066</v>
      </c>
      <c r="B2082" s="10" t="s">
        <v>2687</v>
      </c>
      <c r="C2082" s="12">
        <v>45029</v>
      </c>
      <c r="D2082" s="10" t="s">
        <v>323</v>
      </c>
      <c r="E2082" s="10" t="s">
        <v>959</v>
      </c>
      <c r="F2082" s="10"/>
      <c r="G2082" s="10" t="s">
        <v>15</v>
      </c>
      <c r="H2082" s="10" t="s">
        <v>17</v>
      </c>
      <c r="I2082" s="10" t="s">
        <v>66</v>
      </c>
      <c r="J2082" s="10"/>
      <c r="K2082" s="10"/>
      <c r="L2082" s="10"/>
      <c r="M2082" s="12"/>
      <c r="N2082" s="10"/>
      <c r="O2082" s="10" t="s">
        <v>2054</v>
      </c>
      <c r="P2082" s="25" t="str">
        <f>IFERROR(
IF(OR(O2082="anulado",O2082="stand by"),CONCATENATE(O2082,": ",H2082),
IF(OR(YEAR(M2082)=2022,YEAR(M2082)=2023),CONCATENATE("Se activó en ",YEAR(M2082)),
IF(AND(OR(O2082="En proceso",O2082="facturando"),AND(J2082="-",M2082="")),"Por revisar",
IF(M2082="",IF(J2082="NUEVAS",CONCATENATE("Estado: ",O2082,", ",J2082),
IF(L2082=Meses!$A$3,"Por revisar",
IF(H2082="","Sin registro","En programación Frcst."))),"En programación")))),
"Error")</f>
        <v>En programación Frcst.</v>
      </c>
      <c r="Q2082" s="9" t="str">
        <f t="shared" si="99"/>
        <v/>
      </c>
      <c r="R2082" s="25" t="e">
        <f>IF(P2082="En programación Frcst.",VLOOKUP(L2082,Meses!$A$1:$H$14,3+HLOOKUP(Cronograma!J2082,Meses!$D$1:$G$2,2,FALSE),FALSE),
IF(P2082="En programación",M2082,""))</f>
        <v>#N/A</v>
      </c>
      <c r="S2082" s="25" t="str">
        <f t="shared" si="98"/>
        <v/>
      </c>
      <c r="T2082" s="21" t="str">
        <f>IFERROR(
(VLOOKUP(MONTH(R2082),Meses!$B$3:$C$14,2,FALSE)-DAY(R2082))/VLOOKUP(MONTH(R2082),Meses!$B$3:$C$14,2,FALSE)*U2082,
"")</f>
        <v/>
      </c>
      <c r="U2082" s="22">
        <f t="shared" si="100"/>
        <v>0</v>
      </c>
    </row>
    <row r="2083" spans="1:21" ht="47.4" hidden="1" thickBot="1" x14ac:dyDescent="0.6">
      <c r="A2083" s="10" t="s">
        <v>3067</v>
      </c>
      <c r="B2083" s="10" t="s">
        <v>2688</v>
      </c>
      <c r="C2083" s="12">
        <v>45029</v>
      </c>
      <c r="D2083" s="10" t="s">
        <v>323</v>
      </c>
      <c r="E2083" s="10" t="s">
        <v>291</v>
      </c>
      <c r="F2083" s="10"/>
      <c r="G2083" s="10" t="s">
        <v>15</v>
      </c>
      <c r="H2083" s="10" t="s">
        <v>17</v>
      </c>
      <c r="I2083" s="10" t="s">
        <v>66</v>
      </c>
      <c r="J2083" s="10"/>
      <c r="K2083" s="10"/>
      <c r="L2083" s="10"/>
      <c r="M2083" s="12"/>
      <c r="N2083" s="10"/>
      <c r="O2083" s="10" t="s">
        <v>2054</v>
      </c>
      <c r="P2083" s="25" t="str">
        <f>IFERROR(
IF(OR(O2083="anulado",O2083="stand by"),CONCATENATE(O2083,": ",H2083),
IF(OR(YEAR(M2083)=2022,YEAR(M2083)=2023),CONCATENATE("Se activó en ",YEAR(M2083)),
IF(AND(OR(O2083="En proceso",O2083="facturando"),AND(J2083="-",M2083="")),"Por revisar",
IF(M2083="",IF(J2083="NUEVAS",CONCATENATE("Estado: ",O2083,", ",J2083),
IF(L2083=Meses!$A$3,"Por revisar",
IF(H2083="","Sin registro","En programación Frcst."))),"En programación")))),
"Error")</f>
        <v>En programación Frcst.</v>
      </c>
      <c r="Q2083" s="9" t="str">
        <f t="shared" si="99"/>
        <v/>
      </c>
      <c r="R2083" s="25" t="e">
        <f>IF(P2083="En programación Frcst.",VLOOKUP(L2083,Meses!$A$1:$H$14,3+HLOOKUP(Cronograma!J2083,Meses!$D$1:$G$2,2,FALSE),FALSE),
IF(P2083="En programación",M2083,""))</f>
        <v>#N/A</v>
      </c>
      <c r="S2083" s="25" t="str">
        <f t="shared" si="98"/>
        <v/>
      </c>
      <c r="T2083" s="21" t="str">
        <f>IFERROR(
(VLOOKUP(MONTH(R2083),Meses!$B$3:$C$14,2,FALSE)-DAY(R2083))/VLOOKUP(MONTH(R2083),Meses!$B$3:$C$14,2,FALSE)*U2083,
"")</f>
        <v/>
      </c>
      <c r="U2083" s="22">
        <f t="shared" si="100"/>
        <v>0</v>
      </c>
    </row>
    <row r="2084" spans="1:21" ht="47.4" hidden="1" thickBot="1" x14ac:dyDescent="0.6">
      <c r="A2084" s="10" t="s">
        <v>3067</v>
      </c>
      <c r="B2084" s="10" t="s">
        <v>2689</v>
      </c>
      <c r="C2084" s="12">
        <v>45029</v>
      </c>
      <c r="D2084" s="10" t="s">
        <v>323</v>
      </c>
      <c r="E2084" s="10" t="s">
        <v>291</v>
      </c>
      <c r="F2084" s="10"/>
      <c r="G2084" s="10" t="s">
        <v>15</v>
      </c>
      <c r="H2084" s="10" t="s">
        <v>17</v>
      </c>
      <c r="I2084" s="10" t="s">
        <v>66</v>
      </c>
      <c r="J2084" s="10"/>
      <c r="K2084" s="10"/>
      <c r="L2084" s="10"/>
      <c r="M2084" s="12"/>
      <c r="N2084" s="10"/>
      <c r="O2084" s="10" t="s">
        <v>2054</v>
      </c>
      <c r="P2084" s="25" t="str">
        <f>IFERROR(
IF(OR(O2084="anulado",O2084="stand by"),CONCATENATE(O2084,": ",H2084),
IF(OR(YEAR(M2084)=2022,YEAR(M2084)=2023),CONCATENATE("Se activó en ",YEAR(M2084)),
IF(AND(OR(O2084="En proceso",O2084="facturando"),AND(J2084="-",M2084="")),"Por revisar",
IF(M2084="",IF(J2084="NUEVAS",CONCATENATE("Estado: ",O2084,", ",J2084),
IF(L2084=Meses!$A$3,"Por revisar",
IF(H2084="","Sin registro","En programación Frcst."))),"En programación")))),
"Error")</f>
        <v>En programación Frcst.</v>
      </c>
      <c r="Q2084" s="9" t="str">
        <f t="shared" si="99"/>
        <v/>
      </c>
      <c r="R2084" s="25" t="e">
        <f>IF(P2084="En programación Frcst.",VLOOKUP(L2084,Meses!$A$1:$H$14,3+HLOOKUP(Cronograma!J2084,Meses!$D$1:$G$2,2,FALSE),FALSE),
IF(P2084="En programación",M2084,""))</f>
        <v>#N/A</v>
      </c>
      <c r="S2084" s="25" t="str">
        <f t="shared" si="98"/>
        <v/>
      </c>
      <c r="T2084" s="21" t="str">
        <f>IFERROR(
(VLOOKUP(MONTH(R2084),Meses!$B$3:$C$14,2,FALSE)-DAY(R2084))/VLOOKUP(MONTH(R2084),Meses!$B$3:$C$14,2,FALSE)*U2084,
"")</f>
        <v/>
      </c>
      <c r="U2084" s="22">
        <f t="shared" si="100"/>
        <v>0</v>
      </c>
    </row>
    <row r="2085" spans="1:21" ht="47.4" hidden="1" thickBot="1" x14ac:dyDescent="0.6">
      <c r="A2085" s="10" t="s">
        <v>3068</v>
      </c>
      <c r="B2085" s="10" t="s">
        <v>2690</v>
      </c>
      <c r="C2085" s="12">
        <v>45029</v>
      </c>
      <c r="D2085" s="10" t="s">
        <v>323</v>
      </c>
      <c r="E2085" s="10"/>
      <c r="F2085" s="10"/>
      <c r="G2085" s="10" t="s">
        <v>15</v>
      </c>
      <c r="H2085" s="10" t="s">
        <v>17</v>
      </c>
      <c r="I2085" s="10" t="s">
        <v>66</v>
      </c>
      <c r="J2085" s="10"/>
      <c r="K2085" s="10"/>
      <c r="L2085" s="10"/>
      <c r="M2085" s="12"/>
      <c r="N2085" s="10"/>
      <c r="O2085" s="10" t="s">
        <v>2054</v>
      </c>
      <c r="P2085" s="25" t="str">
        <f>IFERROR(
IF(OR(O2085="anulado",O2085="stand by"),CONCATENATE(O2085,": ",H2085),
IF(OR(YEAR(M2085)=2022,YEAR(M2085)=2023),CONCATENATE("Se activó en ",YEAR(M2085)),
IF(AND(OR(O2085="En proceso",O2085="facturando"),AND(J2085="-",M2085="")),"Por revisar",
IF(M2085="",IF(J2085="NUEVAS",CONCATENATE("Estado: ",O2085,", ",J2085),
IF(L2085=Meses!$A$3,"Por revisar",
IF(H2085="","Sin registro","En programación Frcst."))),"En programación")))),
"Error")</f>
        <v>En programación Frcst.</v>
      </c>
      <c r="Q2085" s="9" t="str">
        <f t="shared" si="99"/>
        <v/>
      </c>
      <c r="R2085" s="25" t="e">
        <f>IF(P2085="En programación Frcst.",VLOOKUP(L2085,Meses!$A$1:$H$14,3+HLOOKUP(Cronograma!J2085,Meses!$D$1:$G$2,2,FALSE),FALSE),
IF(P2085="En programación",M2085,""))</f>
        <v>#N/A</v>
      </c>
      <c r="S2085" s="25" t="str">
        <f t="shared" si="98"/>
        <v/>
      </c>
      <c r="T2085" s="21" t="str">
        <f>IFERROR(
(VLOOKUP(MONTH(R2085),Meses!$B$3:$C$14,2,FALSE)-DAY(R2085))/VLOOKUP(MONTH(R2085),Meses!$B$3:$C$14,2,FALSE)*U2085,
"")</f>
        <v/>
      </c>
      <c r="U2085" s="22">
        <f t="shared" si="100"/>
        <v>0</v>
      </c>
    </row>
    <row r="2086" spans="1:21" ht="47.4" hidden="1" thickBot="1" x14ac:dyDescent="0.6">
      <c r="A2086" s="10" t="s">
        <v>3068</v>
      </c>
      <c r="B2086" s="10" t="s">
        <v>2691</v>
      </c>
      <c r="C2086" s="12">
        <v>45029</v>
      </c>
      <c r="D2086" s="10" t="s">
        <v>323</v>
      </c>
      <c r="E2086" s="10"/>
      <c r="F2086" s="10"/>
      <c r="G2086" s="10" t="s">
        <v>15</v>
      </c>
      <c r="H2086" s="10" t="s">
        <v>17</v>
      </c>
      <c r="I2086" s="10" t="s">
        <v>66</v>
      </c>
      <c r="J2086" s="10"/>
      <c r="K2086" s="10"/>
      <c r="L2086" s="10"/>
      <c r="M2086" s="12"/>
      <c r="N2086" s="10"/>
      <c r="O2086" s="10" t="s">
        <v>2054</v>
      </c>
      <c r="P2086" s="25" t="str">
        <f>IFERROR(
IF(OR(O2086="anulado",O2086="stand by"),CONCATENATE(O2086,": ",H2086),
IF(OR(YEAR(M2086)=2022,YEAR(M2086)=2023),CONCATENATE("Se activó en ",YEAR(M2086)),
IF(AND(OR(O2086="En proceso",O2086="facturando"),AND(J2086="-",M2086="")),"Por revisar",
IF(M2086="",IF(J2086="NUEVAS",CONCATENATE("Estado: ",O2086,", ",J2086),
IF(L2086=Meses!$A$3,"Por revisar",
IF(H2086="","Sin registro","En programación Frcst."))),"En programación")))),
"Error")</f>
        <v>En programación Frcst.</v>
      </c>
      <c r="Q2086" s="9" t="str">
        <f t="shared" si="99"/>
        <v/>
      </c>
      <c r="R2086" s="25" t="e">
        <f>IF(P2086="En programación Frcst.",VLOOKUP(L2086,Meses!$A$1:$H$14,3+HLOOKUP(Cronograma!J2086,Meses!$D$1:$G$2,2,FALSE),FALSE),
IF(P2086="En programación",M2086,""))</f>
        <v>#N/A</v>
      </c>
      <c r="S2086" s="25" t="str">
        <f t="shared" si="98"/>
        <v/>
      </c>
      <c r="T2086" s="21" t="str">
        <f>IFERROR(
(VLOOKUP(MONTH(R2086),Meses!$B$3:$C$14,2,FALSE)-DAY(R2086))/VLOOKUP(MONTH(R2086),Meses!$B$3:$C$14,2,FALSE)*U2086,
"")</f>
        <v/>
      </c>
      <c r="U2086" s="22">
        <f t="shared" si="100"/>
        <v>0</v>
      </c>
    </row>
    <row r="2087" spans="1:21" ht="31.8" hidden="1" thickBot="1" x14ac:dyDescent="0.6">
      <c r="A2087" s="10" t="s">
        <v>3069</v>
      </c>
      <c r="B2087" s="10" t="s">
        <v>2692</v>
      </c>
      <c r="C2087" s="12">
        <v>45029</v>
      </c>
      <c r="D2087" s="10" t="s">
        <v>323</v>
      </c>
      <c r="E2087" s="10"/>
      <c r="F2087" s="10"/>
      <c r="G2087" s="10" t="s">
        <v>15</v>
      </c>
      <c r="H2087" s="10" t="s">
        <v>17</v>
      </c>
      <c r="I2087" s="10" t="s">
        <v>66</v>
      </c>
      <c r="J2087" s="10"/>
      <c r="K2087" s="10"/>
      <c r="L2087" s="10"/>
      <c r="M2087" s="12"/>
      <c r="N2087" s="10"/>
      <c r="O2087" s="10" t="s">
        <v>2054</v>
      </c>
      <c r="P2087" s="25" t="str">
        <f>IFERROR(
IF(OR(O2087="anulado",O2087="stand by"),CONCATENATE(O2087,": ",H2087),
IF(OR(YEAR(M2087)=2022,YEAR(M2087)=2023),CONCATENATE("Se activó en ",YEAR(M2087)),
IF(AND(OR(O2087="En proceso",O2087="facturando"),AND(J2087="-",M2087="")),"Por revisar",
IF(M2087="",IF(J2087="NUEVAS",CONCATENATE("Estado: ",O2087,", ",J2087),
IF(L2087=Meses!$A$3,"Por revisar",
IF(H2087="","Sin registro","En programación Frcst."))),"En programación")))),
"Error")</f>
        <v>En programación Frcst.</v>
      </c>
      <c r="Q2087" s="9" t="str">
        <f t="shared" si="99"/>
        <v/>
      </c>
      <c r="R2087" s="25" t="e">
        <f>IF(P2087="En programación Frcst.",VLOOKUP(L2087,Meses!$A$1:$H$14,3+HLOOKUP(Cronograma!J2087,Meses!$D$1:$G$2,2,FALSE),FALSE),
IF(P2087="En programación",M2087,""))</f>
        <v>#N/A</v>
      </c>
      <c r="S2087" s="25" t="str">
        <f t="shared" si="98"/>
        <v/>
      </c>
      <c r="T2087" s="21" t="str">
        <f>IFERROR(
(VLOOKUP(MONTH(R2087),Meses!$B$3:$C$14,2,FALSE)-DAY(R2087))/VLOOKUP(MONTH(R2087),Meses!$B$3:$C$14,2,FALSE)*U2087,
"")</f>
        <v/>
      </c>
      <c r="U2087" s="22">
        <f t="shared" si="100"/>
        <v>0</v>
      </c>
    </row>
    <row r="2088" spans="1:21" ht="31.8" hidden="1" thickBot="1" x14ac:dyDescent="0.6">
      <c r="A2088" s="10" t="s">
        <v>3069</v>
      </c>
      <c r="B2088" s="10" t="s">
        <v>2693</v>
      </c>
      <c r="C2088" s="12">
        <v>45029</v>
      </c>
      <c r="D2088" s="10" t="s">
        <v>323</v>
      </c>
      <c r="E2088" s="10"/>
      <c r="F2088" s="10"/>
      <c r="G2088" s="10" t="s">
        <v>15</v>
      </c>
      <c r="H2088" s="10" t="s">
        <v>17</v>
      </c>
      <c r="I2088" s="10" t="s">
        <v>66</v>
      </c>
      <c r="J2088" s="10"/>
      <c r="K2088" s="10"/>
      <c r="L2088" s="10"/>
      <c r="M2088" s="12"/>
      <c r="N2088" s="10"/>
      <c r="O2088" s="10" t="s">
        <v>2054</v>
      </c>
      <c r="P2088" s="25" t="str">
        <f>IFERROR(
IF(OR(O2088="anulado",O2088="stand by"),CONCATENATE(O2088,": ",H2088),
IF(OR(YEAR(M2088)=2022,YEAR(M2088)=2023),CONCATENATE("Se activó en ",YEAR(M2088)),
IF(AND(OR(O2088="En proceso",O2088="facturando"),AND(J2088="-",M2088="")),"Por revisar",
IF(M2088="",IF(J2088="NUEVAS",CONCATENATE("Estado: ",O2088,", ",J2088),
IF(L2088=Meses!$A$3,"Por revisar",
IF(H2088="","Sin registro","En programación Frcst."))),"En programación")))),
"Error")</f>
        <v>En programación Frcst.</v>
      </c>
      <c r="Q2088" s="9" t="str">
        <f t="shared" si="99"/>
        <v/>
      </c>
      <c r="R2088" s="25" t="e">
        <f>IF(P2088="En programación Frcst.",VLOOKUP(L2088,Meses!$A$1:$H$14,3+HLOOKUP(Cronograma!J2088,Meses!$D$1:$G$2,2,FALSE),FALSE),
IF(P2088="En programación",M2088,""))</f>
        <v>#N/A</v>
      </c>
      <c r="S2088" s="25" t="str">
        <f t="shared" si="98"/>
        <v/>
      </c>
      <c r="T2088" s="21" t="str">
        <f>IFERROR(
(VLOOKUP(MONTH(R2088),Meses!$B$3:$C$14,2,FALSE)-DAY(R2088))/VLOOKUP(MONTH(R2088),Meses!$B$3:$C$14,2,FALSE)*U2088,
"")</f>
        <v/>
      </c>
      <c r="U2088" s="22">
        <f t="shared" si="100"/>
        <v>0</v>
      </c>
    </row>
    <row r="2089" spans="1:21" ht="31.8" hidden="1" thickBot="1" x14ac:dyDescent="0.6">
      <c r="A2089" s="10" t="s">
        <v>3069</v>
      </c>
      <c r="B2089" s="10" t="s">
        <v>2694</v>
      </c>
      <c r="C2089" s="12">
        <v>45029</v>
      </c>
      <c r="D2089" s="10" t="s">
        <v>323</v>
      </c>
      <c r="E2089" s="10"/>
      <c r="F2089" s="10"/>
      <c r="G2089" s="10" t="s">
        <v>15</v>
      </c>
      <c r="H2089" s="10" t="s">
        <v>17</v>
      </c>
      <c r="I2089" s="10" t="s">
        <v>66</v>
      </c>
      <c r="J2089" s="10"/>
      <c r="K2089" s="10"/>
      <c r="L2089" s="10"/>
      <c r="M2089" s="12"/>
      <c r="N2089" s="10"/>
      <c r="O2089" s="10" t="s">
        <v>2054</v>
      </c>
      <c r="P2089" s="25" t="str">
        <f>IFERROR(
IF(OR(O2089="anulado",O2089="stand by"),CONCATENATE(O2089,": ",H2089),
IF(OR(YEAR(M2089)=2022,YEAR(M2089)=2023),CONCATENATE("Se activó en ",YEAR(M2089)),
IF(AND(OR(O2089="En proceso",O2089="facturando"),AND(J2089="-",M2089="")),"Por revisar",
IF(M2089="",IF(J2089="NUEVAS",CONCATENATE("Estado: ",O2089,", ",J2089),
IF(L2089=Meses!$A$3,"Por revisar",
IF(H2089="","Sin registro","En programación Frcst."))),"En programación")))),
"Error")</f>
        <v>En programación Frcst.</v>
      </c>
      <c r="Q2089" s="9" t="str">
        <f t="shared" si="99"/>
        <v/>
      </c>
      <c r="R2089" s="25" t="e">
        <f>IF(P2089="En programación Frcst.",VLOOKUP(L2089,Meses!$A$1:$H$14,3+HLOOKUP(Cronograma!J2089,Meses!$D$1:$G$2,2,FALSE),FALSE),
IF(P2089="En programación",M2089,""))</f>
        <v>#N/A</v>
      </c>
      <c r="S2089" s="25" t="str">
        <f t="shared" si="98"/>
        <v/>
      </c>
      <c r="T2089" s="21" t="str">
        <f>IFERROR(
(VLOOKUP(MONTH(R2089),Meses!$B$3:$C$14,2,FALSE)-DAY(R2089))/VLOOKUP(MONTH(R2089),Meses!$B$3:$C$14,2,FALSE)*U2089,
"")</f>
        <v/>
      </c>
      <c r="U2089" s="22">
        <f t="shared" si="100"/>
        <v>0</v>
      </c>
    </row>
    <row r="2090" spans="1:21" ht="31.8" hidden="1" thickBot="1" x14ac:dyDescent="0.6">
      <c r="A2090" s="10" t="s">
        <v>3069</v>
      </c>
      <c r="B2090" s="10" t="s">
        <v>2695</v>
      </c>
      <c r="C2090" s="12">
        <v>45029</v>
      </c>
      <c r="D2090" s="10" t="s">
        <v>323</v>
      </c>
      <c r="E2090" s="10" t="s">
        <v>14</v>
      </c>
      <c r="F2090" s="10"/>
      <c r="G2090" s="10" t="s">
        <v>15</v>
      </c>
      <c r="H2090" s="10" t="s">
        <v>17</v>
      </c>
      <c r="I2090" s="10" t="s">
        <v>66</v>
      </c>
      <c r="J2090" s="10"/>
      <c r="K2090" s="10"/>
      <c r="L2090" s="10"/>
      <c r="M2090" s="12"/>
      <c r="N2090" s="10"/>
      <c r="O2090" s="10" t="s">
        <v>2054</v>
      </c>
      <c r="P2090" s="25" t="str">
        <f>IFERROR(
IF(OR(O2090="anulado",O2090="stand by"),CONCATENATE(O2090,": ",H2090),
IF(OR(YEAR(M2090)=2022,YEAR(M2090)=2023),CONCATENATE("Se activó en ",YEAR(M2090)),
IF(AND(OR(O2090="En proceso",O2090="facturando"),AND(J2090="-",M2090="")),"Por revisar",
IF(M2090="",IF(J2090="NUEVAS",CONCATENATE("Estado: ",O2090,", ",J2090),
IF(L2090=Meses!$A$3,"Por revisar",
IF(H2090="","Sin registro","En programación Frcst."))),"En programación")))),
"Error")</f>
        <v>En programación Frcst.</v>
      </c>
      <c r="Q2090" s="9" t="str">
        <f t="shared" si="99"/>
        <v/>
      </c>
      <c r="R2090" s="25" t="e">
        <f>IF(P2090="En programación Frcst.",VLOOKUP(L2090,Meses!$A$1:$H$14,3+HLOOKUP(Cronograma!J2090,Meses!$D$1:$G$2,2,FALSE),FALSE),
IF(P2090="En programación",M2090,""))</f>
        <v>#N/A</v>
      </c>
      <c r="S2090" s="25" t="str">
        <f t="shared" si="98"/>
        <v/>
      </c>
      <c r="T2090" s="21" t="str">
        <f>IFERROR(
(VLOOKUP(MONTH(R2090),Meses!$B$3:$C$14,2,FALSE)-DAY(R2090))/VLOOKUP(MONTH(R2090),Meses!$B$3:$C$14,2,FALSE)*U2090,
"")</f>
        <v/>
      </c>
      <c r="U2090" s="22">
        <f t="shared" si="100"/>
        <v>0</v>
      </c>
    </row>
    <row r="2091" spans="1:21" ht="31.8" hidden="1" thickBot="1" x14ac:dyDescent="0.6">
      <c r="A2091" s="10" t="s">
        <v>3069</v>
      </c>
      <c r="B2091" s="10" t="s">
        <v>2696</v>
      </c>
      <c r="C2091" s="12">
        <v>45029</v>
      </c>
      <c r="D2091" s="10" t="s">
        <v>323</v>
      </c>
      <c r="E2091" s="10" t="s">
        <v>14</v>
      </c>
      <c r="F2091" s="10"/>
      <c r="G2091" s="10" t="s">
        <v>15</v>
      </c>
      <c r="H2091" s="10" t="s">
        <v>17</v>
      </c>
      <c r="I2091" s="10" t="s">
        <v>66</v>
      </c>
      <c r="J2091" s="10"/>
      <c r="K2091" s="10"/>
      <c r="L2091" s="10"/>
      <c r="M2091" s="12"/>
      <c r="N2091" s="10"/>
      <c r="O2091" s="10" t="s">
        <v>2054</v>
      </c>
      <c r="P2091" s="25" t="str">
        <f>IFERROR(
IF(OR(O2091="anulado",O2091="stand by"),CONCATENATE(O2091,": ",H2091),
IF(OR(YEAR(M2091)=2022,YEAR(M2091)=2023),CONCATENATE("Se activó en ",YEAR(M2091)),
IF(AND(OR(O2091="En proceso",O2091="facturando"),AND(J2091="-",M2091="")),"Por revisar",
IF(M2091="",IF(J2091="NUEVAS",CONCATENATE("Estado: ",O2091,", ",J2091),
IF(L2091=Meses!$A$3,"Por revisar",
IF(H2091="","Sin registro","En programación Frcst."))),"En programación")))),
"Error")</f>
        <v>En programación Frcst.</v>
      </c>
      <c r="Q2091" s="9" t="str">
        <f t="shared" si="99"/>
        <v/>
      </c>
      <c r="R2091" s="25" t="e">
        <f>IF(P2091="En programación Frcst.",VLOOKUP(L2091,Meses!$A$1:$H$14,3+HLOOKUP(Cronograma!J2091,Meses!$D$1:$G$2,2,FALSE),FALSE),
IF(P2091="En programación",M2091,""))</f>
        <v>#N/A</v>
      </c>
      <c r="S2091" s="25" t="str">
        <f t="shared" si="98"/>
        <v/>
      </c>
      <c r="T2091" s="21" t="str">
        <f>IFERROR(
(VLOOKUP(MONTH(R2091),Meses!$B$3:$C$14,2,FALSE)-DAY(R2091))/VLOOKUP(MONTH(R2091),Meses!$B$3:$C$14,2,FALSE)*U2091,
"")</f>
        <v/>
      </c>
      <c r="U2091" s="22">
        <f t="shared" si="100"/>
        <v>0</v>
      </c>
    </row>
    <row r="2092" spans="1:21" ht="31.8" hidden="1" thickBot="1" x14ac:dyDescent="0.6">
      <c r="A2092" s="10" t="s">
        <v>3069</v>
      </c>
      <c r="B2092" s="10" t="s">
        <v>2697</v>
      </c>
      <c r="C2092" s="12">
        <v>45029</v>
      </c>
      <c r="D2092" s="10" t="s">
        <v>323</v>
      </c>
      <c r="E2092" s="10" t="s">
        <v>14</v>
      </c>
      <c r="F2092" s="10"/>
      <c r="G2092" s="10" t="s">
        <v>15</v>
      </c>
      <c r="H2092" s="10" t="s">
        <v>17</v>
      </c>
      <c r="I2092" s="10" t="s">
        <v>66</v>
      </c>
      <c r="J2092" s="10"/>
      <c r="K2092" s="10"/>
      <c r="L2092" s="10"/>
      <c r="M2092" s="12"/>
      <c r="N2092" s="10"/>
      <c r="O2092" s="10" t="s">
        <v>2054</v>
      </c>
      <c r="P2092" s="25" t="str">
        <f>IFERROR(
IF(OR(O2092="anulado",O2092="stand by"),CONCATENATE(O2092,": ",H2092),
IF(OR(YEAR(M2092)=2022,YEAR(M2092)=2023),CONCATENATE("Se activó en ",YEAR(M2092)),
IF(AND(OR(O2092="En proceso",O2092="facturando"),AND(J2092="-",M2092="")),"Por revisar",
IF(M2092="",IF(J2092="NUEVAS",CONCATENATE("Estado: ",O2092,", ",J2092),
IF(L2092=Meses!$A$3,"Por revisar",
IF(H2092="","Sin registro","En programación Frcst."))),"En programación")))),
"Error")</f>
        <v>En programación Frcst.</v>
      </c>
      <c r="Q2092" s="9" t="str">
        <f t="shared" si="99"/>
        <v/>
      </c>
      <c r="R2092" s="25" t="e">
        <f>IF(P2092="En programación Frcst.",VLOOKUP(L2092,Meses!$A$1:$H$14,3+HLOOKUP(Cronograma!J2092,Meses!$D$1:$G$2,2,FALSE),FALSE),
IF(P2092="En programación",M2092,""))</f>
        <v>#N/A</v>
      </c>
      <c r="S2092" s="25" t="str">
        <f t="shared" si="98"/>
        <v/>
      </c>
      <c r="T2092" s="21" t="str">
        <f>IFERROR(
(VLOOKUP(MONTH(R2092),Meses!$B$3:$C$14,2,FALSE)-DAY(R2092))/VLOOKUP(MONTH(R2092),Meses!$B$3:$C$14,2,FALSE)*U2092,
"")</f>
        <v/>
      </c>
      <c r="U2092" s="22">
        <f t="shared" si="100"/>
        <v>0</v>
      </c>
    </row>
    <row r="2093" spans="1:21" ht="31.8" hidden="1" thickBot="1" x14ac:dyDescent="0.6">
      <c r="A2093" s="10" t="s">
        <v>3069</v>
      </c>
      <c r="B2093" s="10" t="s">
        <v>2698</v>
      </c>
      <c r="C2093" s="12">
        <v>45029</v>
      </c>
      <c r="D2093" s="10" t="s">
        <v>323</v>
      </c>
      <c r="E2093" s="10" t="s">
        <v>23</v>
      </c>
      <c r="F2093" s="10"/>
      <c r="G2093" s="10" t="s">
        <v>15</v>
      </c>
      <c r="H2093" s="10" t="s">
        <v>17</v>
      </c>
      <c r="I2093" s="10" t="s">
        <v>66</v>
      </c>
      <c r="J2093" s="10"/>
      <c r="K2093" s="10"/>
      <c r="L2093" s="10"/>
      <c r="M2093" s="12"/>
      <c r="N2093" s="10"/>
      <c r="O2093" s="10" t="s">
        <v>2054</v>
      </c>
      <c r="P2093" s="25" t="str">
        <f>IFERROR(
IF(OR(O2093="anulado",O2093="stand by"),CONCATENATE(O2093,": ",H2093),
IF(OR(YEAR(M2093)=2022,YEAR(M2093)=2023),CONCATENATE("Se activó en ",YEAR(M2093)),
IF(AND(OR(O2093="En proceso",O2093="facturando"),AND(J2093="-",M2093="")),"Por revisar",
IF(M2093="",IF(J2093="NUEVAS",CONCATENATE("Estado: ",O2093,", ",J2093),
IF(L2093=Meses!$A$3,"Por revisar",
IF(H2093="","Sin registro","En programación Frcst."))),"En programación")))),
"Error")</f>
        <v>En programación Frcst.</v>
      </c>
      <c r="Q2093" s="9" t="str">
        <f t="shared" si="99"/>
        <v/>
      </c>
      <c r="R2093" s="25" t="e">
        <f>IF(P2093="En programación Frcst.",VLOOKUP(L2093,Meses!$A$1:$H$14,3+HLOOKUP(Cronograma!J2093,Meses!$D$1:$G$2,2,FALSE),FALSE),
IF(P2093="En programación",M2093,""))</f>
        <v>#N/A</v>
      </c>
      <c r="S2093" s="25" t="str">
        <f t="shared" si="98"/>
        <v/>
      </c>
      <c r="T2093" s="21" t="str">
        <f>IFERROR(
(VLOOKUP(MONTH(R2093),Meses!$B$3:$C$14,2,FALSE)-DAY(R2093))/VLOOKUP(MONTH(R2093),Meses!$B$3:$C$14,2,FALSE)*U2093,
"")</f>
        <v/>
      </c>
      <c r="U2093" s="22">
        <f t="shared" si="100"/>
        <v>0</v>
      </c>
    </row>
    <row r="2094" spans="1:21" ht="31.8" hidden="1" thickBot="1" x14ac:dyDescent="0.6">
      <c r="A2094" s="10" t="s">
        <v>3069</v>
      </c>
      <c r="B2094" s="10" t="s">
        <v>2699</v>
      </c>
      <c r="C2094" s="12">
        <v>45029</v>
      </c>
      <c r="D2094" s="10" t="s">
        <v>323</v>
      </c>
      <c r="E2094" s="10" t="s">
        <v>23</v>
      </c>
      <c r="F2094" s="10"/>
      <c r="G2094" s="10" t="s">
        <v>15</v>
      </c>
      <c r="H2094" s="10" t="s">
        <v>17</v>
      </c>
      <c r="I2094" s="10" t="s">
        <v>66</v>
      </c>
      <c r="J2094" s="10"/>
      <c r="K2094" s="10"/>
      <c r="L2094" s="10"/>
      <c r="M2094" s="12"/>
      <c r="N2094" s="10"/>
      <c r="O2094" s="10" t="s">
        <v>2054</v>
      </c>
      <c r="P2094" s="25" t="str">
        <f>IFERROR(
IF(OR(O2094="anulado",O2094="stand by"),CONCATENATE(O2094,": ",H2094),
IF(OR(YEAR(M2094)=2022,YEAR(M2094)=2023),CONCATENATE("Se activó en ",YEAR(M2094)),
IF(AND(OR(O2094="En proceso",O2094="facturando"),AND(J2094="-",M2094="")),"Por revisar",
IF(M2094="",IF(J2094="NUEVAS",CONCATENATE("Estado: ",O2094,", ",J2094),
IF(L2094=Meses!$A$3,"Por revisar",
IF(H2094="","Sin registro","En programación Frcst."))),"En programación")))),
"Error")</f>
        <v>En programación Frcst.</v>
      </c>
      <c r="Q2094" s="9" t="str">
        <f t="shared" si="99"/>
        <v/>
      </c>
      <c r="R2094" s="25" t="e">
        <f>IF(P2094="En programación Frcst.",VLOOKUP(L2094,Meses!$A$1:$H$14,3+HLOOKUP(Cronograma!J2094,Meses!$D$1:$G$2,2,FALSE),FALSE),
IF(P2094="En programación",M2094,""))</f>
        <v>#N/A</v>
      </c>
      <c r="S2094" s="25" t="str">
        <f t="shared" si="98"/>
        <v/>
      </c>
      <c r="T2094" s="21" t="str">
        <f>IFERROR(
(VLOOKUP(MONTH(R2094),Meses!$B$3:$C$14,2,FALSE)-DAY(R2094))/VLOOKUP(MONTH(R2094),Meses!$B$3:$C$14,2,FALSE)*U2094,
"")</f>
        <v/>
      </c>
      <c r="U2094" s="22">
        <f t="shared" si="100"/>
        <v>0</v>
      </c>
    </row>
    <row r="2095" spans="1:21" ht="31.8" hidden="1" thickBot="1" x14ac:dyDescent="0.6">
      <c r="A2095" s="10" t="s">
        <v>3070</v>
      </c>
      <c r="B2095" s="10" t="s">
        <v>2700</v>
      </c>
      <c r="C2095" s="12">
        <v>45029</v>
      </c>
      <c r="D2095" s="10" t="s">
        <v>323</v>
      </c>
      <c r="E2095" s="10" t="s">
        <v>959</v>
      </c>
      <c r="F2095" s="10"/>
      <c r="G2095" s="10" t="s">
        <v>15</v>
      </c>
      <c r="H2095" s="10" t="s">
        <v>17</v>
      </c>
      <c r="I2095" s="10" t="s">
        <v>66</v>
      </c>
      <c r="J2095" s="10"/>
      <c r="K2095" s="10"/>
      <c r="L2095" s="10"/>
      <c r="M2095" s="12"/>
      <c r="N2095" s="10"/>
      <c r="O2095" s="10" t="s">
        <v>2054</v>
      </c>
      <c r="P2095" s="25" t="str">
        <f>IFERROR(
IF(OR(O2095="anulado",O2095="stand by"),CONCATENATE(O2095,": ",H2095),
IF(OR(YEAR(M2095)=2022,YEAR(M2095)=2023),CONCATENATE("Se activó en ",YEAR(M2095)),
IF(AND(OR(O2095="En proceso",O2095="facturando"),AND(J2095="-",M2095="")),"Por revisar",
IF(M2095="",IF(J2095="NUEVAS",CONCATENATE("Estado: ",O2095,", ",J2095),
IF(L2095=Meses!$A$3,"Por revisar",
IF(H2095="","Sin registro","En programación Frcst."))),"En programación")))),
"Error")</f>
        <v>En programación Frcst.</v>
      </c>
      <c r="Q2095" s="9" t="str">
        <f t="shared" si="99"/>
        <v/>
      </c>
      <c r="R2095" s="25" t="e">
        <f>IF(P2095="En programación Frcst.",VLOOKUP(L2095,Meses!$A$1:$H$14,3+HLOOKUP(Cronograma!J2095,Meses!$D$1:$G$2,2,FALSE),FALSE),
IF(P2095="En programación",M2095,""))</f>
        <v>#N/A</v>
      </c>
      <c r="S2095" s="25" t="str">
        <f t="shared" si="98"/>
        <v/>
      </c>
      <c r="T2095" s="21" t="str">
        <f>IFERROR(
(VLOOKUP(MONTH(R2095),Meses!$B$3:$C$14,2,FALSE)-DAY(R2095))/VLOOKUP(MONTH(R2095),Meses!$B$3:$C$14,2,FALSE)*U2095,
"")</f>
        <v/>
      </c>
      <c r="U2095" s="22">
        <f t="shared" si="100"/>
        <v>0</v>
      </c>
    </row>
    <row r="2096" spans="1:21" ht="63" hidden="1" thickBot="1" x14ac:dyDescent="0.6">
      <c r="A2096" s="10" t="s">
        <v>3071</v>
      </c>
      <c r="B2096" s="10" t="s">
        <v>2701</v>
      </c>
      <c r="C2096" s="12">
        <v>45029</v>
      </c>
      <c r="D2096" s="10" t="s">
        <v>323</v>
      </c>
      <c r="E2096" s="10" t="s">
        <v>298</v>
      </c>
      <c r="F2096" s="10"/>
      <c r="G2096" s="10" t="s">
        <v>15</v>
      </c>
      <c r="H2096" s="10" t="s">
        <v>17</v>
      </c>
      <c r="I2096" s="10" t="s">
        <v>66</v>
      </c>
      <c r="J2096" s="10"/>
      <c r="K2096" s="10"/>
      <c r="L2096" s="10"/>
      <c r="M2096" s="12"/>
      <c r="N2096" s="10"/>
      <c r="O2096" s="10" t="s">
        <v>2054</v>
      </c>
      <c r="P2096" s="25" t="str">
        <f>IFERROR(
IF(OR(O2096="anulado",O2096="stand by"),CONCATENATE(O2096,": ",H2096),
IF(OR(YEAR(M2096)=2022,YEAR(M2096)=2023),CONCATENATE("Se activó en ",YEAR(M2096)),
IF(AND(OR(O2096="En proceso",O2096="facturando"),AND(J2096="-",M2096="")),"Por revisar",
IF(M2096="",IF(J2096="NUEVAS",CONCATENATE("Estado: ",O2096,", ",J2096),
IF(L2096=Meses!$A$3,"Por revisar",
IF(H2096="","Sin registro","En programación Frcst."))),"En programación")))),
"Error")</f>
        <v>En programación Frcst.</v>
      </c>
      <c r="Q2096" s="9" t="str">
        <f t="shared" si="99"/>
        <v/>
      </c>
      <c r="R2096" s="25" t="e">
        <f>IF(P2096="En programación Frcst.",VLOOKUP(L2096,Meses!$A$1:$H$14,3+HLOOKUP(Cronograma!J2096,Meses!$D$1:$G$2,2,FALSE),FALSE),
IF(P2096="En programación",M2096,""))</f>
        <v>#N/A</v>
      </c>
      <c r="S2096" s="25" t="str">
        <f t="shared" si="98"/>
        <v/>
      </c>
      <c r="T2096" s="21" t="str">
        <f>IFERROR(
(VLOOKUP(MONTH(R2096),Meses!$B$3:$C$14,2,FALSE)-DAY(R2096))/VLOOKUP(MONTH(R2096),Meses!$B$3:$C$14,2,FALSE)*U2096,
"")</f>
        <v/>
      </c>
      <c r="U2096" s="22">
        <f t="shared" si="100"/>
        <v>0</v>
      </c>
    </row>
    <row r="2097" spans="1:21" ht="63" hidden="1" thickBot="1" x14ac:dyDescent="0.6">
      <c r="A2097" s="10" t="s">
        <v>3072</v>
      </c>
      <c r="B2097" s="10" t="s">
        <v>2702</v>
      </c>
      <c r="C2097" s="12">
        <v>45029</v>
      </c>
      <c r="D2097" s="10" t="s">
        <v>323</v>
      </c>
      <c r="E2097" s="10" t="s">
        <v>23</v>
      </c>
      <c r="F2097" s="10"/>
      <c r="G2097" s="10" t="s">
        <v>15</v>
      </c>
      <c r="H2097" s="10" t="s">
        <v>17</v>
      </c>
      <c r="I2097" s="10" t="s">
        <v>66</v>
      </c>
      <c r="J2097" s="10"/>
      <c r="K2097" s="10"/>
      <c r="L2097" s="10"/>
      <c r="M2097" s="12"/>
      <c r="N2097" s="10"/>
      <c r="O2097" s="10" t="s">
        <v>2054</v>
      </c>
      <c r="P2097" s="25" t="str">
        <f>IFERROR(
IF(OR(O2097="anulado",O2097="stand by"),CONCATENATE(O2097,": ",H2097),
IF(OR(YEAR(M2097)=2022,YEAR(M2097)=2023),CONCATENATE("Se activó en ",YEAR(M2097)),
IF(AND(OR(O2097="En proceso",O2097="facturando"),AND(J2097="-",M2097="")),"Por revisar",
IF(M2097="",IF(J2097="NUEVAS",CONCATENATE("Estado: ",O2097,", ",J2097),
IF(L2097=Meses!$A$3,"Por revisar",
IF(H2097="","Sin registro","En programación Frcst."))),"En programación")))),
"Error")</f>
        <v>En programación Frcst.</v>
      </c>
      <c r="Q2097" s="9" t="str">
        <f t="shared" si="99"/>
        <v/>
      </c>
      <c r="R2097" s="25" t="e">
        <f>IF(P2097="En programación Frcst.",VLOOKUP(L2097,Meses!$A$1:$H$14,3+HLOOKUP(Cronograma!J2097,Meses!$D$1:$G$2,2,FALSE),FALSE),
IF(P2097="En programación",M2097,""))</f>
        <v>#N/A</v>
      </c>
      <c r="S2097" s="25" t="str">
        <f t="shared" si="98"/>
        <v/>
      </c>
      <c r="T2097" s="21" t="str">
        <f>IFERROR(
(VLOOKUP(MONTH(R2097),Meses!$B$3:$C$14,2,FALSE)-DAY(R2097))/VLOOKUP(MONTH(R2097),Meses!$B$3:$C$14,2,FALSE)*U2097,
"")</f>
        <v/>
      </c>
      <c r="U2097" s="22">
        <f t="shared" si="100"/>
        <v>0</v>
      </c>
    </row>
    <row r="2098" spans="1:21" ht="18" hidden="1" thickBot="1" x14ac:dyDescent="0.6">
      <c r="A2098" s="10" t="s">
        <v>3073</v>
      </c>
      <c r="B2098" s="10" t="s">
        <v>2703</v>
      </c>
      <c r="C2098" s="12">
        <v>45029</v>
      </c>
      <c r="D2098" s="10" t="s">
        <v>323</v>
      </c>
      <c r="E2098" s="10"/>
      <c r="F2098" s="10"/>
      <c r="G2098" s="10" t="s">
        <v>15</v>
      </c>
      <c r="H2098" s="10" t="s">
        <v>17</v>
      </c>
      <c r="I2098" s="10" t="s">
        <v>66</v>
      </c>
      <c r="J2098" s="10"/>
      <c r="K2098" s="10"/>
      <c r="L2098" s="10"/>
      <c r="M2098" s="12"/>
      <c r="N2098" s="10"/>
      <c r="O2098" s="10" t="s">
        <v>2054</v>
      </c>
      <c r="P2098" s="25" t="str">
        <f>IFERROR(
IF(OR(O2098="anulado",O2098="stand by"),CONCATENATE(O2098,": ",H2098),
IF(OR(YEAR(M2098)=2022,YEAR(M2098)=2023),CONCATENATE("Se activó en ",YEAR(M2098)),
IF(AND(OR(O2098="En proceso",O2098="facturando"),AND(J2098="-",M2098="")),"Por revisar",
IF(M2098="",IF(J2098="NUEVAS",CONCATENATE("Estado: ",O2098,", ",J2098),
IF(L2098=Meses!$A$3,"Por revisar",
IF(H2098="","Sin registro","En programación Frcst."))),"En programación")))),
"Error")</f>
        <v>En programación Frcst.</v>
      </c>
      <c r="Q2098" s="9" t="str">
        <f t="shared" si="99"/>
        <v/>
      </c>
      <c r="R2098" s="25" t="e">
        <f>IF(P2098="En programación Frcst.",VLOOKUP(L2098,Meses!$A$1:$H$14,3+HLOOKUP(Cronograma!J2098,Meses!$D$1:$G$2,2,FALSE),FALSE),
IF(P2098="En programación",M2098,""))</f>
        <v>#N/A</v>
      </c>
      <c r="S2098" s="25" t="str">
        <f t="shared" si="98"/>
        <v/>
      </c>
      <c r="T2098" s="21" t="str">
        <f>IFERROR(
(VLOOKUP(MONTH(R2098),Meses!$B$3:$C$14,2,FALSE)-DAY(R2098))/VLOOKUP(MONTH(R2098),Meses!$B$3:$C$14,2,FALSE)*U2098,
"")</f>
        <v/>
      </c>
      <c r="U2098" s="22">
        <f t="shared" si="100"/>
        <v>0</v>
      </c>
    </row>
    <row r="2099" spans="1:21" ht="47.4" hidden="1" thickBot="1" x14ac:dyDescent="0.6">
      <c r="A2099" s="10" t="s">
        <v>3074</v>
      </c>
      <c r="B2099" s="10" t="s">
        <v>2704</v>
      </c>
      <c r="C2099" s="12">
        <v>45029</v>
      </c>
      <c r="D2099" s="10" t="s">
        <v>323</v>
      </c>
      <c r="E2099" s="10" t="s">
        <v>677</v>
      </c>
      <c r="F2099" s="10"/>
      <c r="G2099" s="10" t="s">
        <v>15</v>
      </c>
      <c r="H2099" s="10" t="s">
        <v>17</v>
      </c>
      <c r="I2099" s="10" t="s">
        <v>66</v>
      </c>
      <c r="J2099" s="10"/>
      <c r="K2099" s="10"/>
      <c r="L2099" s="10"/>
      <c r="M2099" s="12"/>
      <c r="N2099" s="10"/>
      <c r="O2099" s="10" t="s">
        <v>2054</v>
      </c>
      <c r="P2099" s="25" t="str">
        <f>IFERROR(
IF(OR(O2099="anulado",O2099="stand by"),CONCATENATE(O2099,": ",H2099),
IF(OR(YEAR(M2099)=2022,YEAR(M2099)=2023),CONCATENATE("Se activó en ",YEAR(M2099)),
IF(AND(OR(O2099="En proceso",O2099="facturando"),AND(J2099="-",M2099="")),"Por revisar",
IF(M2099="",IF(J2099="NUEVAS",CONCATENATE("Estado: ",O2099,", ",J2099),
IF(L2099=Meses!$A$3,"Por revisar",
IF(H2099="","Sin registro","En programación Frcst."))),"En programación")))),
"Error")</f>
        <v>En programación Frcst.</v>
      </c>
      <c r="Q2099" s="9" t="str">
        <f t="shared" si="99"/>
        <v/>
      </c>
      <c r="R2099" s="25" t="e">
        <f>IF(P2099="En programación Frcst.",VLOOKUP(L2099,Meses!$A$1:$H$14,3+HLOOKUP(Cronograma!J2099,Meses!$D$1:$G$2,2,FALSE),FALSE),
IF(P2099="En programación",M2099,""))</f>
        <v>#N/A</v>
      </c>
      <c r="S2099" s="25" t="str">
        <f t="shared" si="98"/>
        <v/>
      </c>
      <c r="T2099" s="21" t="str">
        <f>IFERROR(
(VLOOKUP(MONTH(R2099),Meses!$B$3:$C$14,2,FALSE)-DAY(R2099))/VLOOKUP(MONTH(R2099),Meses!$B$3:$C$14,2,FALSE)*U2099,
"")</f>
        <v/>
      </c>
      <c r="U2099" s="22">
        <f t="shared" si="100"/>
        <v>0</v>
      </c>
    </row>
    <row r="2100" spans="1:21" ht="47.4" hidden="1" thickBot="1" x14ac:dyDescent="0.6">
      <c r="A2100" s="10" t="s">
        <v>3074</v>
      </c>
      <c r="B2100" s="10" t="s">
        <v>2705</v>
      </c>
      <c r="C2100" s="12">
        <v>45029</v>
      </c>
      <c r="D2100" s="10" t="s">
        <v>323</v>
      </c>
      <c r="E2100" s="10" t="s">
        <v>677</v>
      </c>
      <c r="F2100" s="10"/>
      <c r="G2100" s="10" t="s">
        <v>15</v>
      </c>
      <c r="H2100" s="10" t="s">
        <v>17</v>
      </c>
      <c r="I2100" s="10" t="s">
        <v>66</v>
      </c>
      <c r="J2100" s="10"/>
      <c r="K2100" s="10"/>
      <c r="L2100" s="10"/>
      <c r="M2100" s="12"/>
      <c r="N2100" s="10"/>
      <c r="O2100" s="10" t="s">
        <v>2054</v>
      </c>
      <c r="P2100" s="25" t="str">
        <f>IFERROR(
IF(OR(O2100="anulado",O2100="stand by"),CONCATENATE(O2100,": ",H2100),
IF(OR(YEAR(M2100)=2022,YEAR(M2100)=2023),CONCATENATE("Se activó en ",YEAR(M2100)),
IF(AND(OR(O2100="En proceso",O2100="facturando"),AND(J2100="-",M2100="")),"Por revisar",
IF(M2100="",IF(J2100="NUEVAS",CONCATENATE("Estado: ",O2100,", ",J2100),
IF(L2100=Meses!$A$3,"Por revisar",
IF(H2100="","Sin registro","En programación Frcst."))),"En programación")))),
"Error")</f>
        <v>En programación Frcst.</v>
      </c>
      <c r="Q2100" s="9" t="str">
        <f t="shared" si="99"/>
        <v/>
      </c>
      <c r="R2100" s="25" t="e">
        <f>IF(P2100="En programación Frcst.",VLOOKUP(L2100,Meses!$A$1:$H$14,3+HLOOKUP(Cronograma!J2100,Meses!$D$1:$G$2,2,FALSE),FALSE),
IF(P2100="En programación",M2100,""))</f>
        <v>#N/A</v>
      </c>
      <c r="S2100" s="25" t="str">
        <f t="shared" si="98"/>
        <v/>
      </c>
      <c r="T2100" s="21" t="str">
        <f>IFERROR(
(VLOOKUP(MONTH(R2100),Meses!$B$3:$C$14,2,FALSE)-DAY(R2100))/VLOOKUP(MONTH(R2100),Meses!$B$3:$C$14,2,FALSE)*U2100,
"")</f>
        <v/>
      </c>
      <c r="U2100" s="22">
        <f t="shared" si="100"/>
        <v>0</v>
      </c>
    </row>
    <row r="2101" spans="1:21" ht="31.8" hidden="1" thickBot="1" x14ac:dyDescent="0.6">
      <c r="A2101" s="10" t="s">
        <v>3075</v>
      </c>
      <c r="B2101" s="10" t="s">
        <v>2706</v>
      </c>
      <c r="C2101" s="12">
        <v>45029</v>
      </c>
      <c r="D2101" s="10" t="s">
        <v>323</v>
      </c>
      <c r="E2101" s="10" t="s">
        <v>14</v>
      </c>
      <c r="F2101" s="10"/>
      <c r="G2101" s="10" t="s">
        <v>15</v>
      </c>
      <c r="H2101" s="10" t="s">
        <v>17</v>
      </c>
      <c r="I2101" s="10" t="s">
        <v>66</v>
      </c>
      <c r="J2101" s="10"/>
      <c r="K2101" s="10"/>
      <c r="L2101" s="10"/>
      <c r="M2101" s="12"/>
      <c r="N2101" s="10"/>
      <c r="O2101" s="10" t="s">
        <v>2054</v>
      </c>
      <c r="P2101" s="25" t="str">
        <f>IFERROR(
IF(OR(O2101="anulado",O2101="stand by"),CONCATENATE(O2101,": ",H2101),
IF(OR(YEAR(M2101)=2022,YEAR(M2101)=2023),CONCATENATE("Se activó en ",YEAR(M2101)),
IF(AND(OR(O2101="En proceso",O2101="facturando"),AND(J2101="-",M2101="")),"Por revisar",
IF(M2101="",IF(J2101="NUEVAS",CONCATENATE("Estado: ",O2101,", ",J2101),
IF(L2101=Meses!$A$3,"Por revisar",
IF(H2101="","Sin registro","En programación Frcst."))),"En programación")))),
"Error")</f>
        <v>En programación Frcst.</v>
      </c>
      <c r="Q2101" s="9" t="str">
        <f t="shared" si="99"/>
        <v/>
      </c>
      <c r="R2101" s="25" t="e">
        <f>IF(P2101="En programación Frcst.",VLOOKUP(L2101,Meses!$A$1:$H$14,3+HLOOKUP(Cronograma!J2101,Meses!$D$1:$G$2,2,FALSE),FALSE),
IF(P2101="En programación",M2101,""))</f>
        <v>#N/A</v>
      </c>
      <c r="S2101" s="25" t="str">
        <f t="shared" si="98"/>
        <v/>
      </c>
      <c r="T2101" s="21" t="str">
        <f>IFERROR(
(VLOOKUP(MONTH(R2101),Meses!$B$3:$C$14,2,FALSE)-DAY(R2101))/VLOOKUP(MONTH(R2101),Meses!$B$3:$C$14,2,FALSE)*U2101,
"")</f>
        <v/>
      </c>
      <c r="U2101" s="22">
        <f t="shared" si="100"/>
        <v>0</v>
      </c>
    </row>
    <row r="2102" spans="1:21" ht="63" hidden="1" thickBot="1" x14ac:dyDescent="0.6">
      <c r="A2102" s="10" t="s">
        <v>3076</v>
      </c>
      <c r="B2102" s="10" t="s">
        <v>2707</v>
      </c>
      <c r="C2102" s="12">
        <v>45029</v>
      </c>
      <c r="D2102" s="10" t="s">
        <v>323</v>
      </c>
      <c r="E2102" s="10" t="s">
        <v>677</v>
      </c>
      <c r="F2102" s="10"/>
      <c r="G2102" s="10" t="s">
        <v>15</v>
      </c>
      <c r="H2102" s="10" t="s">
        <v>17</v>
      </c>
      <c r="I2102" s="10" t="s">
        <v>66</v>
      </c>
      <c r="J2102" s="10"/>
      <c r="K2102" s="10"/>
      <c r="L2102" s="10"/>
      <c r="M2102" s="12"/>
      <c r="N2102" s="10"/>
      <c r="O2102" s="10" t="s">
        <v>2054</v>
      </c>
      <c r="P2102" s="25" t="str">
        <f>IFERROR(
IF(OR(O2102="anulado",O2102="stand by"),CONCATENATE(O2102,": ",H2102),
IF(OR(YEAR(M2102)=2022,YEAR(M2102)=2023),CONCATENATE("Se activó en ",YEAR(M2102)),
IF(AND(OR(O2102="En proceso",O2102="facturando"),AND(J2102="-",M2102="")),"Por revisar",
IF(M2102="",IF(J2102="NUEVAS",CONCATENATE("Estado: ",O2102,", ",J2102),
IF(L2102=Meses!$A$3,"Por revisar",
IF(H2102="","Sin registro","En programación Frcst."))),"En programación")))),
"Error")</f>
        <v>En programación Frcst.</v>
      </c>
      <c r="Q2102" s="9" t="str">
        <f t="shared" si="99"/>
        <v/>
      </c>
      <c r="R2102" s="25" t="e">
        <f>IF(P2102="En programación Frcst.",VLOOKUP(L2102,Meses!$A$1:$H$14,3+HLOOKUP(Cronograma!J2102,Meses!$D$1:$G$2,2,FALSE),FALSE),
IF(P2102="En programación",M2102,""))</f>
        <v>#N/A</v>
      </c>
      <c r="S2102" s="25" t="str">
        <f t="shared" si="98"/>
        <v/>
      </c>
      <c r="T2102" s="21" t="str">
        <f>IFERROR(
(VLOOKUP(MONTH(R2102),Meses!$B$3:$C$14,2,FALSE)-DAY(R2102))/VLOOKUP(MONTH(R2102),Meses!$B$3:$C$14,2,FALSE)*U2102,
"")</f>
        <v/>
      </c>
      <c r="U2102" s="22">
        <f t="shared" si="100"/>
        <v>0</v>
      </c>
    </row>
    <row r="2103" spans="1:21" ht="47.4" hidden="1" thickBot="1" x14ac:dyDescent="0.6">
      <c r="A2103" s="10" t="s">
        <v>3077</v>
      </c>
      <c r="B2103" s="10" t="s">
        <v>2708</v>
      </c>
      <c r="C2103" s="12">
        <v>45029</v>
      </c>
      <c r="D2103" s="10" t="s">
        <v>323</v>
      </c>
      <c r="E2103" s="10" t="s">
        <v>298</v>
      </c>
      <c r="F2103" s="10"/>
      <c r="G2103" s="10" t="s">
        <v>15</v>
      </c>
      <c r="H2103" s="10" t="s">
        <v>17</v>
      </c>
      <c r="I2103" s="10" t="s">
        <v>66</v>
      </c>
      <c r="J2103" s="10"/>
      <c r="K2103" s="10"/>
      <c r="L2103" s="10"/>
      <c r="M2103" s="12"/>
      <c r="N2103" s="10"/>
      <c r="O2103" s="10" t="s">
        <v>2054</v>
      </c>
      <c r="P2103" s="25" t="str">
        <f>IFERROR(
IF(OR(O2103="anulado",O2103="stand by"),CONCATENATE(O2103,": ",H2103),
IF(OR(YEAR(M2103)=2022,YEAR(M2103)=2023),CONCATENATE("Se activó en ",YEAR(M2103)),
IF(AND(OR(O2103="En proceso",O2103="facturando"),AND(J2103="-",M2103="")),"Por revisar",
IF(M2103="",IF(J2103="NUEVAS",CONCATENATE("Estado: ",O2103,", ",J2103),
IF(L2103=Meses!$A$3,"Por revisar",
IF(H2103="","Sin registro","En programación Frcst."))),"En programación")))),
"Error")</f>
        <v>En programación Frcst.</v>
      </c>
      <c r="Q2103" s="9" t="str">
        <f t="shared" si="99"/>
        <v/>
      </c>
      <c r="R2103" s="25" t="e">
        <f>IF(P2103="En programación Frcst.",VLOOKUP(L2103,Meses!$A$1:$H$14,3+HLOOKUP(Cronograma!J2103,Meses!$D$1:$G$2,2,FALSE),FALSE),
IF(P2103="En programación",M2103,""))</f>
        <v>#N/A</v>
      </c>
      <c r="S2103" s="25" t="str">
        <f t="shared" si="98"/>
        <v/>
      </c>
      <c r="T2103" s="21" t="str">
        <f>IFERROR(
(VLOOKUP(MONTH(R2103),Meses!$B$3:$C$14,2,FALSE)-DAY(R2103))/VLOOKUP(MONTH(R2103),Meses!$B$3:$C$14,2,FALSE)*U2103,
"")</f>
        <v/>
      </c>
      <c r="U2103" s="22">
        <f t="shared" si="100"/>
        <v>0</v>
      </c>
    </row>
    <row r="2104" spans="1:21" ht="47.4" hidden="1" thickBot="1" x14ac:dyDescent="0.6">
      <c r="A2104" s="10" t="s">
        <v>3078</v>
      </c>
      <c r="B2104" s="10" t="s">
        <v>2709</v>
      </c>
      <c r="C2104" s="12">
        <v>45029</v>
      </c>
      <c r="D2104" s="10" t="s">
        <v>323</v>
      </c>
      <c r="E2104" s="10" t="s">
        <v>291</v>
      </c>
      <c r="F2104" s="10"/>
      <c r="G2104" s="10" t="s">
        <v>15</v>
      </c>
      <c r="H2104" s="10" t="s">
        <v>17</v>
      </c>
      <c r="I2104" s="10" t="s">
        <v>66</v>
      </c>
      <c r="J2104" s="10"/>
      <c r="K2104" s="10"/>
      <c r="L2104" s="10"/>
      <c r="M2104" s="12"/>
      <c r="N2104" s="10"/>
      <c r="O2104" s="10" t="s">
        <v>2054</v>
      </c>
      <c r="P2104" s="25" t="str">
        <f>IFERROR(
IF(OR(O2104="anulado",O2104="stand by"),CONCATENATE(O2104,": ",H2104),
IF(OR(YEAR(M2104)=2022,YEAR(M2104)=2023),CONCATENATE("Se activó en ",YEAR(M2104)),
IF(AND(OR(O2104="En proceso",O2104="facturando"),AND(J2104="-",M2104="")),"Por revisar",
IF(M2104="",IF(J2104="NUEVAS",CONCATENATE("Estado: ",O2104,", ",J2104),
IF(L2104=Meses!$A$3,"Por revisar",
IF(H2104="","Sin registro","En programación Frcst."))),"En programación")))),
"Error")</f>
        <v>En programación Frcst.</v>
      </c>
      <c r="Q2104" s="9" t="str">
        <f t="shared" si="99"/>
        <v/>
      </c>
      <c r="R2104" s="25" t="e">
        <f>IF(P2104="En programación Frcst.",VLOOKUP(L2104,Meses!$A$1:$H$14,3+HLOOKUP(Cronograma!J2104,Meses!$D$1:$G$2,2,FALSE),FALSE),
IF(P2104="En programación",M2104,""))</f>
        <v>#N/A</v>
      </c>
      <c r="S2104" s="25" t="str">
        <f t="shared" si="98"/>
        <v/>
      </c>
      <c r="T2104" s="21" t="str">
        <f>IFERROR(
(VLOOKUP(MONTH(R2104),Meses!$B$3:$C$14,2,FALSE)-DAY(R2104))/VLOOKUP(MONTH(R2104),Meses!$B$3:$C$14,2,FALSE)*U2104,
"")</f>
        <v/>
      </c>
      <c r="U2104" s="22">
        <f t="shared" si="100"/>
        <v>0</v>
      </c>
    </row>
    <row r="2105" spans="1:21" ht="47.4" hidden="1" thickBot="1" x14ac:dyDescent="0.6">
      <c r="A2105" s="10" t="s">
        <v>3079</v>
      </c>
      <c r="B2105" s="10" t="s">
        <v>2710</v>
      </c>
      <c r="C2105" s="12">
        <v>45029</v>
      </c>
      <c r="D2105" s="10" t="s">
        <v>323</v>
      </c>
      <c r="E2105" s="10" t="s">
        <v>291</v>
      </c>
      <c r="F2105" s="10"/>
      <c r="G2105" s="10" t="s">
        <v>15</v>
      </c>
      <c r="H2105" s="10" t="s">
        <v>17</v>
      </c>
      <c r="I2105" s="10" t="s">
        <v>66</v>
      </c>
      <c r="J2105" s="10"/>
      <c r="K2105" s="10"/>
      <c r="L2105" s="10"/>
      <c r="M2105" s="12"/>
      <c r="N2105" s="10"/>
      <c r="O2105" s="10" t="s">
        <v>2054</v>
      </c>
      <c r="P2105" s="25" t="str">
        <f>IFERROR(
IF(OR(O2105="anulado",O2105="stand by"),CONCATENATE(O2105,": ",H2105),
IF(OR(YEAR(M2105)=2022,YEAR(M2105)=2023),CONCATENATE("Se activó en ",YEAR(M2105)),
IF(AND(OR(O2105="En proceso",O2105="facturando"),AND(J2105="-",M2105="")),"Por revisar",
IF(M2105="",IF(J2105="NUEVAS",CONCATENATE("Estado: ",O2105,", ",J2105),
IF(L2105=Meses!$A$3,"Por revisar",
IF(H2105="","Sin registro","En programación Frcst."))),"En programación")))),
"Error")</f>
        <v>En programación Frcst.</v>
      </c>
      <c r="Q2105" s="9" t="str">
        <f t="shared" si="99"/>
        <v/>
      </c>
      <c r="R2105" s="25" t="e">
        <f>IF(P2105="En programación Frcst.",VLOOKUP(L2105,Meses!$A$1:$H$14,3+HLOOKUP(Cronograma!J2105,Meses!$D$1:$G$2,2,FALSE),FALSE),
IF(P2105="En programación",M2105,""))</f>
        <v>#N/A</v>
      </c>
      <c r="S2105" s="25" t="str">
        <f t="shared" si="98"/>
        <v/>
      </c>
      <c r="T2105" s="21" t="str">
        <f>IFERROR(
(VLOOKUP(MONTH(R2105),Meses!$B$3:$C$14,2,FALSE)-DAY(R2105))/VLOOKUP(MONTH(R2105),Meses!$B$3:$C$14,2,FALSE)*U2105,
"")</f>
        <v/>
      </c>
      <c r="U2105" s="22">
        <f t="shared" si="100"/>
        <v>0</v>
      </c>
    </row>
    <row r="2106" spans="1:21" ht="31.8" hidden="1" thickBot="1" x14ac:dyDescent="0.6">
      <c r="A2106" s="10" t="s">
        <v>3080</v>
      </c>
      <c r="B2106" s="10" t="s">
        <v>2711</v>
      </c>
      <c r="C2106" s="12">
        <v>45029</v>
      </c>
      <c r="D2106" s="10" t="s">
        <v>323</v>
      </c>
      <c r="E2106" s="10" t="s">
        <v>23</v>
      </c>
      <c r="F2106" s="10"/>
      <c r="G2106" s="10" t="s">
        <v>15</v>
      </c>
      <c r="H2106" s="10" t="s">
        <v>17</v>
      </c>
      <c r="I2106" s="10" t="s">
        <v>66</v>
      </c>
      <c r="J2106" s="10"/>
      <c r="K2106" s="10"/>
      <c r="L2106" s="10"/>
      <c r="M2106" s="12"/>
      <c r="N2106" s="10"/>
      <c r="O2106" s="10" t="s">
        <v>2054</v>
      </c>
      <c r="P2106" s="25" t="str">
        <f>IFERROR(
IF(OR(O2106="anulado",O2106="stand by"),CONCATENATE(O2106,": ",H2106),
IF(OR(YEAR(M2106)=2022,YEAR(M2106)=2023),CONCATENATE("Se activó en ",YEAR(M2106)),
IF(AND(OR(O2106="En proceso",O2106="facturando"),AND(J2106="-",M2106="")),"Por revisar",
IF(M2106="",IF(J2106="NUEVAS",CONCATENATE("Estado: ",O2106,", ",J2106),
IF(L2106=Meses!$A$3,"Por revisar",
IF(H2106="","Sin registro","En programación Frcst."))),"En programación")))),
"Error")</f>
        <v>En programación Frcst.</v>
      </c>
      <c r="Q2106" s="9" t="str">
        <f t="shared" si="99"/>
        <v/>
      </c>
      <c r="R2106" s="25" t="e">
        <f>IF(P2106="En programación Frcst.",VLOOKUP(L2106,Meses!$A$1:$H$14,3+HLOOKUP(Cronograma!J2106,Meses!$D$1:$G$2,2,FALSE),FALSE),
IF(P2106="En programación",M2106,""))</f>
        <v>#N/A</v>
      </c>
      <c r="S2106" s="25" t="str">
        <f t="shared" si="98"/>
        <v/>
      </c>
      <c r="T2106" s="21" t="str">
        <f>IFERROR(
(VLOOKUP(MONTH(R2106),Meses!$B$3:$C$14,2,FALSE)-DAY(R2106))/VLOOKUP(MONTH(R2106),Meses!$B$3:$C$14,2,FALSE)*U2106,
"")</f>
        <v/>
      </c>
      <c r="U2106" s="22">
        <f t="shared" si="100"/>
        <v>0</v>
      </c>
    </row>
    <row r="2107" spans="1:21" ht="47.4" hidden="1" thickBot="1" x14ac:dyDescent="0.6">
      <c r="A2107" s="10" t="s">
        <v>3081</v>
      </c>
      <c r="B2107" s="10" t="s">
        <v>2712</v>
      </c>
      <c r="C2107" s="12">
        <v>45029</v>
      </c>
      <c r="D2107" s="10" t="s">
        <v>323</v>
      </c>
      <c r="E2107" s="10" t="s">
        <v>14</v>
      </c>
      <c r="F2107" s="10"/>
      <c r="G2107" s="10" t="s">
        <v>15</v>
      </c>
      <c r="H2107" s="10" t="s">
        <v>17</v>
      </c>
      <c r="I2107" s="10" t="s">
        <v>66</v>
      </c>
      <c r="J2107" s="10"/>
      <c r="K2107" s="10"/>
      <c r="L2107" s="10"/>
      <c r="M2107" s="12"/>
      <c r="N2107" s="10"/>
      <c r="O2107" s="10" t="s">
        <v>2054</v>
      </c>
      <c r="P2107" s="25" t="str">
        <f>IFERROR(
IF(OR(O2107="anulado",O2107="stand by"),CONCATENATE(O2107,": ",H2107),
IF(OR(YEAR(M2107)=2022,YEAR(M2107)=2023),CONCATENATE("Se activó en ",YEAR(M2107)),
IF(AND(OR(O2107="En proceso",O2107="facturando"),AND(J2107="-",M2107="")),"Por revisar",
IF(M2107="",IF(J2107="NUEVAS",CONCATENATE("Estado: ",O2107,", ",J2107),
IF(L2107=Meses!$A$3,"Por revisar",
IF(H2107="","Sin registro","En programación Frcst."))),"En programación")))),
"Error")</f>
        <v>En programación Frcst.</v>
      </c>
      <c r="Q2107" s="9" t="str">
        <f t="shared" si="99"/>
        <v/>
      </c>
      <c r="R2107" s="25" t="e">
        <f>IF(P2107="En programación Frcst.",VLOOKUP(L2107,Meses!$A$1:$H$14,3+HLOOKUP(Cronograma!J2107,Meses!$D$1:$G$2,2,FALSE),FALSE),
IF(P2107="En programación",M2107,""))</f>
        <v>#N/A</v>
      </c>
      <c r="S2107" s="25" t="str">
        <f t="shared" si="98"/>
        <v/>
      </c>
      <c r="T2107" s="21" t="str">
        <f>IFERROR(
(VLOOKUP(MONTH(R2107),Meses!$B$3:$C$14,2,FALSE)-DAY(R2107))/VLOOKUP(MONTH(R2107),Meses!$B$3:$C$14,2,FALSE)*U2107,
"")</f>
        <v/>
      </c>
      <c r="U2107" s="22">
        <f t="shared" si="100"/>
        <v>0</v>
      </c>
    </row>
    <row r="2108" spans="1:21" ht="47.4" hidden="1" thickBot="1" x14ac:dyDescent="0.6">
      <c r="A2108" s="10" t="s">
        <v>3082</v>
      </c>
      <c r="B2108" s="10" t="s">
        <v>2713</v>
      </c>
      <c r="C2108" s="12">
        <v>45029</v>
      </c>
      <c r="D2108" s="10" t="s">
        <v>323</v>
      </c>
      <c r="E2108" s="10" t="s">
        <v>14</v>
      </c>
      <c r="F2108" s="10"/>
      <c r="G2108" s="10" t="s">
        <v>15</v>
      </c>
      <c r="H2108" s="10" t="s">
        <v>17</v>
      </c>
      <c r="I2108" s="10" t="s">
        <v>66</v>
      </c>
      <c r="J2108" s="10"/>
      <c r="K2108" s="10"/>
      <c r="L2108" s="10"/>
      <c r="M2108" s="12"/>
      <c r="N2108" s="10"/>
      <c r="O2108" s="10" t="s">
        <v>2054</v>
      </c>
      <c r="P2108" s="25" t="str">
        <f>IFERROR(
IF(OR(O2108="anulado",O2108="stand by"),CONCATENATE(O2108,": ",H2108),
IF(OR(YEAR(M2108)=2022,YEAR(M2108)=2023),CONCATENATE("Se activó en ",YEAR(M2108)),
IF(AND(OR(O2108="En proceso",O2108="facturando"),AND(J2108="-",M2108="")),"Por revisar",
IF(M2108="",IF(J2108="NUEVAS",CONCATENATE("Estado: ",O2108,", ",J2108),
IF(L2108=Meses!$A$3,"Por revisar",
IF(H2108="","Sin registro","En programación Frcst."))),"En programación")))),
"Error")</f>
        <v>En programación Frcst.</v>
      </c>
      <c r="Q2108" s="9" t="str">
        <f t="shared" si="99"/>
        <v/>
      </c>
      <c r="R2108" s="25" t="e">
        <f>IF(P2108="En programación Frcst.",VLOOKUP(L2108,Meses!$A$1:$H$14,3+HLOOKUP(Cronograma!J2108,Meses!$D$1:$G$2,2,FALSE),FALSE),
IF(P2108="En programación",M2108,""))</f>
        <v>#N/A</v>
      </c>
      <c r="S2108" s="25" t="str">
        <f t="shared" si="98"/>
        <v/>
      </c>
      <c r="T2108" s="21" t="str">
        <f>IFERROR(
(VLOOKUP(MONTH(R2108),Meses!$B$3:$C$14,2,FALSE)-DAY(R2108))/VLOOKUP(MONTH(R2108),Meses!$B$3:$C$14,2,FALSE)*U2108,
"")</f>
        <v/>
      </c>
      <c r="U2108" s="22">
        <f t="shared" si="100"/>
        <v>0</v>
      </c>
    </row>
    <row r="2109" spans="1:21" ht="63" hidden="1" thickBot="1" x14ac:dyDescent="0.6">
      <c r="A2109" s="10" t="s">
        <v>3083</v>
      </c>
      <c r="B2109" s="10" t="s">
        <v>2714</v>
      </c>
      <c r="C2109" s="12">
        <v>45029</v>
      </c>
      <c r="D2109" s="10" t="s">
        <v>323</v>
      </c>
      <c r="E2109" s="10" t="s">
        <v>289</v>
      </c>
      <c r="F2109" s="10"/>
      <c r="G2109" s="10" t="s">
        <v>15</v>
      </c>
      <c r="H2109" s="10" t="s">
        <v>17</v>
      </c>
      <c r="I2109" s="10" t="s">
        <v>66</v>
      </c>
      <c r="J2109" s="10"/>
      <c r="K2109" s="10"/>
      <c r="L2109" s="10"/>
      <c r="M2109" s="12"/>
      <c r="N2109" s="10"/>
      <c r="O2109" s="10" t="s">
        <v>2054</v>
      </c>
      <c r="P2109" s="25" t="str">
        <f>IFERROR(
IF(OR(O2109="anulado",O2109="stand by"),CONCATENATE(O2109,": ",H2109),
IF(OR(YEAR(M2109)=2022,YEAR(M2109)=2023),CONCATENATE("Se activó en ",YEAR(M2109)),
IF(AND(OR(O2109="En proceso",O2109="facturando"),AND(J2109="-",M2109="")),"Por revisar",
IF(M2109="",IF(J2109="NUEVAS",CONCATENATE("Estado: ",O2109,", ",J2109),
IF(L2109=Meses!$A$3,"Por revisar",
IF(H2109="","Sin registro","En programación Frcst."))),"En programación")))),
"Error")</f>
        <v>En programación Frcst.</v>
      </c>
      <c r="Q2109" s="9" t="str">
        <f t="shared" si="99"/>
        <v/>
      </c>
      <c r="R2109" s="25" t="e">
        <f>IF(P2109="En programación Frcst.",VLOOKUP(L2109,Meses!$A$1:$H$14,3+HLOOKUP(Cronograma!J2109,Meses!$D$1:$G$2,2,FALSE),FALSE),
IF(P2109="En programación",M2109,""))</f>
        <v>#N/A</v>
      </c>
      <c r="S2109" s="25" t="str">
        <f t="shared" ref="S2109:S2172" si="101">IFERROR(CONCATENATE(YEAR(R2109),"/",MONTH(R2109)),"")</f>
        <v/>
      </c>
      <c r="T2109" s="21" t="str">
        <f>IFERROR(
(VLOOKUP(MONTH(R2109),Meses!$B$3:$C$14,2,FALSE)-DAY(R2109))/VLOOKUP(MONTH(R2109),Meses!$B$3:$C$14,2,FALSE)*U2109,
"")</f>
        <v/>
      </c>
      <c r="U2109" s="22">
        <f t="shared" si="100"/>
        <v>0</v>
      </c>
    </row>
    <row r="2110" spans="1:21" ht="63" hidden="1" thickBot="1" x14ac:dyDescent="0.6">
      <c r="A2110" s="10" t="s">
        <v>3083</v>
      </c>
      <c r="B2110" s="10" t="s">
        <v>2715</v>
      </c>
      <c r="C2110" s="12">
        <v>45029</v>
      </c>
      <c r="D2110" s="10" t="s">
        <v>323</v>
      </c>
      <c r="E2110" s="10" t="s">
        <v>289</v>
      </c>
      <c r="F2110" s="10"/>
      <c r="G2110" s="10" t="s">
        <v>15</v>
      </c>
      <c r="H2110" s="10" t="s">
        <v>17</v>
      </c>
      <c r="I2110" s="10" t="s">
        <v>66</v>
      </c>
      <c r="J2110" s="10"/>
      <c r="K2110" s="10"/>
      <c r="L2110" s="10"/>
      <c r="M2110" s="12"/>
      <c r="N2110" s="10"/>
      <c r="O2110" s="10" t="s">
        <v>2054</v>
      </c>
      <c r="P2110" s="25" t="str">
        <f>IFERROR(
IF(OR(O2110="anulado",O2110="stand by"),CONCATENATE(O2110,": ",H2110),
IF(OR(YEAR(M2110)=2022,YEAR(M2110)=2023),CONCATENATE("Se activó en ",YEAR(M2110)),
IF(AND(OR(O2110="En proceso",O2110="facturando"),AND(J2110="-",M2110="")),"Por revisar",
IF(M2110="",IF(J2110="NUEVAS",CONCATENATE("Estado: ",O2110,", ",J2110),
IF(L2110=Meses!$A$3,"Por revisar",
IF(H2110="","Sin registro","En programación Frcst."))),"En programación")))),
"Error")</f>
        <v>En programación Frcst.</v>
      </c>
      <c r="Q2110" s="9" t="str">
        <f t="shared" si="99"/>
        <v/>
      </c>
      <c r="R2110" s="25" t="e">
        <f>IF(P2110="En programación Frcst.",VLOOKUP(L2110,Meses!$A$1:$H$14,3+HLOOKUP(Cronograma!J2110,Meses!$D$1:$G$2,2,FALSE),FALSE),
IF(P2110="En programación",M2110,""))</f>
        <v>#N/A</v>
      </c>
      <c r="S2110" s="25" t="str">
        <f t="shared" si="101"/>
        <v/>
      </c>
      <c r="T2110" s="21" t="str">
        <f>IFERROR(
(VLOOKUP(MONTH(R2110),Meses!$B$3:$C$14,2,FALSE)-DAY(R2110))/VLOOKUP(MONTH(R2110),Meses!$B$3:$C$14,2,FALSE)*U2110,
"")</f>
        <v/>
      </c>
      <c r="U2110" s="22">
        <f t="shared" si="100"/>
        <v>0</v>
      </c>
    </row>
    <row r="2111" spans="1:21" ht="63" hidden="1" thickBot="1" x14ac:dyDescent="0.6">
      <c r="A2111" s="10" t="s">
        <v>3083</v>
      </c>
      <c r="B2111" s="10" t="s">
        <v>2716</v>
      </c>
      <c r="C2111" s="12">
        <v>45029</v>
      </c>
      <c r="D2111" s="10" t="s">
        <v>323</v>
      </c>
      <c r="E2111" s="10" t="s">
        <v>289</v>
      </c>
      <c r="F2111" s="10"/>
      <c r="G2111" s="10" t="s">
        <v>15</v>
      </c>
      <c r="H2111" s="10" t="s">
        <v>17</v>
      </c>
      <c r="I2111" s="10" t="s">
        <v>66</v>
      </c>
      <c r="J2111" s="10"/>
      <c r="K2111" s="10"/>
      <c r="L2111" s="10"/>
      <c r="M2111" s="12"/>
      <c r="N2111" s="10"/>
      <c r="O2111" s="10" t="s">
        <v>2054</v>
      </c>
      <c r="P2111" s="25" t="str">
        <f>IFERROR(
IF(OR(O2111="anulado",O2111="stand by"),CONCATENATE(O2111,": ",H2111),
IF(OR(YEAR(M2111)=2022,YEAR(M2111)=2023),CONCATENATE("Se activó en ",YEAR(M2111)),
IF(AND(OR(O2111="En proceso",O2111="facturando"),AND(J2111="-",M2111="")),"Por revisar",
IF(M2111="",IF(J2111="NUEVAS",CONCATENATE("Estado: ",O2111,", ",J2111),
IF(L2111=Meses!$A$3,"Por revisar",
IF(H2111="","Sin registro","En programación Frcst."))),"En programación")))),
"Error")</f>
        <v>En programación Frcst.</v>
      </c>
      <c r="Q2111" s="9" t="str">
        <f t="shared" si="99"/>
        <v/>
      </c>
      <c r="R2111" s="25" t="e">
        <f>IF(P2111="En programación Frcst.",VLOOKUP(L2111,Meses!$A$1:$H$14,3+HLOOKUP(Cronograma!J2111,Meses!$D$1:$G$2,2,FALSE),FALSE),
IF(P2111="En programación",M2111,""))</f>
        <v>#N/A</v>
      </c>
      <c r="S2111" s="25" t="str">
        <f t="shared" si="101"/>
        <v/>
      </c>
      <c r="T2111" s="21" t="str">
        <f>IFERROR(
(VLOOKUP(MONTH(R2111),Meses!$B$3:$C$14,2,FALSE)-DAY(R2111))/VLOOKUP(MONTH(R2111),Meses!$B$3:$C$14,2,FALSE)*U2111,
"")</f>
        <v/>
      </c>
      <c r="U2111" s="22">
        <f t="shared" si="100"/>
        <v>0</v>
      </c>
    </row>
    <row r="2112" spans="1:21" ht="63" hidden="1" thickBot="1" x14ac:dyDescent="0.6">
      <c r="A2112" s="10" t="s">
        <v>3083</v>
      </c>
      <c r="B2112" s="10" t="s">
        <v>2717</v>
      </c>
      <c r="C2112" s="12">
        <v>45029</v>
      </c>
      <c r="D2112" s="10" t="s">
        <v>323</v>
      </c>
      <c r="E2112" s="10" t="s">
        <v>289</v>
      </c>
      <c r="F2112" s="10"/>
      <c r="G2112" s="10" t="s">
        <v>15</v>
      </c>
      <c r="H2112" s="10" t="s">
        <v>17</v>
      </c>
      <c r="I2112" s="10" t="s">
        <v>66</v>
      </c>
      <c r="J2112" s="10"/>
      <c r="K2112" s="10"/>
      <c r="L2112" s="10"/>
      <c r="M2112" s="12"/>
      <c r="N2112" s="10"/>
      <c r="O2112" s="10" t="s">
        <v>2054</v>
      </c>
      <c r="P2112" s="25" t="str">
        <f>IFERROR(
IF(OR(O2112="anulado",O2112="stand by"),CONCATENATE(O2112,": ",H2112),
IF(OR(YEAR(M2112)=2022,YEAR(M2112)=2023),CONCATENATE("Se activó en ",YEAR(M2112)),
IF(AND(OR(O2112="En proceso",O2112="facturando"),AND(J2112="-",M2112="")),"Por revisar",
IF(M2112="",IF(J2112="NUEVAS",CONCATENATE("Estado: ",O2112,", ",J2112),
IF(L2112=Meses!$A$3,"Por revisar",
IF(H2112="","Sin registro","En programación Frcst."))),"En programación")))),
"Error")</f>
        <v>En programación Frcst.</v>
      </c>
      <c r="Q2112" s="9" t="str">
        <f t="shared" si="99"/>
        <v/>
      </c>
      <c r="R2112" s="25" t="e">
        <f>IF(P2112="En programación Frcst.",VLOOKUP(L2112,Meses!$A$1:$H$14,3+HLOOKUP(Cronograma!J2112,Meses!$D$1:$G$2,2,FALSE),FALSE),
IF(P2112="En programación",M2112,""))</f>
        <v>#N/A</v>
      </c>
      <c r="S2112" s="25" t="str">
        <f t="shared" si="101"/>
        <v/>
      </c>
      <c r="T2112" s="21" t="str">
        <f>IFERROR(
(VLOOKUP(MONTH(R2112),Meses!$B$3:$C$14,2,FALSE)-DAY(R2112))/VLOOKUP(MONTH(R2112),Meses!$B$3:$C$14,2,FALSE)*U2112,
"")</f>
        <v/>
      </c>
      <c r="U2112" s="22">
        <f t="shared" si="100"/>
        <v>0</v>
      </c>
    </row>
    <row r="2113" spans="1:21" ht="63" hidden="1" thickBot="1" x14ac:dyDescent="0.6">
      <c r="A2113" s="10" t="s">
        <v>3083</v>
      </c>
      <c r="B2113" s="10" t="s">
        <v>2718</v>
      </c>
      <c r="C2113" s="12">
        <v>45029</v>
      </c>
      <c r="D2113" s="10" t="s">
        <v>323</v>
      </c>
      <c r="E2113" s="10" t="s">
        <v>959</v>
      </c>
      <c r="F2113" s="10"/>
      <c r="G2113" s="10" t="s">
        <v>15</v>
      </c>
      <c r="H2113" s="10" t="s">
        <v>17</v>
      </c>
      <c r="I2113" s="10" t="s">
        <v>66</v>
      </c>
      <c r="J2113" s="10"/>
      <c r="K2113" s="10"/>
      <c r="L2113" s="10"/>
      <c r="M2113" s="12"/>
      <c r="N2113" s="10"/>
      <c r="O2113" s="10" t="s">
        <v>2054</v>
      </c>
      <c r="P2113" s="25" t="str">
        <f>IFERROR(
IF(OR(O2113="anulado",O2113="stand by"),CONCATENATE(O2113,": ",H2113),
IF(OR(YEAR(M2113)=2022,YEAR(M2113)=2023),CONCATENATE("Se activó en ",YEAR(M2113)),
IF(AND(OR(O2113="En proceso",O2113="facturando"),AND(J2113="-",M2113="")),"Por revisar",
IF(M2113="",IF(J2113="NUEVAS",CONCATENATE("Estado: ",O2113,", ",J2113),
IF(L2113=Meses!$A$3,"Por revisar",
IF(H2113="","Sin registro","En programación Frcst."))),"En programación")))),
"Error")</f>
        <v>En programación Frcst.</v>
      </c>
      <c r="Q2113" s="9" t="str">
        <f t="shared" si="99"/>
        <v/>
      </c>
      <c r="R2113" s="25" t="e">
        <f>IF(P2113="En programación Frcst.",VLOOKUP(L2113,Meses!$A$1:$H$14,3+HLOOKUP(Cronograma!J2113,Meses!$D$1:$G$2,2,FALSE),FALSE),
IF(P2113="En programación",M2113,""))</f>
        <v>#N/A</v>
      </c>
      <c r="S2113" s="25" t="str">
        <f t="shared" si="101"/>
        <v/>
      </c>
      <c r="T2113" s="21" t="str">
        <f>IFERROR(
(VLOOKUP(MONTH(R2113),Meses!$B$3:$C$14,2,FALSE)-DAY(R2113))/VLOOKUP(MONTH(R2113),Meses!$B$3:$C$14,2,FALSE)*U2113,
"")</f>
        <v/>
      </c>
      <c r="U2113" s="22">
        <f t="shared" si="100"/>
        <v>0</v>
      </c>
    </row>
    <row r="2114" spans="1:21" ht="63" hidden="1" thickBot="1" x14ac:dyDescent="0.6">
      <c r="A2114" s="10" t="s">
        <v>3083</v>
      </c>
      <c r="B2114" s="10" t="s">
        <v>2719</v>
      </c>
      <c r="C2114" s="12">
        <v>45029</v>
      </c>
      <c r="D2114" s="10" t="s">
        <v>323</v>
      </c>
      <c r="E2114" s="10" t="s">
        <v>677</v>
      </c>
      <c r="F2114" s="10"/>
      <c r="G2114" s="10" t="s">
        <v>15</v>
      </c>
      <c r="H2114" s="10" t="s">
        <v>17</v>
      </c>
      <c r="I2114" s="10" t="s">
        <v>66</v>
      </c>
      <c r="J2114" s="10"/>
      <c r="K2114" s="10"/>
      <c r="L2114" s="10"/>
      <c r="M2114" s="12"/>
      <c r="N2114" s="10"/>
      <c r="O2114" s="10" t="s">
        <v>2054</v>
      </c>
      <c r="P2114" s="25" t="str">
        <f>IFERROR(
IF(OR(O2114="anulado",O2114="stand by"),CONCATENATE(O2114,": ",H2114),
IF(OR(YEAR(M2114)=2022,YEAR(M2114)=2023),CONCATENATE("Se activó en ",YEAR(M2114)),
IF(AND(OR(O2114="En proceso",O2114="facturando"),AND(J2114="-",M2114="")),"Por revisar",
IF(M2114="",IF(J2114="NUEVAS",CONCATENATE("Estado: ",O2114,", ",J2114),
IF(L2114=Meses!$A$3,"Por revisar",
IF(H2114="","Sin registro","En programación Frcst."))),"En programación")))),
"Error")</f>
        <v>En programación Frcst.</v>
      </c>
      <c r="Q2114" s="9" t="str">
        <f t="shared" ref="Q2114:Q2177" si="102">IF(P2114="Por revisar",CONCATENATE("programación de act. ",N2114,", estado: ",O2114,", Comercializador: ",D2114,", Etapa: ",H2114),"")</f>
        <v/>
      </c>
      <c r="R2114" s="25" t="e">
        <f>IF(P2114="En programación Frcst.",VLOOKUP(L2114,Meses!$A$1:$H$14,3+HLOOKUP(Cronograma!J2114,Meses!$D$1:$G$2,2,FALSE),FALSE),
IF(P2114="En programación",M2114,""))</f>
        <v>#N/A</v>
      </c>
      <c r="S2114" s="25" t="str">
        <f t="shared" si="101"/>
        <v/>
      </c>
      <c r="T2114" s="21" t="str">
        <f>IFERROR(
(VLOOKUP(MONTH(R2114),Meses!$B$3:$C$14,2,FALSE)-DAY(R2114))/VLOOKUP(MONTH(R2114),Meses!$B$3:$C$14,2,FALSE)*U2114,
"")</f>
        <v/>
      </c>
      <c r="U2114" s="22">
        <f t="shared" ref="U2114:U2177" si="103">F2114</f>
        <v>0</v>
      </c>
    </row>
    <row r="2115" spans="1:21" ht="63" hidden="1" thickBot="1" x14ac:dyDescent="0.6">
      <c r="A2115" s="10" t="s">
        <v>3083</v>
      </c>
      <c r="B2115" s="10" t="s">
        <v>2720</v>
      </c>
      <c r="C2115" s="12">
        <v>45029</v>
      </c>
      <c r="D2115" s="10" t="s">
        <v>323</v>
      </c>
      <c r="E2115" s="10" t="s">
        <v>677</v>
      </c>
      <c r="F2115" s="10"/>
      <c r="G2115" s="10" t="s">
        <v>15</v>
      </c>
      <c r="H2115" s="10" t="s">
        <v>17</v>
      </c>
      <c r="I2115" s="10" t="s">
        <v>66</v>
      </c>
      <c r="J2115" s="10"/>
      <c r="K2115" s="10"/>
      <c r="L2115" s="10"/>
      <c r="M2115" s="12"/>
      <c r="N2115" s="10"/>
      <c r="O2115" s="10" t="s">
        <v>2054</v>
      </c>
      <c r="P2115" s="25" t="str">
        <f>IFERROR(
IF(OR(O2115="anulado",O2115="stand by"),CONCATENATE(O2115,": ",H2115),
IF(OR(YEAR(M2115)=2022,YEAR(M2115)=2023),CONCATENATE("Se activó en ",YEAR(M2115)),
IF(AND(OR(O2115="En proceso",O2115="facturando"),AND(J2115="-",M2115="")),"Por revisar",
IF(M2115="",IF(J2115="NUEVAS",CONCATENATE("Estado: ",O2115,", ",J2115),
IF(L2115=Meses!$A$3,"Por revisar",
IF(H2115="","Sin registro","En programación Frcst."))),"En programación")))),
"Error")</f>
        <v>En programación Frcst.</v>
      </c>
      <c r="Q2115" s="9" t="str">
        <f t="shared" si="102"/>
        <v/>
      </c>
      <c r="R2115" s="25" t="e">
        <f>IF(P2115="En programación Frcst.",VLOOKUP(L2115,Meses!$A$1:$H$14,3+HLOOKUP(Cronograma!J2115,Meses!$D$1:$G$2,2,FALSE),FALSE),
IF(P2115="En programación",M2115,""))</f>
        <v>#N/A</v>
      </c>
      <c r="S2115" s="25" t="str">
        <f t="shared" si="101"/>
        <v/>
      </c>
      <c r="T2115" s="21" t="str">
        <f>IFERROR(
(VLOOKUP(MONTH(R2115),Meses!$B$3:$C$14,2,FALSE)-DAY(R2115))/VLOOKUP(MONTH(R2115),Meses!$B$3:$C$14,2,FALSE)*U2115,
"")</f>
        <v/>
      </c>
      <c r="U2115" s="22">
        <f t="shared" si="103"/>
        <v>0</v>
      </c>
    </row>
    <row r="2116" spans="1:21" ht="63" hidden="1" thickBot="1" x14ac:dyDescent="0.6">
      <c r="A2116" s="10" t="s">
        <v>3083</v>
      </c>
      <c r="B2116" s="10" t="s">
        <v>2721</v>
      </c>
      <c r="C2116" s="12">
        <v>45029</v>
      </c>
      <c r="D2116" s="10" t="s">
        <v>323</v>
      </c>
      <c r="E2116" s="10" t="s">
        <v>677</v>
      </c>
      <c r="F2116" s="10"/>
      <c r="G2116" s="10" t="s">
        <v>15</v>
      </c>
      <c r="H2116" s="10" t="s">
        <v>17</v>
      </c>
      <c r="I2116" s="10" t="s">
        <v>66</v>
      </c>
      <c r="J2116" s="10"/>
      <c r="K2116" s="10"/>
      <c r="L2116" s="10"/>
      <c r="M2116" s="12"/>
      <c r="N2116" s="10"/>
      <c r="O2116" s="10" t="s">
        <v>2054</v>
      </c>
      <c r="P2116" s="25" t="str">
        <f>IFERROR(
IF(OR(O2116="anulado",O2116="stand by"),CONCATENATE(O2116,": ",H2116),
IF(OR(YEAR(M2116)=2022,YEAR(M2116)=2023),CONCATENATE("Se activó en ",YEAR(M2116)),
IF(AND(OR(O2116="En proceso",O2116="facturando"),AND(J2116="-",M2116="")),"Por revisar",
IF(M2116="",IF(J2116="NUEVAS",CONCATENATE("Estado: ",O2116,", ",J2116),
IF(L2116=Meses!$A$3,"Por revisar",
IF(H2116="","Sin registro","En programación Frcst."))),"En programación")))),
"Error")</f>
        <v>En programación Frcst.</v>
      </c>
      <c r="Q2116" s="9" t="str">
        <f t="shared" si="102"/>
        <v/>
      </c>
      <c r="R2116" s="25" t="e">
        <f>IF(P2116="En programación Frcst.",VLOOKUP(L2116,Meses!$A$1:$H$14,3+HLOOKUP(Cronograma!J2116,Meses!$D$1:$G$2,2,FALSE),FALSE),
IF(P2116="En programación",M2116,""))</f>
        <v>#N/A</v>
      </c>
      <c r="S2116" s="25" t="str">
        <f t="shared" si="101"/>
        <v/>
      </c>
      <c r="T2116" s="21" t="str">
        <f>IFERROR(
(VLOOKUP(MONTH(R2116),Meses!$B$3:$C$14,2,FALSE)-DAY(R2116))/VLOOKUP(MONTH(R2116),Meses!$B$3:$C$14,2,FALSE)*U2116,
"")</f>
        <v/>
      </c>
      <c r="U2116" s="22">
        <f t="shared" si="103"/>
        <v>0</v>
      </c>
    </row>
    <row r="2117" spans="1:21" ht="31.8" hidden="1" thickBot="1" x14ac:dyDescent="0.6">
      <c r="A2117" s="10" t="s">
        <v>2166</v>
      </c>
      <c r="B2117" s="10" t="s">
        <v>2722</v>
      </c>
      <c r="C2117" s="12">
        <v>45029</v>
      </c>
      <c r="D2117" s="10" t="s">
        <v>323</v>
      </c>
      <c r="E2117" s="10" t="s">
        <v>289</v>
      </c>
      <c r="F2117" s="10"/>
      <c r="G2117" s="10" t="s">
        <v>15</v>
      </c>
      <c r="H2117" s="10" t="s">
        <v>17</v>
      </c>
      <c r="I2117" s="10" t="s">
        <v>66</v>
      </c>
      <c r="J2117" s="10"/>
      <c r="K2117" s="10"/>
      <c r="L2117" s="10"/>
      <c r="M2117" s="12"/>
      <c r="N2117" s="10"/>
      <c r="O2117" s="10" t="s">
        <v>2054</v>
      </c>
      <c r="P2117" s="25" t="str">
        <f>IFERROR(
IF(OR(O2117="anulado",O2117="stand by"),CONCATENATE(O2117,": ",H2117),
IF(OR(YEAR(M2117)=2022,YEAR(M2117)=2023),CONCATENATE("Se activó en ",YEAR(M2117)),
IF(AND(OR(O2117="En proceso",O2117="facturando"),AND(J2117="-",M2117="")),"Por revisar",
IF(M2117="",IF(J2117="NUEVAS",CONCATENATE("Estado: ",O2117,", ",J2117),
IF(L2117=Meses!$A$3,"Por revisar",
IF(H2117="","Sin registro","En programación Frcst."))),"En programación")))),
"Error")</f>
        <v>En programación Frcst.</v>
      </c>
      <c r="Q2117" s="9" t="str">
        <f t="shared" si="102"/>
        <v/>
      </c>
      <c r="R2117" s="25" t="e">
        <f>IF(P2117="En programación Frcst.",VLOOKUP(L2117,Meses!$A$1:$H$14,3+HLOOKUP(Cronograma!J2117,Meses!$D$1:$G$2,2,FALSE),FALSE),
IF(P2117="En programación",M2117,""))</f>
        <v>#N/A</v>
      </c>
      <c r="S2117" s="25" t="str">
        <f t="shared" si="101"/>
        <v/>
      </c>
      <c r="T2117" s="21" t="str">
        <f>IFERROR(
(VLOOKUP(MONTH(R2117),Meses!$B$3:$C$14,2,FALSE)-DAY(R2117))/VLOOKUP(MONTH(R2117),Meses!$B$3:$C$14,2,FALSE)*U2117,
"")</f>
        <v/>
      </c>
      <c r="U2117" s="22">
        <f t="shared" si="103"/>
        <v>0</v>
      </c>
    </row>
    <row r="2118" spans="1:21" ht="47.4" hidden="1" thickBot="1" x14ac:dyDescent="0.6">
      <c r="A2118" s="10" t="s">
        <v>3084</v>
      </c>
      <c r="B2118" s="10" t="s">
        <v>2723</v>
      </c>
      <c r="C2118" s="12">
        <v>45029</v>
      </c>
      <c r="D2118" s="10" t="s">
        <v>323</v>
      </c>
      <c r="E2118" s="10" t="s">
        <v>289</v>
      </c>
      <c r="F2118" s="10"/>
      <c r="G2118" s="10" t="s">
        <v>15</v>
      </c>
      <c r="H2118" s="10" t="s">
        <v>17</v>
      </c>
      <c r="I2118" s="10" t="s">
        <v>66</v>
      </c>
      <c r="J2118" s="10"/>
      <c r="K2118" s="10"/>
      <c r="L2118" s="10"/>
      <c r="M2118" s="12"/>
      <c r="N2118" s="10"/>
      <c r="O2118" s="10" t="s">
        <v>2054</v>
      </c>
      <c r="P2118" s="25" t="str">
        <f>IFERROR(
IF(OR(O2118="anulado",O2118="stand by"),CONCATENATE(O2118,": ",H2118),
IF(OR(YEAR(M2118)=2022,YEAR(M2118)=2023),CONCATENATE("Se activó en ",YEAR(M2118)),
IF(AND(OR(O2118="En proceso",O2118="facturando"),AND(J2118="-",M2118="")),"Por revisar",
IF(M2118="",IF(J2118="NUEVAS",CONCATENATE("Estado: ",O2118,", ",J2118),
IF(L2118=Meses!$A$3,"Por revisar",
IF(H2118="","Sin registro","En programación Frcst."))),"En programación")))),
"Error")</f>
        <v>En programación Frcst.</v>
      </c>
      <c r="Q2118" s="9" t="str">
        <f t="shared" si="102"/>
        <v/>
      </c>
      <c r="R2118" s="25" t="e">
        <f>IF(P2118="En programación Frcst.",VLOOKUP(L2118,Meses!$A$1:$H$14,3+HLOOKUP(Cronograma!J2118,Meses!$D$1:$G$2,2,FALSE),FALSE),
IF(P2118="En programación",M2118,""))</f>
        <v>#N/A</v>
      </c>
      <c r="S2118" s="25" t="str">
        <f t="shared" si="101"/>
        <v/>
      </c>
      <c r="T2118" s="21" t="str">
        <f>IFERROR(
(VLOOKUP(MONTH(R2118),Meses!$B$3:$C$14,2,FALSE)-DAY(R2118))/VLOOKUP(MONTH(R2118),Meses!$B$3:$C$14,2,FALSE)*U2118,
"")</f>
        <v/>
      </c>
      <c r="U2118" s="22">
        <f t="shared" si="103"/>
        <v>0</v>
      </c>
    </row>
    <row r="2119" spans="1:21" ht="18" hidden="1" thickBot="1" x14ac:dyDescent="0.6">
      <c r="A2119" s="10" t="s">
        <v>2166</v>
      </c>
      <c r="B2119" s="10" t="s">
        <v>2724</v>
      </c>
      <c r="C2119" s="12">
        <v>45029</v>
      </c>
      <c r="D2119" s="10" t="s">
        <v>323</v>
      </c>
      <c r="E2119" s="10"/>
      <c r="F2119" s="10"/>
      <c r="G2119" s="10" t="s">
        <v>15</v>
      </c>
      <c r="H2119" s="10" t="s">
        <v>17</v>
      </c>
      <c r="I2119" s="10" t="s">
        <v>66</v>
      </c>
      <c r="J2119" s="10"/>
      <c r="K2119" s="10"/>
      <c r="L2119" s="10"/>
      <c r="M2119" s="12"/>
      <c r="N2119" s="10"/>
      <c r="O2119" s="10" t="s">
        <v>2054</v>
      </c>
      <c r="P2119" s="25" t="str">
        <f>IFERROR(
IF(OR(O2119="anulado",O2119="stand by"),CONCATENATE(O2119,": ",H2119),
IF(OR(YEAR(M2119)=2022,YEAR(M2119)=2023),CONCATENATE("Se activó en ",YEAR(M2119)),
IF(AND(OR(O2119="En proceso",O2119="facturando"),AND(J2119="-",M2119="")),"Por revisar",
IF(M2119="",IF(J2119="NUEVAS",CONCATENATE("Estado: ",O2119,", ",J2119),
IF(L2119=Meses!$A$3,"Por revisar",
IF(H2119="","Sin registro","En programación Frcst."))),"En programación")))),
"Error")</f>
        <v>En programación Frcst.</v>
      </c>
      <c r="Q2119" s="9" t="str">
        <f t="shared" si="102"/>
        <v/>
      </c>
      <c r="R2119" s="25" t="e">
        <f>IF(P2119="En programación Frcst.",VLOOKUP(L2119,Meses!$A$1:$H$14,3+HLOOKUP(Cronograma!J2119,Meses!$D$1:$G$2,2,FALSE),FALSE),
IF(P2119="En programación",M2119,""))</f>
        <v>#N/A</v>
      </c>
      <c r="S2119" s="25" t="str">
        <f t="shared" si="101"/>
        <v/>
      </c>
      <c r="T2119" s="21" t="str">
        <f>IFERROR(
(VLOOKUP(MONTH(R2119),Meses!$B$3:$C$14,2,FALSE)-DAY(R2119))/VLOOKUP(MONTH(R2119),Meses!$B$3:$C$14,2,FALSE)*U2119,
"")</f>
        <v/>
      </c>
      <c r="U2119" s="22">
        <f t="shared" si="103"/>
        <v>0</v>
      </c>
    </row>
    <row r="2120" spans="1:21" ht="31.8" hidden="1" thickBot="1" x14ac:dyDescent="0.6">
      <c r="A2120" s="10" t="s">
        <v>2166</v>
      </c>
      <c r="B2120" s="10" t="s">
        <v>2725</v>
      </c>
      <c r="C2120" s="12">
        <v>45029</v>
      </c>
      <c r="D2120" s="10" t="s">
        <v>323</v>
      </c>
      <c r="E2120" s="10" t="s">
        <v>677</v>
      </c>
      <c r="F2120" s="10"/>
      <c r="G2120" s="10" t="s">
        <v>15</v>
      </c>
      <c r="H2120" s="10" t="s">
        <v>17</v>
      </c>
      <c r="I2120" s="10" t="s">
        <v>66</v>
      </c>
      <c r="J2120" s="10"/>
      <c r="K2120" s="10"/>
      <c r="L2120" s="10"/>
      <c r="M2120" s="12"/>
      <c r="N2120" s="10"/>
      <c r="O2120" s="10" t="s">
        <v>2054</v>
      </c>
      <c r="P2120" s="25" t="str">
        <f>IFERROR(
IF(OR(O2120="anulado",O2120="stand by"),CONCATENATE(O2120,": ",H2120),
IF(OR(YEAR(M2120)=2022,YEAR(M2120)=2023),CONCATENATE("Se activó en ",YEAR(M2120)),
IF(AND(OR(O2120="En proceso",O2120="facturando"),AND(J2120="-",M2120="")),"Por revisar",
IF(M2120="",IF(J2120="NUEVAS",CONCATENATE("Estado: ",O2120,", ",J2120),
IF(L2120=Meses!$A$3,"Por revisar",
IF(H2120="","Sin registro","En programación Frcst."))),"En programación")))),
"Error")</f>
        <v>En programación Frcst.</v>
      </c>
      <c r="Q2120" s="9" t="str">
        <f t="shared" si="102"/>
        <v/>
      </c>
      <c r="R2120" s="25" t="e">
        <f>IF(P2120="En programación Frcst.",VLOOKUP(L2120,Meses!$A$1:$H$14,3+HLOOKUP(Cronograma!J2120,Meses!$D$1:$G$2,2,FALSE),FALSE),
IF(P2120="En programación",M2120,""))</f>
        <v>#N/A</v>
      </c>
      <c r="S2120" s="25" t="str">
        <f t="shared" si="101"/>
        <v/>
      </c>
      <c r="T2120" s="21" t="str">
        <f>IFERROR(
(VLOOKUP(MONTH(R2120),Meses!$B$3:$C$14,2,FALSE)-DAY(R2120))/VLOOKUP(MONTH(R2120),Meses!$B$3:$C$14,2,FALSE)*U2120,
"")</f>
        <v/>
      </c>
      <c r="U2120" s="22">
        <f t="shared" si="103"/>
        <v>0</v>
      </c>
    </row>
    <row r="2121" spans="1:21" ht="31.8" hidden="1" thickBot="1" x14ac:dyDescent="0.6">
      <c r="A2121" s="10" t="s">
        <v>2166</v>
      </c>
      <c r="B2121" s="10" t="s">
        <v>2726</v>
      </c>
      <c r="C2121" s="12">
        <v>45029</v>
      </c>
      <c r="D2121" s="10" t="s">
        <v>323</v>
      </c>
      <c r="E2121" s="10" t="s">
        <v>677</v>
      </c>
      <c r="F2121" s="10"/>
      <c r="G2121" s="10" t="s">
        <v>15</v>
      </c>
      <c r="H2121" s="10" t="s">
        <v>17</v>
      </c>
      <c r="I2121" s="10" t="s">
        <v>66</v>
      </c>
      <c r="J2121" s="10"/>
      <c r="K2121" s="10"/>
      <c r="L2121" s="10"/>
      <c r="M2121" s="12"/>
      <c r="N2121" s="10"/>
      <c r="O2121" s="10" t="s">
        <v>2054</v>
      </c>
      <c r="P2121" s="25" t="str">
        <f>IFERROR(
IF(OR(O2121="anulado",O2121="stand by"),CONCATENATE(O2121,": ",H2121),
IF(OR(YEAR(M2121)=2022,YEAR(M2121)=2023),CONCATENATE("Se activó en ",YEAR(M2121)),
IF(AND(OR(O2121="En proceso",O2121="facturando"),AND(J2121="-",M2121="")),"Por revisar",
IF(M2121="",IF(J2121="NUEVAS",CONCATENATE("Estado: ",O2121,", ",J2121),
IF(L2121=Meses!$A$3,"Por revisar",
IF(H2121="","Sin registro","En programación Frcst."))),"En programación")))),
"Error")</f>
        <v>En programación Frcst.</v>
      </c>
      <c r="Q2121" s="9" t="str">
        <f t="shared" si="102"/>
        <v/>
      </c>
      <c r="R2121" s="25" t="e">
        <f>IF(P2121="En programación Frcst.",VLOOKUP(L2121,Meses!$A$1:$H$14,3+HLOOKUP(Cronograma!J2121,Meses!$D$1:$G$2,2,FALSE),FALSE),
IF(P2121="En programación",M2121,""))</f>
        <v>#N/A</v>
      </c>
      <c r="S2121" s="25" t="str">
        <f t="shared" si="101"/>
        <v/>
      </c>
      <c r="T2121" s="21" t="str">
        <f>IFERROR(
(VLOOKUP(MONTH(R2121),Meses!$B$3:$C$14,2,FALSE)-DAY(R2121))/VLOOKUP(MONTH(R2121),Meses!$B$3:$C$14,2,FALSE)*U2121,
"")</f>
        <v/>
      </c>
      <c r="U2121" s="22">
        <f t="shared" si="103"/>
        <v>0</v>
      </c>
    </row>
    <row r="2122" spans="1:21" ht="18" hidden="1" thickBot="1" x14ac:dyDescent="0.6">
      <c r="A2122" s="10" t="s">
        <v>2166</v>
      </c>
      <c r="B2122" s="10" t="s">
        <v>2727</v>
      </c>
      <c r="C2122" s="12">
        <v>45029</v>
      </c>
      <c r="D2122" s="10" t="s">
        <v>323</v>
      </c>
      <c r="E2122" s="10"/>
      <c r="F2122" s="10"/>
      <c r="G2122" s="10" t="s">
        <v>15</v>
      </c>
      <c r="H2122" s="10" t="s">
        <v>17</v>
      </c>
      <c r="I2122" s="10" t="s">
        <v>66</v>
      </c>
      <c r="J2122" s="10"/>
      <c r="K2122" s="10"/>
      <c r="L2122" s="10"/>
      <c r="M2122" s="12"/>
      <c r="N2122" s="10"/>
      <c r="O2122" s="10" t="s">
        <v>2054</v>
      </c>
      <c r="P2122" s="25" t="str">
        <f>IFERROR(
IF(OR(O2122="anulado",O2122="stand by"),CONCATENATE(O2122,": ",H2122),
IF(OR(YEAR(M2122)=2022,YEAR(M2122)=2023),CONCATENATE("Se activó en ",YEAR(M2122)),
IF(AND(OR(O2122="En proceso",O2122="facturando"),AND(J2122="-",M2122="")),"Por revisar",
IF(M2122="",IF(J2122="NUEVAS",CONCATENATE("Estado: ",O2122,", ",J2122),
IF(L2122=Meses!$A$3,"Por revisar",
IF(H2122="","Sin registro","En programación Frcst."))),"En programación")))),
"Error")</f>
        <v>En programación Frcst.</v>
      </c>
      <c r="Q2122" s="9" t="str">
        <f t="shared" si="102"/>
        <v/>
      </c>
      <c r="R2122" s="25" t="e">
        <f>IF(P2122="En programación Frcst.",VLOOKUP(L2122,Meses!$A$1:$H$14,3+HLOOKUP(Cronograma!J2122,Meses!$D$1:$G$2,2,FALSE),FALSE),
IF(P2122="En programación",M2122,""))</f>
        <v>#N/A</v>
      </c>
      <c r="S2122" s="25" t="str">
        <f t="shared" si="101"/>
        <v/>
      </c>
      <c r="T2122" s="21" t="str">
        <f>IFERROR(
(VLOOKUP(MONTH(R2122),Meses!$B$3:$C$14,2,FALSE)-DAY(R2122))/VLOOKUP(MONTH(R2122),Meses!$B$3:$C$14,2,FALSE)*U2122,
"")</f>
        <v/>
      </c>
      <c r="U2122" s="22">
        <f t="shared" si="103"/>
        <v>0</v>
      </c>
    </row>
    <row r="2123" spans="1:21" ht="31.8" hidden="1" thickBot="1" x14ac:dyDescent="0.6">
      <c r="A2123" s="10" t="s">
        <v>2166</v>
      </c>
      <c r="B2123" s="10" t="s">
        <v>2728</v>
      </c>
      <c r="C2123" s="12">
        <v>45029</v>
      </c>
      <c r="D2123" s="10" t="s">
        <v>323</v>
      </c>
      <c r="E2123" s="10"/>
      <c r="F2123" s="10"/>
      <c r="G2123" s="10" t="s">
        <v>15</v>
      </c>
      <c r="H2123" s="10" t="s">
        <v>17</v>
      </c>
      <c r="I2123" s="10" t="s">
        <v>66</v>
      </c>
      <c r="J2123" s="10"/>
      <c r="K2123" s="10"/>
      <c r="L2123" s="10"/>
      <c r="M2123" s="12"/>
      <c r="N2123" s="10"/>
      <c r="O2123" s="10" t="s">
        <v>2054</v>
      </c>
      <c r="P2123" s="25" t="str">
        <f>IFERROR(
IF(OR(O2123="anulado",O2123="stand by"),CONCATENATE(O2123,": ",H2123),
IF(OR(YEAR(M2123)=2022,YEAR(M2123)=2023),CONCATENATE("Se activó en ",YEAR(M2123)),
IF(AND(OR(O2123="En proceso",O2123="facturando"),AND(J2123="-",M2123="")),"Por revisar",
IF(M2123="",IF(J2123="NUEVAS",CONCATENATE("Estado: ",O2123,", ",J2123),
IF(L2123=Meses!$A$3,"Por revisar",
IF(H2123="","Sin registro","En programación Frcst."))),"En programación")))),
"Error")</f>
        <v>En programación Frcst.</v>
      </c>
      <c r="Q2123" s="9" t="str">
        <f t="shared" si="102"/>
        <v/>
      </c>
      <c r="R2123" s="25" t="e">
        <f>IF(P2123="En programación Frcst.",VLOOKUP(L2123,Meses!$A$1:$H$14,3+HLOOKUP(Cronograma!J2123,Meses!$D$1:$G$2,2,FALSE),FALSE),
IF(P2123="En programación",M2123,""))</f>
        <v>#N/A</v>
      </c>
      <c r="S2123" s="25" t="str">
        <f t="shared" si="101"/>
        <v/>
      </c>
      <c r="T2123" s="21" t="str">
        <f>IFERROR(
(VLOOKUP(MONTH(R2123),Meses!$B$3:$C$14,2,FALSE)-DAY(R2123))/VLOOKUP(MONTH(R2123),Meses!$B$3:$C$14,2,FALSE)*U2123,
"")</f>
        <v/>
      </c>
      <c r="U2123" s="22">
        <f t="shared" si="103"/>
        <v>0</v>
      </c>
    </row>
    <row r="2124" spans="1:21" ht="31.8" hidden="1" thickBot="1" x14ac:dyDescent="0.6">
      <c r="A2124" s="10" t="s">
        <v>2166</v>
      </c>
      <c r="B2124" s="10" t="s">
        <v>2729</v>
      </c>
      <c r="C2124" s="12">
        <v>45029</v>
      </c>
      <c r="D2124" s="10" t="s">
        <v>323</v>
      </c>
      <c r="E2124" s="10"/>
      <c r="F2124" s="10"/>
      <c r="G2124" s="10" t="s">
        <v>15</v>
      </c>
      <c r="H2124" s="10" t="s">
        <v>17</v>
      </c>
      <c r="I2124" s="10" t="s">
        <v>66</v>
      </c>
      <c r="J2124" s="10"/>
      <c r="K2124" s="10"/>
      <c r="L2124" s="10"/>
      <c r="M2124" s="12"/>
      <c r="N2124" s="10"/>
      <c r="O2124" s="10" t="s">
        <v>2054</v>
      </c>
      <c r="P2124" s="25" t="str">
        <f>IFERROR(
IF(OR(O2124="anulado",O2124="stand by"),CONCATENATE(O2124,": ",H2124),
IF(OR(YEAR(M2124)=2022,YEAR(M2124)=2023),CONCATENATE("Se activó en ",YEAR(M2124)),
IF(AND(OR(O2124="En proceso",O2124="facturando"),AND(J2124="-",M2124="")),"Por revisar",
IF(M2124="",IF(J2124="NUEVAS",CONCATENATE("Estado: ",O2124,", ",J2124),
IF(L2124=Meses!$A$3,"Por revisar",
IF(H2124="","Sin registro","En programación Frcst."))),"En programación")))),
"Error")</f>
        <v>En programación Frcst.</v>
      </c>
      <c r="Q2124" s="9" t="str">
        <f t="shared" si="102"/>
        <v/>
      </c>
      <c r="R2124" s="25" t="e">
        <f>IF(P2124="En programación Frcst.",VLOOKUP(L2124,Meses!$A$1:$H$14,3+HLOOKUP(Cronograma!J2124,Meses!$D$1:$G$2,2,FALSE),FALSE),
IF(P2124="En programación",M2124,""))</f>
        <v>#N/A</v>
      </c>
      <c r="S2124" s="25" t="str">
        <f t="shared" si="101"/>
        <v/>
      </c>
      <c r="T2124" s="21" t="str">
        <f>IFERROR(
(VLOOKUP(MONTH(R2124),Meses!$B$3:$C$14,2,FALSE)-DAY(R2124))/VLOOKUP(MONTH(R2124),Meses!$B$3:$C$14,2,FALSE)*U2124,
"")</f>
        <v/>
      </c>
      <c r="U2124" s="22">
        <f t="shared" si="103"/>
        <v>0</v>
      </c>
    </row>
    <row r="2125" spans="1:21" ht="47.4" hidden="1" thickBot="1" x14ac:dyDescent="0.6">
      <c r="A2125" s="10" t="s">
        <v>3085</v>
      </c>
      <c r="B2125" s="10" t="s">
        <v>2730</v>
      </c>
      <c r="C2125" s="12">
        <v>45029</v>
      </c>
      <c r="D2125" s="10" t="s">
        <v>323</v>
      </c>
      <c r="E2125" s="10"/>
      <c r="F2125" s="10"/>
      <c r="G2125" s="10" t="s">
        <v>15</v>
      </c>
      <c r="H2125" s="10" t="s">
        <v>17</v>
      </c>
      <c r="I2125" s="10" t="s">
        <v>66</v>
      </c>
      <c r="J2125" s="10"/>
      <c r="K2125" s="10"/>
      <c r="L2125" s="10"/>
      <c r="M2125" s="12"/>
      <c r="N2125" s="10"/>
      <c r="O2125" s="10" t="s">
        <v>2054</v>
      </c>
      <c r="P2125" s="25" t="str">
        <f>IFERROR(
IF(OR(O2125="anulado",O2125="stand by"),CONCATENATE(O2125,": ",H2125),
IF(OR(YEAR(M2125)=2022,YEAR(M2125)=2023),CONCATENATE("Se activó en ",YEAR(M2125)),
IF(AND(OR(O2125="En proceso",O2125="facturando"),AND(J2125="-",M2125="")),"Por revisar",
IF(M2125="",IF(J2125="NUEVAS",CONCATENATE("Estado: ",O2125,", ",J2125),
IF(L2125=Meses!$A$3,"Por revisar",
IF(H2125="","Sin registro","En programación Frcst."))),"En programación")))),
"Error")</f>
        <v>En programación Frcst.</v>
      </c>
      <c r="Q2125" s="9" t="str">
        <f t="shared" si="102"/>
        <v/>
      </c>
      <c r="R2125" s="25" t="e">
        <f>IF(P2125="En programación Frcst.",VLOOKUP(L2125,Meses!$A$1:$H$14,3+HLOOKUP(Cronograma!J2125,Meses!$D$1:$G$2,2,FALSE),FALSE),
IF(P2125="En programación",M2125,""))</f>
        <v>#N/A</v>
      </c>
      <c r="S2125" s="25" t="str">
        <f t="shared" si="101"/>
        <v/>
      </c>
      <c r="T2125" s="21" t="str">
        <f>IFERROR(
(VLOOKUP(MONTH(R2125),Meses!$B$3:$C$14,2,FALSE)-DAY(R2125))/VLOOKUP(MONTH(R2125),Meses!$B$3:$C$14,2,FALSE)*U2125,
"")</f>
        <v/>
      </c>
      <c r="U2125" s="22">
        <f t="shared" si="103"/>
        <v>0</v>
      </c>
    </row>
    <row r="2126" spans="1:21" ht="47.4" hidden="1" thickBot="1" x14ac:dyDescent="0.6">
      <c r="A2126" s="10" t="s">
        <v>3085</v>
      </c>
      <c r="B2126" s="10" t="s">
        <v>2731</v>
      </c>
      <c r="C2126" s="12">
        <v>45029</v>
      </c>
      <c r="D2126" s="10" t="s">
        <v>323</v>
      </c>
      <c r="E2126" s="10"/>
      <c r="F2126" s="10"/>
      <c r="G2126" s="10" t="s">
        <v>15</v>
      </c>
      <c r="H2126" s="10" t="s">
        <v>17</v>
      </c>
      <c r="I2126" s="10" t="s">
        <v>66</v>
      </c>
      <c r="J2126" s="10"/>
      <c r="K2126" s="10"/>
      <c r="L2126" s="10"/>
      <c r="M2126" s="12"/>
      <c r="N2126" s="10"/>
      <c r="O2126" s="10" t="s">
        <v>2054</v>
      </c>
      <c r="P2126" s="25" t="str">
        <f>IFERROR(
IF(OR(O2126="anulado",O2126="stand by"),CONCATENATE(O2126,": ",H2126),
IF(OR(YEAR(M2126)=2022,YEAR(M2126)=2023),CONCATENATE("Se activó en ",YEAR(M2126)),
IF(AND(OR(O2126="En proceso",O2126="facturando"),AND(J2126="-",M2126="")),"Por revisar",
IF(M2126="",IF(J2126="NUEVAS",CONCATENATE("Estado: ",O2126,", ",J2126),
IF(L2126=Meses!$A$3,"Por revisar",
IF(H2126="","Sin registro","En programación Frcst."))),"En programación")))),
"Error")</f>
        <v>En programación Frcst.</v>
      </c>
      <c r="Q2126" s="9" t="str">
        <f t="shared" si="102"/>
        <v/>
      </c>
      <c r="R2126" s="25" t="e">
        <f>IF(P2126="En programación Frcst.",VLOOKUP(L2126,Meses!$A$1:$H$14,3+HLOOKUP(Cronograma!J2126,Meses!$D$1:$G$2,2,FALSE),FALSE),
IF(P2126="En programación",M2126,""))</f>
        <v>#N/A</v>
      </c>
      <c r="S2126" s="25" t="str">
        <f t="shared" si="101"/>
        <v/>
      </c>
      <c r="T2126" s="21" t="str">
        <f>IFERROR(
(VLOOKUP(MONTH(R2126),Meses!$B$3:$C$14,2,FALSE)-DAY(R2126))/VLOOKUP(MONTH(R2126),Meses!$B$3:$C$14,2,FALSE)*U2126,
"")</f>
        <v/>
      </c>
      <c r="U2126" s="22">
        <f t="shared" si="103"/>
        <v>0</v>
      </c>
    </row>
    <row r="2127" spans="1:21" ht="63" hidden="1" thickBot="1" x14ac:dyDescent="0.6">
      <c r="A2127" s="10" t="s">
        <v>3086</v>
      </c>
      <c r="B2127" s="10" t="s">
        <v>2732</v>
      </c>
      <c r="C2127" s="12">
        <v>45029</v>
      </c>
      <c r="D2127" s="10" t="s">
        <v>323</v>
      </c>
      <c r="E2127" s="10" t="s">
        <v>298</v>
      </c>
      <c r="F2127" s="10"/>
      <c r="G2127" s="10" t="s">
        <v>15</v>
      </c>
      <c r="H2127" s="10" t="s">
        <v>17</v>
      </c>
      <c r="I2127" s="10" t="s">
        <v>66</v>
      </c>
      <c r="J2127" s="10"/>
      <c r="K2127" s="10"/>
      <c r="L2127" s="10"/>
      <c r="M2127" s="12"/>
      <c r="N2127" s="10"/>
      <c r="O2127" s="10" t="s">
        <v>2054</v>
      </c>
      <c r="P2127" s="25" t="str">
        <f>IFERROR(
IF(OR(O2127="anulado",O2127="stand by"),CONCATENATE(O2127,": ",H2127),
IF(OR(YEAR(M2127)=2022,YEAR(M2127)=2023),CONCATENATE("Se activó en ",YEAR(M2127)),
IF(AND(OR(O2127="En proceso",O2127="facturando"),AND(J2127="-",M2127="")),"Por revisar",
IF(M2127="",IF(J2127="NUEVAS",CONCATENATE("Estado: ",O2127,", ",J2127),
IF(L2127=Meses!$A$3,"Por revisar",
IF(H2127="","Sin registro","En programación Frcst."))),"En programación")))),
"Error")</f>
        <v>En programación Frcst.</v>
      </c>
      <c r="Q2127" s="9" t="str">
        <f t="shared" si="102"/>
        <v/>
      </c>
      <c r="R2127" s="25" t="e">
        <f>IF(P2127="En programación Frcst.",VLOOKUP(L2127,Meses!$A$1:$H$14,3+HLOOKUP(Cronograma!J2127,Meses!$D$1:$G$2,2,FALSE),FALSE),
IF(P2127="En programación",M2127,""))</f>
        <v>#N/A</v>
      </c>
      <c r="S2127" s="25" t="str">
        <f t="shared" si="101"/>
        <v/>
      </c>
      <c r="T2127" s="21" t="str">
        <f>IFERROR(
(VLOOKUP(MONTH(R2127),Meses!$B$3:$C$14,2,FALSE)-DAY(R2127))/VLOOKUP(MONTH(R2127),Meses!$B$3:$C$14,2,FALSE)*U2127,
"")</f>
        <v/>
      </c>
      <c r="U2127" s="22">
        <f t="shared" si="103"/>
        <v>0</v>
      </c>
    </row>
    <row r="2128" spans="1:21" ht="94.2" hidden="1" thickBot="1" x14ac:dyDescent="0.6">
      <c r="A2128" s="10" t="s">
        <v>3087</v>
      </c>
      <c r="B2128" s="10" t="s">
        <v>2733</v>
      </c>
      <c r="C2128" s="12">
        <v>45029</v>
      </c>
      <c r="D2128" s="10" t="s">
        <v>323</v>
      </c>
      <c r="E2128" s="10" t="s">
        <v>291</v>
      </c>
      <c r="F2128" s="10"/>
      <c r="G2128" s="10" t="s">
        <v>15</v>
      </c>
      <c r="H2128" s="10" t="s">
        <v>17</v>
      </c>
      <c r="I2128" s="10" t="s">
        <v>66</v>
      </c>
      <c r="J2128" s="10"/>
      <c r="K2128" s="10"/>
      <c r="L2128" s="10"/>
      <c r="M2128" s="12"/>
      <c r="N2128" s="10"/>
      <c r="O2128" s="10" t="s">
        <v>2054</v>
      </c>
      <c r="P2128" s="25" t="str">
        <f>IFERROR(
IF(OR(O2128="anulado",O2128="stand by"),CONCATENATE(O2128,": ",H2128),
IF(OR(YEAR(M2128)=2022,YEAR(M2128)=2023),CONCATENATE("Se activó en ",YEAR(M2128)),
IF(AND(OR(O2128="En proceso",O2128="facturando"),AND(J2128="-",M2128="")),"Por revisar",
IF(M2128="",IF(J2128="NUEVAS",CONCATENATE("Estado: ",O2128,", ",J2128),
IF(L2128=Meses!$A$3,"Por revisar",
IF(H2128="","Sin registro","En programación Frcst."))),"En programación")))),
"Error")</f>
        <v>En programación Frcst.</v>
      </c>
      <c r="Q2128" s="9" t="str">
        <f t="shared" si="102"/>
        <v/>
      </c>
      <c r="R2128" s="25" t="e">
        <f>IF(P2128="En programación Frcst.",VLOOKUP(L2128,Meses!$A$1:$H$14,3+HLOOKUP(Cronograma!J2128,Meses!$D$1:$G$2,2,FALSE),FALSE),
IF(P2128="En programación",M2128,""))</f>
        <v>#N/A</v>
      </c>
      <c r="S2128" s="25" t="str">
        <f t="shared" si="101"/>
        <v/>
      </c>
      <c r="T2128" s="21" t="str">
        <f>IFERROR(
(VLOOKUP(MONTH(R2128),Meses!$B$3:$C$14,2,FALSE)-DAY(R2128))/VLOOKUP(MONTH(R2128),Meses!$B$3:$C$14,2,FALSE)*U2128,
"")</f>
        <v/>
      </c>
      <c r="U2128" s="22">
        <f t="shared" si="103"/>
        <v>0</v>
      </c>
    </row>
    <row r="2129" spans="1:21" ht="63" hidden="1" thickBot="1" x14ac:dyDescent="0.6">
      <c r="A2129" s="10" t="s">
        <v>3088</v>
      </c>
      <c r="B2129" s="10" t="s">
        <v>2734</v>
      </c>
      <c r="C2129" s="12">
        <v>45029</v>
      </c>
      <c r="D2129" s="10" t="s">
        <v>323</v>
      </c>
      <c r="E2129" s="10" t="s">
        <v>298</v>
      </c>
      <c r="F2129" s="10"/>
      <c r="G2129" s="10" t="s">
        <v>15</v>
      </c>
      <c r="H2129" s="10" t="s">
        <v>17</v>
      </c>
      <c r="I2129" s="10" t="s">
        <v>66</v>
      </c>
      <c r="J2129" s="10"/>
      <c r="K2129" s="10"/>
      <c r="L2129" s="10"/>
      <c r="M2129" s="12"/>
      <c r="N2129" s="10"/>
      <c r="O2129" s="10" t="s">
        <v>2054</v>
      </c>
      <c r="P2129" s="25" t="str">
        <f>IFERROR(
IF(OR(O2129="anulado",O2129="stand by"),CONCATENATE(O2129,": ",H2129),
IF(OR(YEAR(M2129)=2022,YEAR(M2129)=2023),CONCATENATE("Se activó en ",YEAR(M2129)),
IF(AND(OR(O2129="En proceso",O2129="facturando"),AND(J2129="-",M2129="")),"Por revisar",
IF(M2129="",IF(J2129="NUEVAS",CONCATENATE("Estado: ",O2129,", ",J2129),
IF(L2129=Meses!$A$3,"Por revisar",
IF(H2129="","Sin registro","En programación Frcst."))),"En programación")))),
"Error")</f>
        <v>En programación Frcst.</v>
      </c>
      <c r="Q2129" s="9" t="str">
        <f t="shared" si="102"/>
        <v/>
      </c>
      <c r="R2129" s="25" t="e">
        <f>IF(P2129="En programación Frcst.",VLOOKUP(L2129,Meses!$A$1:$H$14,3+HLOOKUP(Cronograma!J2129,Meses!$D$1:$G$2,2,FALSE),FALSE),
IF(P2129="En programación",M2129,""))</f>
        <v>#N/A</v>
      </c>
      <c r="S2129" s="25" t="str">
        <f t="shared" si="101"/>
        <v/>
      </c>
      <c r="T2129" s="21" t="str">
        <f>IFERROR(
(VLOOKUP(MONTH(R2129),Meses!$B$3:$C$14,2,FALSE)-DAY(R2129))/VLOOKUP(MONTH(R2129),Meses!$B$3:$C$14,2,FALSE)*U2129,
"")</f>
        <v/>
      </c>
      <c r="U2129" s="22">
        <f t="shared" si="103"/>
        <v>0</v>
      </c>
    </row>
    <row r="2130" spans="1:21" ht="63" hidden="1" thickBot="1" x14ac:dyDescent="0.6">
      <c r="A2130" s="10" t="s">
        <v>3089</v>
      </c>
      <c r="B2130" s="10" t="s">
        <v>2735</v>
      </c>
      <c r="C2130" s="12">
        <v>45029</v>
      </c>
      <c r="D2130" s="10" t="s">
        <v>323</v>
      </c>
      <c r="E2130" s="10" t="s">
        <v>291</v>
      </c>
      <c r="F2130" s="10"/>
      <c r="G2130" s="10" t="s">
        <v>15</v>
      </c>
      <c r="H2130" s="10" t="s">
        <v>17</v>
      </c>
      <c r="I2130" s="10" t="s">
        <v>66</v>
      </c>
      <c r="J2130" s="10"/>
      <c r="K2130" s="10"/>
      <c r="L2130" s="10"/>
      <c r="M2130" s="12"/>
      <c r="N2130" s="10"/>
      <c r="O2130" s="10" t="s">
        <v>2054</v>
      </c>
      <c r="P2130" s="25" t="str">
        <f>IFERROR(
IF(OR(O2130="anulado",O2130="stand by"),CONCATENATE(O2130,": ",H2130),
IF(OR(YEAR(M2130)=2022,YEAR(M2130)=2023),CONCATENATE("Se activó en ",YEAR(M2130)),
IF(AND(OR(O2130="En proceso",O2130="facturando"),AND(J2130="-",M2130="")),"Por revisar",
IF(M2130="",IF(J2130="NUEVAS",CONCATENATE("Estado: ",O2130,", ",J2130),
IF(L2130=Meses!$A$3,"Por revisar",
IF(H2130="","Sin registro","En programación Frcst."))),"En programación")))),
"Error")</f>
        <v>En programación Frcst.</v>
      </c>
      <c r="Q2130" s="9" t="str">
        <f t="shared" si="102"/>
        <v/>
      </c>
      <c r="R2130" s="25" t="e">
        <f>IF(P2130="En programación Frcst.",VLOOKUP(L2130,Meses!$A$1:$H$14,3+HLOOKUP(Cronograma!J2130,Meses!$D$1:$G$2,2,FALSE),FALSE),
IF(P2130="En programación",M2130,""))</f>
        <v>#N/A</v>
      </c>
      <c r="S2130" s="25" t="str">
        <f t="shared" si="101"/>
        <v/>
      </c>
      <c r="T2130" s="21" t="str">
        <f>IFERROR(
(VLOOKUP(MONTH(R2130),Meses!$B$3:$C$14,2,FALSE)-DAY(R2130))/VLOOKUP(MONTH(R2130),Meses!$B$3:$C$14,2,FALSE)*U2130,
"")</f>
        <v/>
      </c>
      <c r="U2130" s="22">
        <f t="shared" si="103"/>
        <v>0</v>
      </c>
    </row>
    <row r="2131" spans="1:21" ht="63" hidden="1" thickBot="1" x14ac:dyDescent="0.6">
      <c r="A2131" s="10" t="s">
        <v>3089</v>
      </c>
      <c r="B2131" s="10" t="s">
        <v>2736</v>
      </c>
      <c r="C2131" s="12">
        <v>45029</v>
      </c>
      <c r="D2131" s="10" t="s">
        <v>323</v>
      </c>
      <c r="E2131" s="10" t="s">
        <v>291</v>
      </c>
      <c r="F2131" s="10"/>
      <c r="G2131" s="10" t="s">
        <v>15</v>
      </c>
      <c r="H2131" s="10" t="s">
        <v>17</v>
      </c>
      <c r="I2131" s="10" t="s">
        <v>66</v>
      </c>
      <c r="J2131" s="10"/>
      <c r="K2131" s="10"/>
      <c r="L2131" s="10"/>
      <c r="M2131" s="12"/>
      <c r="N2131" s="10"/>
      <c r="O2131" s="10" t="s">
        <v>2054</v>
      </c>
      <c r="P2131" s="25" t="str">
        <f>IFERROR(
IF(OR(O2131="anulado",O2131="stand by"),CONCATENATE(O2131,": ",H2131),
IF(OR(YEAR(M2131)=2022,YEAR(M2131)=2023),CONCATENATE("Se activó en ",YEAR(M2131)),
IF(AND(OR(O2131="En proceso",O2131="facturando"),AND(J2131="-",M2131="")),"Por revisar",
IF(M2131="",IF(J2131="NUEVAS",CONCATENATE("Estado: ",O2131,", ",J2131),
IF(L2131=Meses!$A$3,"Por revisar",
IF(H2131="","Sin registro","En programación Frcst."))),"En programación")))),
"Error")</f>
        <v>En programación Frcst.</v>
      </c>
      <c r="Q2131" s="9" t="str">
        <f t="shared" si="102"/>
        <v/>
      </c>
      <c r="R2131" s="25" t="e">
        <f>IF(P2131="En programación Frcst.",VLOOKUP(L2131,Meses!$A$1:$H$14,3+HLOOKUP(Cronograma!J2131,Meses!$D$1:$G$2,2,FALSE),FALSE),
IF(P2131="En programación",M2131,""))</f>
        <v>#N/A</v>
      </c>
      <c r="S2131" s="25" t="str">
        <f t="shared" si="101"/>
        <v/>
      </c>
      <c r="T2131" s="21" t="str">
        <f>IFERROR(
(VLOOKUP(MONTH(R2131),Meses!$B$3:$C$14,2,FALSE)-DAY(R2131))/VLOOKUP(MONTH(R2131),Meses!$B$3:$C$14,2,FALSE)*U2131,
"")</f>
        <v/>
      </c>
      <c r="U2131" s="22">
        <f t="shared" si="103"/>
        <v>0</v>
      </c>
    </row>
    <row r="2132" spans="1:21" ht="63" hidden="1" thickBot="1" x14ac:dyDescent="0.6">
      <c r="A2132" s="10" t="s">
        <v>3090</v>
      </c>
      <c r="B2132" s="10" t="s">
        <v>2737</v>
      </c>
      <c r="C2132" s="12">
        <v>45029</v>
      </c>
      <c r="D2132" s="10" t="s">
        <v>323</v>
      </c>
      <c r="E2132" s="10" t="s">
        <v>291</v>
      </c>
      <c r="F2132" s="10"/>
      <c r="G2132" s="10" t="s">
        <v>15</v>
      </c>
      <c r="H2132" s="10" t="s">
        <v>17</v>
      </c>
      <c r="I2132" s="10" t="s">
        <v>66</v>
      </c>
      <c r="J2132" s="10"/>
      <c r="K2132" s="10"/>
      <c r="L2132" s="10"/>
      <c r="M2132" s="12"/>
      <c r="N2132" s="10"/>
      <c r="O2132" s="10" t="s">
        <v>2054</v>
      </c>
      <c r="P2132" s="25" t="str">
        <f>IFERROR(
IF(OR(O2132="anulado",O2132="stand by"),CONCATENATE(O2132,": ",H2132),
IF(OR(YEAR(M2132)=2022,YEAR(M2132)=2023),CONCATENATE("Se activó en ",YEAR(M2132)),
IF(AND(OR(O2132="En proceso",O2132="facturando"),AND(J2132="-",M2132="")),"Por revisar",
IF(M2132="",IF(J2132="NUEVAS",CONCATENATE("Estado: ",O2132,", ",J2132),
IF(L2132=Meses!$A$3,"Por revisar",
IF(H2132="","Sin registro","En programación Frcst."))),"En programación")))),
"Error")</f>
        <v>En programación Frcst.</v>
      </c>
      <c r="Q2132" s="9" t="str">
        <f t="shared" si="102"/>
        <v/>
      </c>
      <c r="R2132" s="25" t="e">
        <f>IF(P2132="En programación Frcst.",VLOOKUP(L2132,Meses!$A$1:$H$14,3+HLOOKUP(Cronograma!J2132,Meses!$D$1:$G$2,2,FALSE),FALSE),
IF(P2132="En programación",M2132,""))</f>
        <v>#N/A</v>
      </c>
      <c r="S2132" s="25" t="str">
        <f t="shared" si="101"/>
        <v/>
      </c>
      <c r="T2132" s="21" t="str">
        <f>IFERROR(
(VLOOKUP(MONTH(R2132),Meses!$B$3:$C$14,2,FALSE)-DAY(R2132))/VLOOKUP(MONTH(R2132),Meses!$B$3:$C$14,2,FALSE)*U2132,
"")</f>
        <v/>
      </c>
      <c r="U2132" s="22">
        <f t="shared" si="103"/>
        <v>0</v>
      </c>
    </row>
    <row r="2133" spans="1:21" ht="78.599999999999994" hidden="1" thickBot="1" x14ac:dyDescent="0.6">
      <c r="A2133" s="10" t="s">
        <v>3091</v>
      </c>
      <c r="B2133" s="10" t="s">
        <v>2738</v>
      </c>
      <c r="C2133" s="12">
        <v>45029</v>
      </c>
      <c r="D2133" s="10" t="s">
        <v>323</v>
      </c>
      <c r="E2133" s="10" t="s">
        <v>14</v>
      </c>
      <c r="F2133" s="10"/>
      <c r="G2133" s="10" t="s">
        <v>15</v>
      </c>
      <c r="H2133" s="10" t="s">
        <v>17</v>
      </c>
      <c r="I2133" s="10" t="s">
        <v>66</v>
      </c>
      <c r="J2133" s="10"/>
      <c r="K2133" s="10"/>
      <c r="L2133" s="10"/>
      <c r="M2133" s="12"/>
      <c r="N2133" s="10"/>
      <c r="O2133" s="10" t="s">
        <v>2054</v>
      </c>
      <c r="P2133" s="25" t="str">
        <f>IFERROR(
IF(OR(O2133="anulado",O2133="stand by"),CONCATENATE(O2133,": ",H2133),
IF(OR(YEAR(M2133)=2022,YEAR(M2133)=2023),CONCATENATE("Se activó en ",YEAR(M2133)),
IF(AND(OR(O2133="En proceso",O2133="facturando"),AND(J2133="-",M2133="")),"Por revisar",
IF(M2133="",IF(J2133="NUEVAS",CONCATENATE("Estado: ",O2133,", ",J2133),
IF(L2133=Meses!$A$3,"Por revisar",
IF(H2133="","Sin registro","En programación Frcst."))),"En programación")))),
"Error")</f>
        <v>En programación Frcst.</v>
      </c>
      <c r="Q2133" s="9" t="str">
        <f t="shared" si="102"/>
        <v/>
      </c>
      <c r="R2133" s="25" t="e">
        <f>IF(P2133="En programación Frcst.",VLOOKUP(L2133,Meses!$A$1:$H$14,3+HLOOKUP(Cronograma!J2133,Meses!$D$1:$G$2,2,FALSE),FALSE),
IF(P2133="En programación",M2133,""))</f>
        <v>#N/A</v>
      </c>
      <c r="S2133" s="25" t="str">
        <f t="shared" si="101"/>
        <v/>
      </c>
      <c r="T2133" s="21" t="str">
        <f>IFERROR(
(VLOOKUP(MONTH(R2133),Meses!$B$3:$C$14,2,FALSE)-DAY(R2133))/VLOOKUP(MONTH(R2133),Meses!$B$3:$C$14,2,FALSE)*U2133,
"")</f>
        <v/>
      </c>
      <c r="U2133" s="22">
        <f t="shared" si="103"/>
        <v>0</v>
      </c>
    </row>
    <row r="2134" spans="1:21" ht="47.4" hidden="1" thickBot="1" x14ac:dyDescent="0.6">
      <c r="A2134" s="10" t="s">
        <v>3092</v>
      </c>
      <c r="B2134" s="10" t="s">
        <v>2739</v>
      </c>
      <c r="C2134" s="12">
        <v>45029</v>
      </c>
      <c r="D2134" s="10" t="s">
        <v>323</v>
      </c>
      <c r="E2134" s="10" t="s">
        <v>14</v>
      </c>
      <c r="F2134" s="10"/>
      <c r="G2134" s="10" t="s">
        <v>15</v>
      </c>
      <c r="H2134" s="10" t="s">
        <v>17</v>
      </c>
      <c r="I2134" s="10" t="s">
        <v>66</v>
      </c>
      <c r="J2134" s="10"/>
      <c r="K2134" s="10"/>
      <c r="L2134" s="10"/>
      <c r="M2134" s="12"/>
      <c r="N2134" s="10"/>
      <c r="O2134" s="10" t="s">
        <v>2054</v>
      </c>
      <c r="P2134" s="25" t="str">
        <f>IFERROR(
IF(OR(O2134="anulado",O2134="stand by"),CONCATENATE(O2134,": ",H2134),
IF(OR(YEAR(M2134)=2022,YEAR(M2134)=2023),CONCATENATE("Se activó en ",YEAR(M2134)),
IF(AND(OR(O2134="En proceso",O2134="facturando"),AND(J2134="-",M2134="")),"Por revisar",
IF(M2134="",IF(J2134="NUEVAS",CONCATENATE("Estado: ",O2134,", ",J2134),
IF(L2134=Meses!$A$3,"Por revisar",
IF(H2134="","Sin registro","En programación Frcst."))),"En programación")))),
"Error")</f>
        <v>En programación Frcst.</v>
      </c>
      <c r="Q2134" s="9" t="str">
        <f t="shared" si="102"/>
        <v/>
      </c>
      <c r="R2134" s="25" t="e">
        <f>IF(P2134="En programación Frcst.",VLOOKUP(L2134,Meses!$A$1:$H$14,3+HLOOKUP(Cronograma!J2134,Meses!$D$1:$G$2,2,FALSE),FALSE),
IF(P2134="En programación",M2134,""))</f>
        <v>#N/A</v>
      </c>
      <c r="S2134" s="25" t="str">
        <f t="shared" si="101"/>
        <v/>
      </c>
      <c r="T2134" s="21" t="str">
        <f>IFERROR(
(VLOOKUP(MONTH(R2134),Meses!$B$3:$C$14,2,FALSE)-DAY(R2134))/VLOOKUP(MONTH(R2134),Meses!$B$3:$C$14,2,FALSE)*U2134,
"")</f>
        <v/>
      </c>
      <c r="U2134" s="22">
        <f t="shared" si="103"/>
        <v>0</v>
      </c>
    </row>
    <row r="2135" spans="1:21" ht="31.8" hidden="1" thickBot="1" x14ac:dyDescent="0.6">
      <c r="A2135" s="10" t="s">
        <v>2741</v>
      </c>
      <c r="B2135" s="10" t="s">
        <v>2740</v>
      </c>
      <c r="C2135" s="12">
        <v>45029</v>
      </c>
      <c r="D2135" s="10" t="s">
        <v>323</v>
      </c>
      <c r="E2135" s="10"/>
      <c r="F2135" s="10"/>
      <c r="G2135" s="10" t="s">
        <v>15</v>
      </c>
      <c r="H2135" s="10" t="s">
        <v>2406</v>
      </c>
      <c r="I2135" s="10" t="s">
        <v>66</v>
      </c>
      <c r="J2135" s="10"/>
      <c r="K2135" s="10"/>
      <c r="L2135" s="10"/>
      <c r="M2135" s="12"/>
      <c r="N2135" s="10"/>
      <c r="O2135" s="10" t="s">
        <v>2054</v>
      </c>
      <c r="P2135" s="25" t="str">
        <f>IFERROR(
IF(OR(O2135="anulado",O2135="stand by"),CONCATENATE(O2135,": ",H2135),
IF(OR(YEAR(M2135)=2022,YEAR(M2135)=2023),CONCATENATE("Se activó en ",YEAR(M2135)),
IF(AND(OR(O2135="En proceso",O2135="facturando"),AND(J2135="-",M2135="")),"Por revisar",
IF(M2135="",IF(J2135="NUEVAS",CONCATENATE("Estado: ",O2135,", ",J2135),
IF(L2135=Meses!$A$3,"Por revisar",
IF(H2135="","Sin registro","En programación Frcst."))),"En programación")))),
"Error")</f>
        <v>En programación Frcst.</v>
      </c>
      <c r="Q2135" s="9" t="str">
        <f t="shared" si="102"/>
        <v/>
      </c>
      <c r="R2135" s="25" t="e">
        <f>IF(P2135="En programación Frcst.",VLOOKUP(L2135,Meses!$A$1:$H$14,3+HLOOKUP(Cronograma!J2135,Meses!$D$1:$G$2,2,FALSE),FALSE),
IF(P2135="En programación",M2135,""))</f>
        <v>#N/A</v>
      </c>
      <c r="S2135" s="25" t="str">
        <f t="shared" si="101"/>
        <v/>
      </c>
      <c r="T2135" s="21" t="str">
        <f>IFERROR(
(VLOOKUP(MONTH(R2135),Meses!$B$3:$C$14,2,FALSE)-DAY(R2135))/VLOOKUP(MONTH(R2135),Meses!$B$3:$C$14,2,FALSE)*U2135,
"")</f>
        <v/>
      </c>
      <c r="U2135" s="22">
        <f t="shared" si="103"/>
        <v>0</v>
      </c>
    </row>
    <row r="2136" spans="1:21" ht="47.4" hidden="1" thickBot="1" x14ac:dyDescent="0.6">
      <c r="A2136" s="10" t="s">
        <v>3093</v>
      </c>
      <c r="B2136" s="10" t="s">
        <v>2742</v>
      </c>
      <c r="C2136" s="12">
        <v>45029</v>
      </c>
      <c r="D2136" s="10" t="s">
        <v>323</v>
      </c>
      <c r="E2136" s="10" t="s">
        <v>677</v>
      </c>
      <c r="F2136" s="10"/>
      <c r="G2136" s="10" t="s">
        <v>15</v>
      </c>
      <c r="H2136" s="10" t="s">
        <v>17</v>
      </c>
      <c r="I2136" s="10" t="s">
        <v>66</v>
      </c>
      <c r="J2136" s="10"/>
      <c r="K2136" s="10"/>
      <c r="L2136" s="10"/>
      <c r="M2136" s="12"/>
      <c r="N2136" s="10"/>
      <c r="O2136" s="10" t="s">
        <v>2054</v>
      </c>
      <c r="P2136" s="25" t="str">
        <f>IFERROR(
IF(OR(O2136="anulado",O2136="stand by"),CONCATENATE(O2136,": ",H2136),
IF(OR(YEAR(M2136)=2022,YEAR(M2136)=2023),CONCATENATE("Se activó en ",YEAR(M2136)),
IF(AND(OR(O2136="En proceso",O2136="facturando"),AND(J2136="-",M2136="")),"Por revisar",
IF(M2136="",IF(J2136="NUEVAS",CONCATENATE("Estado: ",O2136,", ",J2136),
IF(L2136=Meses!$A$3,"Por revisar",
IF(H2136="","Sin registro","En programación Frcst."))),"En programación")))),
"Error")</f>
        <v>En programación Frcst.</v>
      </c>
      <c r="Q2136" s="9" t="str">
        <f t="shared" si="102"/>
        <v/>
      </c>
      <c r="R2136" s="25" t="e">
        <f>IF(P2136="En programación Frcst.",VLOOKUP(L2136,Meses!$A$1:$H$14,3+HLOOKUP(Cronograma!J2136,Meses!$D$1:$G$2,2,FALSE),FALSE),
IF(P2136="En programación",M2136,""))</f>
        <v>#N/A</v>
      </c>
      <c r="S2136" s="25" t="str">
        <f t="shared" si="101"/>
        <v/>
      </c>
      <c r="T2136" s="21" t="str">
        <f>IFERROR(
(VLOOKUP(MONTH(R2136),Meses!$B$3:$C$14,2,FALSE)-DAY(R2136))/VLOOKUP(MONTH(R2136),Meses!$B$3:$C$14,2,FALSE)*U2136,
"")</f>
        <v/>
      </c>
      <c r="U2136" s="22">
        <f t="shared" si="103"/>
        <v>0</v>
      </c>
    </row>
    <row r="2137" spans="1:21" ht="31.8" hidden="1" thickBot="1" x14ac:dyDescent="0.6">
      <c r="A2137" s="10" t="s">
        <v>3094</v>
      </c>
      <c r="B2137" s="10" t="s">
        <v>2743</v>
      </c>
      <c r="C2137" s="12">
        <v>45029</v>
      </c>
      <c r="D2137" s="10" t="s">
        <v>323</v>
      </c>
      <c r="E2137" s="10" t="s">
        <v>14</v>
      </c>
      <c r="F2137" s="10"/>
      <c r="G2137" s="10" t="s">
        <v>15</v>
      </c>
      <c r="H2137" s="10" t="s">
        <v>17</v>
      </c>
      <c r="I2137" s="10" t="s">
        <v>66</v>
      </c>
      <c r="J2137" s="10"/>
      <c r="K2137" s="10"/>
      <c r="L2137" s="10"/>
      <c r="M2137" s="12"/>
      <c r="N2137" s="10"/>
      <c r="O2137" s="10" t="s">
        <v>2054</v>
      </c>
      <c r="P2137" s="25" t="str">
        <f>IFERROR(
IF(OR(O2137="anulado",O2137="stand by"),CONCATENATE(O2137,": ",H2137),
IF(OR(YEAR(M2137)=2022,YEAR(M2137)=2023),CONCATENATE("Se activó en ",YEAR(M2137)),
IF(AND(OR(O2137="En proceso",O2137="facturando"),AND(J2137="-",M2137="")),"Por revisar",
IF(M2137="",IF(J2137="NUEVAS",CONCATENATE("Estado: ",O2137,", ",J2137),
IF(L2137=Meses!$A$3,"Por revisar",
IF(H2137="","Sin registro","En programación Frcst."))),"En programación")))),
"Error")</f>
        <v>En programación Frcst.</v>
      </c>
      <c r="Q2137" s="9" t="str">
        <f t="shared" si="102"/>
        <v/>
      </c>
      <c r="R2137" s="25" t="e">
        <f>IF(P2137="En programación Frcst.",VLOOKUP(L2137,Meses!$A$1:$H$14,3+HLOOKUP(Cronograma!J2137,Meses!$D$1:$G$2,2,FALSE),FALSE),
IF(P2137="En programación",M2137,""))</f>
        <v>#N/A</v>
      </c>
      <c r="S2137" s="25" t="str">
        <f t="shared" si="101"/>
        <v/>
      </c>
      <c r="T2137" s="21" t="str">
        <f>IFERROR(
(VLOOKUP(MONTH(R2137),Meses!$B$3:$C$14,2,FALSE)-DAY(R2137))/VLOOKUP(MONTH(R2137),Meses!$B$3:$C$14,2,FALSE)*U2137,
"")</f>
        <v/>
      </c>
      <c r="U2137" s="22">
        <f t="shared" si="103"/>
        <v>0</v>
      </c>
    </row>
    <row r="2138" spans="1:21" ht="31.8" hidden="1" thickBot="1" x14ac:dyDescent="0.6">
      <c r="A2138" s="10" t="s">
        <v>3095</v>
      </c>
      <c r="B2138" s="10" t="s">
        <v>2744</v>
      </c>
      <c r="C2138" s="12">
        <v>45029</v>
      </c>
      <c r="D2138" s="10" t="s">
        <v>323</v>
      </c>
      <c r="E2138" s="10" t="s">
        <v>289</v>
      </c>
      <c r="F2138" s="10"/>
      <c r="G2138" s="10" t="s">
        <v>15</v>
      </c>
      <c r="H2138" s="10" t="s">
        <v>17</v>
      </c>
      <c r="I2138" s="10" t="s">
        <v>66</v>
      </c>
      <c r="J2138" s="10"/>
      <c r="K2138" s="10"/>
      <c r="L2138" s="10"/>
      <c r="M2138" s="12"/>
      <c r="N2138" s="10"/>
      <c r="O2138" s="10" t="s">
        <v>2054</v>
      </c>
      <c r="P2138" s="25" t="str">
        <f>IFERROR(
IF(OR(O2138="anulado",O2138="stand by"),CONCATENATE(O2138,": ",H2138),
IF(OR(YEAR(M2138)=2022,YEAR(M2138)=2023),CONCATENATE("Se activó en ",YEAR(M2138)),
IF(AND(OR(O2138="En proceso",O2138="facturando"),AND(J2138="-",M2138="")),"Por revisar",
IF(M2138="",IF(J2138="NUEVAS",CONCATENATE("Estado: ",O2138,", ",J2138),
IF(L2138=Meses!$A$3,"Por revisar",
IF(H2138="","Sin registro","En programación Frcst."))),"En programación")))),
"Error")</f>
        <v>En programación Frcst.</v>
      </c>
      <c r="Q2138" s="9" t="str">
        <f t="shared" si="102"/>
        <v/>
      </c>
      <c r="R2138" s="25" t="e">
        <f>IF(P2138="En programación Frcst.",VLOOKUP(L2138,Meses!$A$1:$H$14,3+HLOOKUP(Cronograma!J2138,Meses!$D$1:$G$2,2,FALSE),FALSE),
IF(P2138="En programación",M2138,""))</f>
        <v>#N/A</v>
      </c>
      <c r="S2138" s="25" t="str">
        <f t="shared" si="101"/>
        <v/>
      </c>
      <c r="T2138" s="21" t="str">
        <f>IFERROR(
(VLOOKUP(MONTH(R2138),Meses!$B$3:$C$14,2,FALSE)-DAY(R2138))/VLOOKUP(MONTH(R2138),Meses!$B$3:$C$14,2,FALSE)*U2138,
"")</f>
        <v/>
      </c>
      <c r="U2138" s="22">
        <f t="shared" si="103"/>
        <v>0</v>
      </c>
    </row>
    <row r="2139" spans="1:21" ht="31.8" hidden="1" thickBot="1" x14ac:dyDescent="0.6">
      <c r="A2139" s="10" t="s">
        <v>3095</v>
      </c>
      <c r="B2139" s="10" t="s">
        <v>2745</v>
      </c>
      <c r="C2139" s="12">
        <v>45029</v>
      </c>
      <c r="D2139" s="10" t="s">
        <v>323</v>
      </c>
      <c r="E2139" s="10" t="s">
        <v>677</v>
      </c>
      <c r="F2139" s="10"/>
      <c r="G2139" s="10" t="s">
        <v>15</v>
      </c>
      <c r="H2139" s="10" t="s">
        <v>17</v>
      </c>
      <c r="I2139" s="10" t="s">
        <v>66</v>
      </c>
      <c r="J2139" s="10"/>
      <c r="K2139" s="10"/>
      <c r="L2139" s="10"/>
      <c r="M2139" s="12"/>
      <c r="N2139" s="10"/>
      <c r="O2139" s="10" t="s">
        <v>2054</v>
      </c>
      <c r="P2139" s="25" t="str">
        <f>IFERROR(
IF(OR(O2139="anulado",O2139="stand by"),CONCATENATE(O2139,": ",H2139),
IF(OR(YEAR(M2139)=2022,YEAR(M2139)=2023),CONCATENATE("Se activó en ",YEAR(M2139)),
IF(AND(OR(O2139="En proceso",O2139="facturando"),AND(J2139="-",M2139="")),"Por revisar",
IF(M2139="",IF(J2139="NUEVAS",CONCATENATE("Estado: ",O2139,", ",J2139),
IF(L2139=Meses!$A$3,"Por revisar",
IF(H2139="","Sin registro","En programación Frcst."))),"En programación")))),
"Error")</f>
        <v>En programación Frcst.</v>
      </c>
      <c r="Q2139" s="9" t="str">
        <f t="shared" si="102"/>
        <v/>
      </c>
      <c r="R2139" s="25" t="e">
        <f>IF(P2139="En programación Frcst.",VLOOKUP(L2139,Meses!$A$1:$H$14,3+HLOOKUP(Cronograma!J2139,Meses!$D$1:$G$2,2,FALSE),FALSE),
IF(P2139="En programación",M2139,""))</f>
        <v>#N/A</v>
      </c>
      <c r="S2139" s="25" t="str">
        <f t="shared" si="101"/>
        <v/>
      </c>
      <c r="T2139" s="21" t="str">
        <f>IFERROR(
(VLOOKUP(MONTH(R2139),Meses!$B$3:$C$14,2,FALSE)-DAY(R2139))/VLOOKUP(MONTH(R2139),Meses!$B$3:$C$14,2,FALSE)*U2139,
"")</f>
        <v/>
      </c>
      <c r="U2139" s="22">
        <f t="shared" si="103"/>
        <v>0</v>
      </c>
    </row>
    <row r="2140" spans="1:21" ht="31.8" hidden="1" thickBot="1" x14ac:dyDescent="0.6">
      <c r="A2140" s="10" t="s">
        <v>3096</v>
      </c>
      <c r="B2140" s="10" t="s">
        <v>2746</v>
      </c>
      <c r="C2140" s="12">
        <v>45029</v>
      </c>
      <c r="D2140" s="10" t="s">
        <v>323</v>
      </c>
      <c r="E2140" s="10" t="s">
        <v>677</v>
      </c>
      <c r="F2140" s="10"/>
      <c r="G2140" s="10" t="s">
        <v>15</v>
      </c>
      <c r="H2140" s="10" t="s">
        <v>17</v>
      </c>
      <c r="I2140" s="10" t="s">
        <v>66</v>
      </c>
      <c r="J2140" s="10"/>
      <c r="K2140" s="10"/>
      <c r="L2140" s="10"/>
      <c r="M2140" s="12"/>
      <c r="N2140" s="10"/>
      <c r="O2140" s="10" t="s">
        <v>2054</v>
      </c>
      <c r="P2140" s="25" t="str">
        <f>IFERROR(
IF(OR(O2140="anulado",O2140="stand by"),CONCATENATE(O2140,": ",H2140),
IF(OR(YEAR(M2140)=2022,YEAR(M2140)=2023),CONCATENATE("Se activó en ",YEAR(M2140)),
IF(AND(OR(O2140="En proceso",O2140="facturando"),AND(J2140="-",M2140="")),"Por revisar",
IF(M2140="",IF(J2140="NUEVAS",CONCATENATE("Estado: ",O2140,", ",J2140),
IF(L2140=Meses!$A$3,"Por revisar",
IF(H2140="","Sin registro","En programación Frcst."))),"En programación")))),
"Error")</f>
        <v>En programación Frcst.</v>
      </c>
      <c r="Q2140" s="9" t="str">
        <f t="shared" si="102"/>
        <v/>
      </c>
      <c r="R2140" s="25" t="e">
        <f>IF(P2140="En programación Frcst.",VLOOKUP(L2140,Meses!$A$1:$H$14,3+HLOOKUP(Cronograma!J2140,Meses!$D$1:$G$2,2,FALSE),FALSE),
IF(P2140="En programación",M2140,""))</f>
        <v>#N/A</v>
      </c>
      <c r="S2140" s="25" t="str">
        <f t="shared" si="101"/>
        <v/>
      </c>
      <c r="T2140" s="21" t="str">
        <f>IFERROR(
(VLOOKUP(MONTH(R2140),Meses!$B$3:$C$14,2,FALSE)-DAY(R2140))/VLOOKUP(MONTH(R2140),Meses!$B$3:$C$14,2,FALSE)*U2140,
"")</f>
        <v/>
      </c>
      <c r="U2140" s="22">
        <f t="shared" si="103"/>
        <v>0</v>
      </c>
    </row>
    <row r="2141" spans="1:21" ht="31.8" hidden="1" thickBot="1" x14ac:dyDescent="0.6">
      <c r="A2141" s="10" t="s">
        <v>3097</v>
      </c>
      <c r="B2141" s="10" t="s">
        <v>2747</v>
      </c>
      <c r="C2141" s="12">
        <v>45029</v>
      </c>
      <c r="D2141" s="10" t="s">
        <v>323</v>
      </c>
      <c r="E2141" s="10" t="s">
        <v>14</v>
      </c>
      <c r="F2141" s="10"/>
      <c r="G2141" s="10" t="s">
        <v>15</v>
      </c>
      <c r="H2141" s="10" t="s">
        <v>17</v>
      </c>
      <c r="I2141" s="10" t="s">
        <v>66</v>
      </c>
      <c r="J2141" s="10"/>
      <c r="K2141" s="10"/>
      <c r="L2141" s="10"/>
      <c r="M2141" s="12"/>
      <c r="N2141" s="10"/>
      <c r="O2141" s="10" t="s">
        <v>2054</v>
      </c>
      <c r="P2141" s="25" t="str">
        <f>IFERROR(
IF(OR(O2141="anulado",O2141="stand by"),CONCATENATE(O2141,": ",H2141),
IF(OR(YEAR(M2141)=2022,YEAR(M2141)=2023),CONCATENATE("Se activó en ",YEAR(M2141)),
IF(AND(OR(O2141="En proceso",O2141="facturando"),AND(J2141="-",M2141="")),"Por revisar",
IF(M2141="",IF(J2141="NUEVAS",CONCATENATE("Estado: ",O2141,", ",J2141),
IF(L2141=Meses!$A$3,"Por revisar",
IF(H2141="","Sin registro","En programación Frcst."))),"En programación")))),
"Error")</f>
        <v>En programación Frcst.</v>
      </c>
      <c r="Q2141" s="9" t="str">
        <f t="shared" si="102"/>
        <v/>
      </c>
      <c r="R2141" s="25" t="e">
        <f>IF(P2141="En programación Frcst.",VLOOKUP(L2141,Meses!$A$1:$H$14,3+HLOOKUP(Cronograma!J2141,Meses!$D$1:$G$2,2,FALSE),FALSE),
IF(P2141="En programación",M2141,""))</f>
        <v>#N/A</v>
      </c>
      <c r="S2141" s="25" t="str">
        <f t="shared" si="101"/>
        <v/>
      </c>
      <c r="T2141" s="21" t="str">
        <f>IFERROR(
(VLOOKUP(MONTH(R2141),Meses!$B$3:$C$14,2,FALSE)-DAY(R2141))/VLOOKUP(MONTH(R2141),Meses!$B$3:$C$14,2,FALSE)*U2141,
"")</f>
        <v/>
      </c>
      <c r="U2141" s="22">
        <f t="shared" si="103"/>
        <v>0</v>
      </c>
    </row>
    <row r="2142" spans="1:21" ht="47.4" hidden="1" thickBot="1" x14ac:dyDescent="0.6">
      <c r="A2142" s="10" t="s">
        <v>3098</v>
      </c>
      <c r="B2142" s="10" t="s">
        <v>2748</v>
      </c>
      <c r="C2142" s="12">
        <v>45029</v>
      </c>
      <c r="D2142" s="10" t="s">
        <v>323</v>
      </c>
      <c r="E2142" s="10" t="s">
        <v>289</v>
      </c>
      <c r="F2142" s="10"/>
      <c r="G2142" s="10" t="s">
        <v>15</v>
      </c>
      <c r="H2142" s="10" t="s">
        <v>17</v>
      </c>
      <c r="I2142" s="10" t="s">
        <v>66</v>
      </c>
      <c r="J2142" s="10"/>
      <c r="K2142" s="10"/>
      <c r="L2142" s="10"/>
      <c r="M2142" s="12"/>
      <c r="N2142" s="10"/>
      <c r="O2142" s="10" t="s">
        <v>2054</v>
      </c>
      <c r="P2142" s="25" t="str">
        <f>IFERROR(
IF(OR(O2142="anulado",O2142="stand by"),CONCATENATE(O2142,": ",H2142),
IF(OR(YEAR(M2142)=2022,YEAR(M2142)=2023),CONCATENATE("Se activó en ",YEAR(M2142)),
IF(AND(OR(O2142="En proceso",O2142="facturando"),AND(J2142="-",M2142="")),"Por revisar",
IF(M2142="",IF(J2142="NUEVAS",CONCATENATE("Estado: ",O2142,", ",J2142),
IF(L2142=Meses!$A$3,"Por revisar",
IF(H2142="","Sin registro","En programación Frcst."))),"En programación")))),
"Error")</f>
        <v>En programación Frcst.</v>
      </c>
      <c r="Q2142" s="9" t="str">
        <f t="shared" si="102"/>
        <v/>
      </c>
      <c r="R2142" s="25" t="e">
        <f>IF(P2142="En programación Frcst.",VLOOKUP(L2142,Meses!$A$1:$H$14,3+HLOOKUP(Cronograma!J2142,Meses!$D$1:$G$2,2,FALSE),FALSE),
IF(P2142="En programación",M2142,""))</f>
        <v>#N/A</v>
      </c>
      <c r="S2142" s="25" t="str">
        <f t="shared" si="101"/>
        <v/>
      </c>
      <c r="T2142" s="21" t="str">
        <f>IFERROR(
(VLOOKUP(MONTH(R2142),Meses!$B$3:$C$14,2,FALSE)-DAY(R2142))/VLOOKUP(MONTH(R2142),Meses!$B$3:$C$14,2,FALSE)*U2142,
"")</f>
        <v/>
      </c>
      <c r="U2142" s="22">
        <f t="shared" si="103"/>
        <v>0</v>
      </c>
    </row>
    <row r="2143" spans="1:21" ht="31.8" hidden="1" thickBot="1" x14ac:dyDescent="0.6">
      <c r="A2143" s="10" t="s">
        <v>3099</v>
      </c>
      <c r="B2143" s="10" t="s">
        <v>2749</v>
      </c>
      <c r="C2143" s="12">
        <v>45029</v>
      </c>
      <c r="D2143" s="10" t="s">
        <v>323</v>
      </c>
      <c r="E2143" s="10" t="s">
        <v>289</v>
      </c>
      <c r="F2143" s="10"/>
      <c r="G2143" s="10" t="s">
        <v>15</v>
      </c>
      <c r="H2143" s="10" t="s">
        <v>17</v>
      </c>
      <c r="I2143" s="10" t="s">
        <v>66</v>
      </c>
      <c r="J2143" s="10"/>
      <c r="K2143" s="10"/>
      <c r="L2143" s="10"/>
      <c r="M2143" s="12"/>
      <c r="N2143" s="10"/>
      <c r="O2143" s="10" t="s">
        <v>2054</v>
      </c>
      <c r="P2143" s="25" t="str">
        <f>IFERROR(
IF(OR(O2143="anulado",O2143="stand by"),CONCATENATE(O2143,": ",H2143),
IF(OR(YEAR(M2143)=2022,YEAR(M2143)=2023),CONCATENATE("Se activó en ",YEAR(M2143)),
IF(AND(OR(O2143="En proceso",O2143="facturando"),AND(J2143="-",M2143="")),"Por revisar",
IF(M2143="",IF(J2143="NUEVAS",CONCATENATE("Estado: ",O2143,", ",J2143),
IF(L2143=Meses!$A$3,"Por revisar",
IF(H2143="","Sin registro","En programación Frcst."))),"En programación")))),
"Error")</f>
        <v>En programación Frcst.</v>
      </c>
      <c r="Q2143" s="9" t="str">
        <f t="shared" si="102"/>
        <v/>
      </c>
      <c r="R2143" s="25" t="e">
        <f>IF(P2143="En programación Frcst.",VLOOKUP(L2143,Meses!$A$1:$H$14,3+HLOOKUP(Cronograma!J2143,Meses!$D$1:$G$2,2,FALSE),FALSE),
IF(P2143="En programación",M2143,""))</f>
        <v>#N/A</v>
      </c>
      <c r="S2143" s="25" t="str">
        <f t="shared" si="101"/>
        <v/>
      </c>
      <c r="T2143" s="21" t="str">
        <f>IFERROR(
(VLOOKUP(MONTH(R2143),Meses!$B$3:$C$14,2,FALSE)-DAY(R2143))/VLOOKUP(MONTH(R2143),Meses!$B$3:$C$14,2,FALSE)*U2143,
"")</f>
        <v/>
      </c>
      <c r="U2143" s="22">
        <f t="shared" si="103"/>
        <v>0</v>
      </c>
    </row>
    <row r="2144" spans="1:21" ht="47.4" hidden="1" thickBot="1" x14ac:dyDescent="0.6">
      <c r="A2144" s="10" t="s">
        <v>3100</v>
      </c>
      <c r="B2144" s="10" t="s">
        <v>2750</v>
      </c>
      <c r="C2144" s="12">
        <v>45029</v>
      </c>
      <c r="D2144" s="10" t="s">
        <v>323</v>
      </c>
      <c r="E2144" s="10" t="s">
        <v>14</v>
      </c>
      <c r="F2144" s="10"/>
      <c r="G2144" s="10" t="s">
        <v>15</v>
      </c>
      <c r="H2144" s="10" t="s">
        <v>17</v>
      </c>
      <c r="I2144" s="10" t="s">
        <v>66</v>
      </c>
      <c r="J2144" s="10"/>
      <c r="K2144" s="10"/>
      <c r="L2144" s="10"/>
      <c r="M2144" s="12"/>
      <c r="N2144" s="10"/>
      <c r="O2144" s="10" t="s">
        <v>2054</v>
      </c>
      <c r="P2144" s="25" t="str">
        <f>IFERROR(
IF(OR(O2144="anulado",O2144="stand by"),CONCATENATE(O2144,": ",H2144),
IF(OR(YEAR(M2144)=2022,YEAR(M2144)=2023),CONCATENATE("Se activó en ",YEAR(M2144)),
IF(AND(OR(O2144="En proceso",O2144="facturando"),AND(J2144="-",M2144="")),"Por revisar",
IF(M2144="",IF(J2144="NUEVAS",CONCATENATE("Estado: ",O2144,", ",J2144),
IF(L2144=Meses!$A$3,"Por revisar",
IF(H2144="","Sin registro","En programación Frcst."))),"En programación")))),
"Error")</f>
        <v>En programación Frcst.</v>
      </c>
      <c r="Q2144" s="9" t="str">
        <f t="shared" si="102"/>
        <v/>
      </c>
      <c r="R2144" s="25" t="e">
        <f>IF(P2144="En programación Frcst.",VLOOKUP(L2144,Meses!$A$1:$H$14,3+HLOOKUP(Cronograma!J2144,Meses!$D$1:$G$2,2,FALSE),FALSE),
IF(P2144="En programación",M2144,""))</f>
        <v>#N/A</v>
      </c>
      <c r="S2144" s="25" t="str">
        <f t="shared" si="101"/>
        <v/>
      </c>
      <c r="T2144" s="21" t="str">
        <f>IFERROR(
(VLOOKUP(MONTH(R2144),Meses!$B$3:$C$14,2,FALSE)-DAY(R2144))/VLOOKUP(MONTH(R2144),Meses!$B$3:$C$14,2,FALSE)*U2144,
"")</f>
        <v/>
      </c>
      <c r="U2144" s="22">
        <f t="shared" si="103"/>
        <v>0</v>
      </c>
    </row>
    <row r="2145" spans="1:21" ht="47.4" hidden="1" thickBot="1" x14ac:dyDescent="0.6">
      <c r="A2145" s="10" t="s">
        <v>3101</v>
      </c>
      <c r="B2145" s="10" t="s">
        <v>2751</v>
      </c>
      <c r="C2145" s="12">
        <v>45029</v>
      </c>
      <c r="D2145" s="10" t="s">
        <v>323</v>
      </c>
      <c r="E2145" s="10" t="s">
        <v>14</v>
      </c>
      <c r="F2145" s="10"/>
      <c r="G2145" s="10" t="s">
        <v>15</v>
      </c>
      <c r="H2145" s="10" t="s">
        <v>17</v>
      </c>
      <c r="I2145" s="10" t="s">
        <v>66</v>
      </c>
      <c r="J2145" s="10"/>
      <c r="K2145" s="10"/>
      <c r="L2145" s="10"/>
      <c r="M2145" s="12"/>
      <c r="N2145" s="10"/>
      <c r="O2145" s="10" t="s">
        <v>2054</v>
      </c>
      <c r="P2145" s="25" t="str">
        <f>IFERROR(
IF(OR(O2145="anulado",O2145="stand by"),CONCATENATE(O2145,": ",H2145),
IF(OR(YEAR(M2145)=2022,YEAR(M2145)=2023),CONCATENATE("Se activó en ",YEAR(M2145)),
IF(AND(OR(O2145="En proceso",O2145="facturando"),AND(J2145="-",M2145="")),"Por revisar",
IF(M2145="",IF(J2145="NUEVAS",CONCATENATE("Estado: ",O2145,", ",J2145),
IF(L2145=Meses!$A$3,"Por revisar",
IF(H2145="","Sin registro","En programación Frcst."))),"En programación")))),
"Error")</f>
        <v>En programación Frcst.</v>
      </c>
      <c r="Q2145" s="9" t="str">
        <f t="shared" si="102"/>
        <v/>
      </c>
      <c r="R2145" s="25" t="e">
        <f>IF(P2145="En programación Frcst.",VLOOKUP(L2145,Meses!$A$1:$H$14,3+HLOOKUP(Cronograma!J2145,Meses!$D$1:$G$2,2,FALSE),FALSE),
IF(P2145="En programación",M2145,""))</f>
        <v>#N/A</v>
      </c>
      <c r="S2145" s="25" t="str">
        <f t="shared" si="101"/>
        <v/>
      </c>
      <c r="T2145" s="21" t="str">
        <f>IFERROR(
(VLOOKUP(MONTH(R2145),Meses!$B$3:$C$14,2,FALSE)-DAY(R2145))/VLOOKUP(MONTH(R2145),Meses!$B$3:$C$14,2,FALSE)*U2145,
"")</f>
        <v/>
      </c>
      <c r="U2145" s="22">
        <f t="shared" si="103"/>
        <v>0</v>
      </c>
    </row>
    <row r="2146" spans="1:21" ht="47.4" hidden="1" thickBot="1" x14ac:dyDescent="0.6">
      <c r="A2146" s="10" t="s">
        <v>3102</v>
      </c>
      <c r="B2146" s="10" t="s">
        <v>2752</v>
      </c>
      <c r="C2146" s="12">
        <v>45029</v>
      </c>
      <c r="D2146" s="10" t="s">
        <v>323</v>
      </c>
      <c r="E2146" s="10" t="s">
        <v>291</v>
      </c>
      <c r="F2146" s="10"/>
      <c r="G2146" s="10" t="s">
        <v>15</v>
      </c>
      <c r="H2146" s="10" t="s">
        <v>17</v>
      </c>
      <c r="I2146" s="10" t="s">
        <v>66</v>
      </c>
      <c r="J2146" s="10"/>
      <c r="K2146" s="10"/>
      <c r="L2146" s="10"/>
      <c r="M2146" s="12"/>
      <c r="N2146" s="10"/>
      <c r="O2146" s="10" t="s">
        <v>2054</v>
      </c>
      <c r="P2146" s="25" t="str">
        <f>IFERROR(
IF(OR(O2146="anulado",O2146="stand by"),CONCATENATE(O2146,": ",H2146),
IF(OR(YEAR(M2146)=2022,YEAR(M2146)=2023),CONCATENATE("Se activó en ",YEAR(M2146)),
IF(AND(OR(O2146="En proceso",O2146="facturando"),AND(J2146="-",M2146="")),"Por revisar",
IF(M2146="",IF(J2146="NUEVAS",CONCATENATE("Estado: ",O2146,", ",J2146),
IF(L2146=Meses!$A$3,"Por revisar",
IF(H2146="","Sin registro","En programación Frcst."))),"En programación")))),
"Error")</f>
        <v>En programación Frcst.</v>
      </c>
      <c r="Q2146" s="9" t="str">
        <f t="shared" si="102"/>
        <v/>
      </c>
      <c r="R2146" s="25" t="e">
        <f>IF(P2146="En programación Frcst.",VLOOKUP(L2146,Meses!$A$1:$H$14,3+HLOOKUP(Cronograma!J2146,Meses!$D$1:$G$2,2,FALSE),FALSE),
IF(P2146="En programación",M2146,""))</f>
        <v>#N/A</v>
      </c>
      <c r="S2146" s="25" t="str">
        <f t="shared" si="101"/>
        <v/>
      </c>
      <c r="T2146" s="21" t="str">
        <f>IFERROR(
(VLOOKUP(MONTH(R2146),Meses!$B$3:$C$14,2,FALSE)-DAY(R2146))/VLOOKUP(MONTH(R2146),Meses!$B$3:$C$14,2,FALSE)*U2146,
"")</f>
        <v/>
      </c>
      <c r="U2146" s="22">
        <f t="shared" si="103"/>
        <v>0</v>
      </c>
    </row>
    <row r="2147" spans="1:21" ht="47.4" hidden="1" thickBot="1" x14ac:dyDescent="0.6">
      <c r="A2147" s="10" t="s">
        <v>3103</v>
      </c>
      <c r="B2147" s="10" t="s">
        <v>2753</v>
      </c>
      <c r="C2147" s="12">
        <v>45029</v>
      </c>
      <c r="D2147" s="10" t="s">
        <v>323</v>
      </c>
      <c r="E2147" s="10" t="s">
        <v>14</v>
      </c>
      <c r="F2147" s="10"/>
      <c r="G2147" s="10" t="s">
        <v>15</v>
      </c>
      <c r="H2147" s="10" t="s">
        <v>17</v>
      </c>
      <c r="I2147" s="10" t="s">
        <v>66</v>
      </c>
      <c r="J2147" s="10"/>
      <c r="K2147" s="10"/>
      <c r="L2147" s="10"/>
      <c r="M2147" s="12"/>
      <c r="N2147" s="10"/>
      <c r="O2147" s="10" t="s">
        <v>2054</v>
      </c>
      <c r="P2147" s="25" t="str">
        <f>IFERROR(
IF(OR(O2147="anulado",O2147="stand by"),CONCATENATE(O2147,": ",H2147),
IF(OR(YEAR(M2147)=2022,YEAR(M2147)=2023),CONCATENATE("Se activó en ",YEAR(M2147)),
IF(AND(OR(O2147="En proceso",O2147="facturando"),AND(J2147="-",M2147="")),"Por revisar",
IF(M2147="",IF(J2147="NUEVAS",CONCATENATE("Estado: ",O2147,", ",J2147),
IF(L2147=Meses!$A$3,"Por revisar",
IF(H2147="","Sin registro","En programación Frcst."))),"En programación")))),
"Error")</f>
        <v>En programación Frcst.</v>
      </c>
      <c r="Q2147" s="9" t="str">
        <f t="shared" si="102"/>
        <v/>
      </c>
      <c r="R2147" s="25" t="e">
        <f>IF(P2147="En programación Frcst.",VLOOKUP(L2147,Meses!$A$1:$H$14,3+HLOOKUP(Cronograma!J2147,Meses!$D$1:$G$2,2,FALSE),FALSE),
IF(P2147="En programación",M2147,""))</f>
        <v>#N/A</v>
      </c>
      <c r="S2147" s="25" t="str">
        <f t="shared" si="101"/>
        <v/>
      </c>
      <c r="T2147" s="21" t="str">
        <f>IFERROR(
(VLOOKUP(MONTH(R2147),Meses!$B$3:$C$14,2,FALSE)-DAY(R2147))/VLOOKUP(MONTH(R2147),Meses!$B$3:$C$14,2,FALSE)*U2147,
"")</f>
        <v/>
      </c>
      <c r="U2147" s="22">
        <f t="shared" si="103"/>
        <v>0</v>
      </c>
    </row>
    <row r="2148" spans="1:21" ht="47.4" hidden="1" thickBot="1" x14ac:dyDescent="0.6">
      <c r="A2148" s="10" t="s">
        <v>3104</v>
      </c>
      <c r="B2148" s="10" t="s">
        <v>2754</v>
      </c>
      <c r="C2148" s="12">
        <v>45029</v>
      </c>
      <c r="D2148" s="10" t="s">
        <v>323</v>
      </c>
      <c r="E2148" s="10" t="s">
        <v>23</v>
      </c>
      <c r="F2148" s="10"/>
      <c r="G2148" s="10" t="s">
        <v>15</v>
      </c>
      <c r="H2148" s="10" t="s">
        <v>17</v>
      </c>
      <c r="I2148" s="10" t="s">
        <v>66</v>
      </c>
      <c r="J2148" s="10"/>
      <c r="K2148" s="10"/>
      <c r="L2148" s="10"/>
      <c r="M2148" s="12"/>
      <c r="N2148" s="10"/>
      <c r="O2148" s="10" t="s">
        <v>2054</v>
      </c>
      <c r="P2148" s="25" t="str">
        <f>IFERROR(
IF(OR(O2148="anulado",O2148="stand by"),CONCATENATE(O2148,": ",H2148),
IF(OR(YEAR(M2148)=2022,YEAR(M2148)=2023),CONCATENATE("Se activó en ",YEAR(M2148)),
IF(AND(OR(O2148="En proceso",O2148="facturando"),AND(J2148="-",M2148="")),"Por revisar",
IF(M2148="",IF(J2148="NUEVAS",CONCATENATE("Estado: ",O2148,", ",J2148),
IF(L2148=Meses!$A$3,"Por revisar",
IF(H2148="","Sin registro","En programación Frcst."))),"En programación")))),
"Error")</f>
        <v>En programación Frcst.</v>
      </c>
      <c r="Q2148" s="9" t="str">
        <f t="shared" si="102"/>
        <v/>
      </c>
      <c r="R2148" s="25" t="e">
        <f>IF(P2148="En programación Frcst.",VLOOKUP(L2148,Meses!$A$1:$H$14,3+HLOOKUP(Cronograma!J2148,Meses!$D$1:$G$2,2,FALSE),FALSE),
IF(P2148="En programación",M2148,""))</f>
        <v>#N/A</v>
      </c>
      <c r="S2148" s="25" t="str">
        <f t="shared" si="101"/>
        <v/>
      </c>
      <c r="T2148" s="21" t="str">
        <f>IFERROR(
(VLOOKUP(MONTH(R2148),Meses!$B$3:$C$14,2,FALSE)-DAY(R2148))/VLOOKUP(MONTH(R2148),Meses!$B$3:$C$14,2,FALSE)*U2148,
"")</f>
        <v/>
      </c>
      <c r="U2148" s="22">
        <f t="shared" si="103"/>
        <v>0</v>
      </c>
    </row>
    <row r="2149" spans="1:21" ht="31.8" hidden="1" thickBot="1" x14ac:dyDescent="0.6">
      <c r="A2149" s="10" t="s">
        <v>3105</v>
      </c>
      <c r="B2149" s="10" t="s">
        <v>2755</v>
      </c>
      <c r="C2149" s="12">
        <v>45029</v>
      </c>
      <c r="D2149" s="10" t="s">
        <v>323</v>
      </c>
      <c r="E2149" s="10" t="s">
        <v>677</v>
      </c>
      <c r="F2149" s="10"/>
      <c r="G2149" s="10" t="s">
        <v>15</v>
      </c>
      <c r="H2149" s="10" t="s">
        <v>17</v>
      </c>
      <c r="I2149" s="10" t="s">
        <v>66</v>
      </c>
      <c r="J2149" s="10"/>
      <c r="K2149" s="10"/>
      <c r="L2149" s="10"/>
      <c r="M2149" s="12"/>
      <c r="N2149" s="10"/>
      <c r="O2149" s="10" t="s">
        <v>2054</v>
      </c>
      <c r="P2149" s="25" t="str">
        <f>IFERROR(
IF(OR(O2149="anulado",O2149="stand by"),CONCATENATE(O2149,": ",H2149),
IF(OR(YEAR(M2149)=2022,YEAR(M2149)=2023),CONCATENATE("Se activó en ",YEAR(M2149)),
IF(AND(OR(O2149="En proceso",O2149="facturando"),AND(J2149="-",M2149="")),"Por revisar",
IF(M2149="",IF(J2149="NUEVAS",CONCATENATE("Estado: ",O2149,", ",J2149),
IF(L2149=Meses!$A$3,"Por revisar",
IF(H2149="","Sin registro","En programación Frcst."))),"En programación")))),
"Error")</f>
        <v>En programación Frcst.</v>
      </c>
      <c r="Q2149" s="9" t="str">
        <f t="shared" si="102"/>
        <v/>
      </c>
      <c r="R2149" s="25" t="e">
        <f>IF(P2149="En programación Frcst.",VLOOKUP(L2149,Meses!$A$1:$H$14,3+HLOOKUP(Cronograma!J2149,Meses!$D$1:$G$2,2,FALSE),FALSE),
IF(P2149="En programación",M2149,""))</f>
        <v>#N/A</v>
      </c>
      <c r="S2149" s="25" t="str">
        <f t="shared" si="101"/>
        <v/>
      </c>
      <c r="T2149" s="21" t="str">
        <f>IFERROR(
(VLOOKUP(MONTH(R2149),Meses!$B$3:$C$14,2,FALSE)-DAY(R2149))/VLOOKUP(MONTH(R2149),Meses!$B$3:$C$14,2,FALSE)*U2149,
"")</f>
        <v/>
      </c>
      <c r="U2149" s="22">
        <f t="shared" si="103"/>
        <v>0</v>
      </c>
    </row>
    <row r="2150" spans="1:21" ht="47.4" hidden="1" thickBot="1" x14ac:dyDescent="0.6">
      <c r="A2150" s="10" t="s">
        <v>3106</v>
      </c>
      <c r="B2150" s="10" t="s">
        <v>2756</v>
      </c>
      <c r="C2150" s="12">
        <v>45029</v>
      </c>
      <c r="D2150" s="10" t="s">
        <v>323</v>
      </c>
      <c r="E2150" s="10" t="s">
        <v>298</v>
      </c>
      <c r="F2150" s="10"/>
      <c r="G2150" s="10" t="s">
        <v>15</v>
      </c>
      <c r="H2150" s="10" t="s">
        <v>17</v>
      </c>
      <c r="I2150" s="10" t="s">
        <v>66</v>
      </c>
      <c r="J2150" s="10"/>
      <c r="K2150" s="10"/>
      <c r="L2150" s="10"/>
      <c r="M2150" s="12"/>
      <c r="N2150" s="10"/>
      <c r="O2150" s="10" t="s">
        <v>2054</v>
      </c>
      <c r="P2150" s="25" t="str">
        <f>IFERROR(
IF(OR(O2150="anulado",O2150="stand by"),CONCATENATE(O2150,": ",H2150),
IF(OR(YEAR(M2150)=2022,YEAR(M2150)=2023),CONCATENATE("Se activó en ",YEAR(M2150)),
IF(AND(OR(O2150="En proceso",O2150="facturando"),AND(J2150="-",M2150="")),"Por revisar",
IF(M2150="",IF(J2150="NUEVAS",CONCATENATE("Estado: ",O2150,", ",J2150),
IF(L2150=Meses!$A$3,"Por revisar",
IF(H2150="","Sin registro","En programación Frcst."))),"En programación")))),
"Error")</f>
        <v>En programación Frcst.</v>
      </c>
      <c r="Q2150" s="9" t="str">
        <f t="shared" si="102"/>
        <v/>
      </c>
      <c r="R2150" s="25" t="e">
        <f>IF(P2150="En programación Frcst.",VLOOKUP(L2150,Meses!$A$1:$H$14,3+HLOOKUP(Cronograma!J2150,Meses!$D$1:$G$2,2,FALSE),FALSE),
IF(P2150="En programación",M2150,""))</f>
        <v>#N/A</v>
      </c>
      <c r="S2150" s="25" t="str">
        <f t="shared" si="101"/>
        <v/>
      </c>
      <c r="T2150" s="21" t="str">
        <f>IFERROR(
(VLOOKUP(MONTH(R2150),Meses!$B$3:$C$14,2,FALSE)-DAY(R2150))/VLOOKUP(MONTH(R2150),Meses!$B$3:$C$14,2,FALSE)*U2150,
"")</f>
        <v/>
      </c>
      <c r="U2150" s="22">
        <f t="shared" si="103"/>
        <v>0</v>
      </c>
    </row>
    <row r="2151" spans="1:21" ht="47.4" hidden="1" thickBot="1" x14ac:dyDescent="0.6">
      <c r="A2151" s="10" t="s">
        <v>3107</v>
      </c>
      <c r="B2151" s="10" t="s">
        <v>2757</v>
      </c>
      <c r="C2151" s="12">
        <v>45029</v>
      </c>
      <c r="D2151" s="10" t="s">
        <v>323</v>
      </c>
      <c r="E2151" s="10" t="s">
        <v>14</v>
      </c>
      <c r="F2151" s="10"/>
      <c r="G2151" s="10" t="s">
        <v>15</v>
      </c>
      <c r="H2151" s="10" t="s">
        <v>17</v>
      </c>
      <c r="I2151" s="10" t="s">
        <v>66</v>
      </c>
      <c r="J2151" s="10"/>
      <c r="K2151" s="10"/>
      <c r="L2151" s="10"/>
      <c r="M2151" s="12"/>
      <c r="N2151" s="10"/>
      <c r="O2151" s="10" t="s">
        <v>2054</v>
      </c>
      <c r="P2151" s="25" t="str">
        <f>IFERROR(
IF(OR(O2151="anulado",O2151="stand by"),CONCATENATE(O2151,": ",H2151),
IF(OR(YEAR(M2151)=2022,YEAR(M2151)=2023),CONCATENATE("Se activó en ",YEAR(M2151)),
IF(AND(OR(O2151="En proceso",O2151="facturando"),AND(J2151="-",M2151="")),"Por revisar",
IF(M2151="",IF(J2151="NUEVAS",CONCATENATE("Estado: ",O2151,", ",J2151),
IF(L2151=Meses!$A$3,"Por revisar",
IF(H2151="","Sin registro","En programación Frcst."))),"En programación")))),
"Error")</f>
        <v>En programación Frcst.</v>
      </c>
      <c r="Q2151" s="9" t="str">
        <f t="shared" si="102"/>
        <v/>
      </c>
      <c r="R2151" s="25" t="e">
        <f>IF(P2151="En programación Frcst.",VLOOKUP(L2151,Meses!$A$1:$H$14,3+HLOOKUP(Cronograma!J2151,Meses!$D$1:$G$2,2,FALSE),FALSE),
IF(P2151="En programación",M2151,""))</f>
        <v>#N/A</v>
      </c>
      <c r="S2151" s="25" t="str">
        <f t="shared" si="101"/>
        <v/>
      </c>
      <c r="T2151" s="21" t="str">
        <f>IFERROR(
(VLOOKUP(MONTH(R2151),Meses!$B$3:$C$14,2,FALSE)-DAY(R2151))/VLOOKUP(MONTH(R2151),Meses!$B$3:$C$14,2,FALSE)*U2151,
"")</f>
        <v/>
      </c>
      <c r="U2151" s="22">
        <f t="shared" si="103"/>
        <v>0</v>
      </c>
    </row>
    <row r="2152" spans="1:21" ht="31.8" hidden="1" thickBot="1" x14ac:dyDescent="0.6">
      <c r="A2152" s="10" t="s">
        <v>3108</v>
      </c>
      <c r="B2152" s="10" t="s">
        <v>2758</v>
      </c>
      <c r="C2152" s="12">
        <v>45029</v>
      </c>
      <c r="D2152" s="10" t="s">
        <v>323</v>
      </c>
      <c r="E2152" s="10"/>
      <c r="F2152" s="10"/>
      <c r="G2152" s="10" t="s">
        <v>15</v>
      </c>
      <c r="H2152" s="10" t="s">
        <v>17</v>
      </c>
      <c r="I2152" s="10" t="s">
        <v>66</v>
      </c>
      <c r="J2152" s="10"/>
      <c r="K2152" s="10"/>
      <c r="L2152" s="10"/>
      <c r="M2152" s="12"/>
      <c r="N2152" s="10"/>
      <c r="O2152" s="10" t="s">
        <v>2054</v>
      </c>
      <c r="P2152" s="25" t="str">
        <f>IFERROR(
IF(OR(O2152="anulado",O2152="stand by"),CONCATENATE(O2152,": ",H2152),
IF(OR(YEAR(M2152)=2022,YEAR(M2152)=2023),CONCATENATE("Se activó en ",YEAR(M2152)),
IF(AND(OR(O2152="En proceso",O2152="facturando"),AND(J2152="-",M2152="")),"Por revisar",
IF(M2152="",IF(J2152="NUEVAS",CONCATENATE("Estado: ",O2152,", ",J2152),
IF(L2152=Meses!$A$3,"Por revisar",
IF(H2152="","Sin registro","En programación Frcst."))),"En programación")))),
"Error")</f>
        <v>En programación Frcst.</v>
      </c>
      <c r="Q2152" s="9" t="str">
        <f t="shared" si="102"/>
        <v/>
      </c>
      <c r="R2152" s="25" t="e">
        <f>IF(P2152="En programación Frcst.",VLOOKUP(L2152,Meses!$A$1:$H$14,3+HLOOKUP(Cronograma!J2152,Meses!$D$1:$G$2,2,FALSE),FALSE),
IF(P2152="En programación",M2152,""))</f>
        <v>#N/A</v>
      </c>
      <c r="S2152" s="25" t="str">
        <f t="shared" si="101"/>
        <v/>
      </c>
      <c r="T2152" s="21" t="str">
        <f>IFERROR(
(VLOOKUP(MONTH(R2152),Meses!$B$3:$C$14,2,FALSE)-DAY(R2152))/VLOOKUP(MONTH(R2152),Meses!$B$3:$C$14,2,FALSE)*U2152,
"")</f>
        <v/>
      </c>
      <c r="U2152" s="22">
        <f t="shared" si="103"/>
        <v>0</v>
      </c>
    </row>
    <row r="2153" spans="1:21" ht="31.8" hidden="1" thickBot="1" x14ac:dyDescent="0.6">
      <c r="A2153" s="10" t="s">
        <v>3108</v>
      </c>
      <c r="B2153" s="10" t="s">
        <v>2759</v>
      </c>
      <c r="C2153" s="12">
        <v>45029</v>
      </c>
      <c r="D2153" s="10" t="s">
        <v>323</v>
      </c>
      <c r="E2153" s="10"/>
      <c r="F2153" s="10"/>
      <c r="G2153" s="10" t="s">
        <v>15</v>
      </c>
      <c r="H2153" s="10" t="s">
        <v>17</v>
      </c>
      <c r="I2153" s="10" t="s">
        <v>66</v>
      </c>
      <c r="J2153" s="10"/>
      <c r="K2153" s="10"/>
      <c r="L2153" s="10"/>
      <c r="M2153" s="12"/>
      <c r="N2153" s="10"/>
      <c r="O2153" s="10" t="s">
        <v>2054</v>
      </c>
      <c r="P2153" s="25" t="str">
        <f>IFERROR(
IF(OR(O2153="anulado",O2153="stand by"),CONCATENATE(O2153,": ",H2153),
IF(OR(YEAR(M2153)=2022,YEAR(M2153)=2023),CONCATENATE("Se activó en ",YEAR(M2153)),
IF(AND(OR(O2153="En proceso",O2153="facturando"),AND(J2153="-",M2153="")),"Por revisar",
IF(M2153="",IF(J2153="NUEVAS",CONCATENATE("Estado: ",O2153,", ",J2153),
IF(L2153=Meses!$A$3,"Por revisar",
IF(H2153="","Sin registro","En programación Frcst."))),"En programación")))),
"Error")</f>
        <v>En programación Frcst.</v>
      </c>
      <c r="Q2153" s="9" t="str">
        <f t="shared" si="102"/>
        <v/>
      </c>
      <c r="R2153" s="25" t="e">
        <f>IF(P2153="En programación Frcst.",VLOOKUP(L2153,Meses!$A$1:$H$14,3+HLOOKUP(Cronograma!J2153,Meses!$D$1:$G$2,2,FALSE),FALSE),
IF(P2153="En programación",M2153,""))</f>
        <v>#N/A</v>
      </c>
      <c r="S2153" s="25" t="str">
        <f t="shared" si="101"/>
        <v/>
      </c>
      <c r="T2153" s="21" t="str">
        <f>IFERROR(
(VLOOKUP(MONTH(R2153),Meses!$B$3:$C$14,2,FALSE)-DAY(R2153))/VLOOKUP(MONTH(R2153),Meses!$B$3:$C$14,2,FALSE)*U2153,
"")</f>
        <v/>
      </c>
      <c r="U2153" s="22">
        <f t="shared" si="103"/>
        <v>0</v>
      </c>
    </row>
    <row r="2154" spans="1:21" ht="31.8" hidden="1" thickBot="1" x14ac:dyDescent="0.6">
      <c r="A2154" s="10" t="s">
        <v>3108</v>
      </c>
      <c r="B2154" s="10" t="s">
        <v>2760</v>
      </c>
      <c r="C2154" s="12">
        <v>45029</v>
      </c>
      <c r="D2154" s="10" t="s">
        <v>323</v>
      </c>
      <c r="E2154" s="10" t="s">
        <v>289</v>
      </c>
      <c r="F2154" s="10"/>
      <c r="G2154" s="10" t="s">
        <v>15</v>
      </c>
      <c r="H2154" s="10" t="s">
        <v>17</v>
      </c>
      <c r="I2154" s="10" t="s">
        <v>66</v>
      </c>
      <c r="J2154" s="10"/>
      <c r="K2154" s="10"/>
      <c r="L2154" s="10"/>
      <c r="M2154" s="12"/>
      <c r="N2154" s="10"/>
      <c r="O2154" s="10" t="s">
        <v>2054</v>
      </c>
      <c r="P2154" s="25" t="str">
        <f>IFERROR(
IF(OR(O2154="anulado",O2154="stand by"),CONCATENATE(O2154,": ",H2154),
IF(OR(YEAR(M2154)=2022,YEAR(M2154)=2023),CONCATENATE("Se activó en ",YEAR(M2154)),
IF(AND(OR(O2154="En proceso",O2154="facturando"),AND(J2154="-",M2154="")),"Por revisar",
IF(M2154="",IF(J2154="NUEVAS",CONCATENATE("Estado: ",O2154,", ",J2154),
IF(L2154=Meses!$A$3,"Por revisar",
IF(H2154="","Sin registro","En programación Frcst."))),"En programación")))),
"Error")</f>
        <v>En programación Frcst.</v>
      </c>
      <c r="Q2154" s="9" t="str">
        <f t="shared" si="102"/>
        <v/>
      </c>
      <c r="R2154" s="25" t="e">
        <f>IF(P2154="En programación Frcst.",VLOOKUP(L2154,Meses!$A$1:$H$14,3+HLOOKUP(Cronograma!J2154,Meses!$D$1:$G$2,2,FALSE),FALSE),
IF(P2154="En programación",M2154,""))</f>
        <v>#N/A</v>
      </c>
      <c r="S2154" s="25" t="str">
        <f t="shared" si="101"/>
        <v/>
      </c>
      <c r="T2154" s="21" t="str">
        <f>IFERROR(
(VLOOKUP(MONTH(R2154),Meses!$B$3:$C$14,2,FALSE)-DAY(R2154))/VLOOKUP(MONTH(R2154),Meses!$B$3:$C$14,2,FALSE)*U2154,
"")</f>
        <v/>
      </c>
      <c r="U2154" s="22">
        <f t="shared" si="103"/>
        <v>0</v>
      </c>
    </row>
    <row r="2155" spans="1:21" ht="31.8" hidden="1" thickBot="1" x14ac:dyDescent="0.6">
      <c r="A2155" s="10" t="s">
        <v>3108</v>
      </c>
      <c r="B2155" s="10" t="s">
        <v>2761</v>
      </c>
      <c r="C2155" s="12">
        <v>45029</v>
      </c>
      <c r="D2155" s="10" t="s">
        <v>323</v>
      </c>
      <c r="E2155" s="10" t="s">
        <v>289</v>
      </c>
      <c r="F2155" s="10"/>
      <c r="G2155" s="10" t="s">
        <v>15</v>
      </c>
      <c r="H2155" s="10" t="s">
        <v>17</v>
      </c>
      <c r="I2155" s="10" t="s">
        <v>66</v>
      </c>
      <c r="J2155" s="10"/>
      <c r="K2155" s="10"/>
      <c r="L2155" s="10"/>
      <c r="M2155" s="12"/>
      <c r="N2155" s="10"/>
      <c r="O2155" s="10" t="s">
        <v>2054</v>
      </c>
      <c r="P2155" s="25" t="str">
        <f>IFERROR(
IF(OR(O2155="anulado",O2155="stand by"),CONCATENATE(O2155,": ",H2155),
IF(OR(YEAR(M2155)=2022,YEAR(M2155)=2023),CONCATENATE("Se activó en ",YEAR(M2155)),
IF(AND(OR(O2155="En proceso",O2155="facturando"),AND(J2155="-",M2155="")),"Por revisar",
IF(M2155="",IF(J2155="NUEVAS",CONCATENATE("Estado: ",O2155,", ",J2155),
IF(L2155=Meses!$A$3,"Por revisar",
IF(H2155="","Sin registro","En programación Frcst."))),"En programación")))),
"Error")</f>
        <v>En programación Frcst.</v>
      </c>
      <c r="Q2155" s="9" t="str">
        <f t="shared" si="102"/>
        <v/>
      </c>
      <c r="R2155" s="25" t="e">
        <f>IF(P2155="En programación Frcst.",VLOOKUP(L2155,Meses!$A$1:$H$14,3+HLOOKUP(Cronograma!J2155,Meses!$D$1:$G$2,2,FALSE),FALSE),
IF(P2155="En programación",M2155,""))</f>
        <v>#N/A</v>
      </c>
      <c r="S2155" s="25" t="str">
        <f t="shared" si="101"/>
        <v/>
      </c>
      <c r="T2155" s="21" t="str">
        <f>IFERROR(
(VLOOKUP(MONTH(R2155),Meses!$B$3:$C$14,2,FALSE)-DAY(R2155))/VLOOKUP(MONTH(R2155),Meses!$B$3:$C$14,2,FALSE)*U2155,
"")</f>
        <v/>
      </c>
      <c r="U2155" s="22">
        <f t="shared" si="103"/>
        <v>0</v>
      </c>
    </row>
    <row r="2156" spans="1:21" ht="31.8" hidden="1" thickBot="1" x14ac:dyDescent="0.6">
      <c r="A2156" s="10" t="s">
        <v>3108</v>
      </c>
      <c r="B2156" s="10" t="s">
        <v>2762</v>
      </c>
      <c r="C2156" s="12">
        <v>45029</v>
      </c>
      <c r="D2156" s="10" t="s">
        <v>323</v>
      </c>
      <c r="E2156" s="10"/>
      <c r="F2156" s="10"/>
      <c r="G2156" s="10" t="s">
        <v>15</v>
      </c>
      <c r="H2156" s="10" t="s">
        <v>17</v>
      </c>
      <c r="I2156" s="10" t="s">
        <v>66</v>
      </c>
      <c r="J2156" s="10"/>
      <c r="K2156" s="10"/>
      <c r="L2156" s="10"/>
      <c r="M2156" s="12"/>
      <c r="N2156" s="10"/>
      <c r="O2156" s="10" t="s">
        <v>2054</v>
      </c>
      <c r="P2156" s="25" t="str">
        <f>IFERROR(
IF(OR(O2156="anulado",O2156="stand by"),CONCATENATE(O2156,": ",H2156),
IF(OR(YEAR(M2156)=2022,YEAR(M2156)=2023),CONCATENATE("Se activó en ",YEAR(M2156)),
IF(AND(OR(O2156="En proceso",O2156="facturando"),AND(J2156="-",M2156="")),"Por revisar",
IF(M2156="",IF(J2156="NUEVAS",CONCATENATE("Estado: ",O2156,", ",J2156),
IF(L2156=Meses!$A$3,"Por revisar",
IF(H2156="","Sin registro","En programación Frcst."))),"En programación")))),
"Error")</f>
        <v>En programación Frcst.</v>
      </c>
      <c r="Q2156" s="9" t="str">
        <f t="shared" si="102"/>
        <v/>
      </c>
      <c r="R2156" s="25" t="e">
        <f>IF(P2156="En programación Frcst.",VLOOKUP(L2156,Meses!$A$1:$H$14,3+HLOOKUP(Cronograma!J2156,Meses!$D$1:$G$2,2,FALSE),FALSE),
IF(P2156="En programación",M2156,""))</f>
        <v>#N/A</v>
      </c>
      <c r="S2156" s="25" t="str">
        <f t="shared" si="101"/>
        <v/>
      </c>
      <c r="T2156" s="21" t="str">
        <f>IFERROR(
(VLOOKUP(MONTH(R2156),Meses!$B$3:$C$14,2,FALSE)-DAY(R2156))/VLOOKUP(MONTH(R2156),Meses!$B$3:$C$14,2,FALSE)*U2156,
"")</f>
        <v/>
      </c>
      <c r="U2156" s="22">
        <f t="shared" si="103"/>
        <v>0</v>
      </c>
    </row>
    <row r="2157" spans="1:21" ht="31.8" hidden="1" thickBot="1" x14ac:dyDescent="0.6">
      <c r="A2157" s="10" t="s">
        <v>1208</v>
      </c>
      <c r="B2157" s="10" t="s">
        <v>2763</v>
      </c>
      <c r="C2157" s="12">
        <v>45029</v>
      </c>
      <c r="D2157" s="10" t="s">
        <v>323</v>
      </c>
      <c r="E2157" s="10" t="s">
        <v>14</v>
      </c>
      <c r="F2157" s="10"/>
      <c r="G2157" s="10" t="s">
        <v>15</v>
      </c>
      <c r="H2157" s="10" t="s">
        <v>17</v>
      </c>
      <c r="I2157" s="10" t="s">
        <v>66</v>
      </c>
      <c r="J2157" s="10"/>
      <c r="K2157" s="10"/>
      <c r="L2157" s="10"/>
      <c r="M2157" s="12"/>
      <c r="N2157" s="10"/>
      <c r="O2157" s="10" t="s">
        <v>2054</v>
      </c>
      <c r="P2157" s="25" t="str">
        <f>IFERROR(
IF(OR(O2157="anulado",O2157="stand by"),CONCATENATE(O2157,": ",H2157),
IF(OR(YEAR(M2157)=2022,YEAR(M2157)=2023),CONCATENATE("Se activó en ",YEAR(M2157)),
IF(AND(OR(O2157="En proceso",O2157="facturando"),AND(J2157="-",M2157="")),"Por revisar",
IF(M2157="",IF(J2157="NUEVAS",CONCATENATE("Estado: ",O2157,", ",J2157),
IF(L2157=Meses!$A$3,"Por revisar",
IF(H2157="","Sin registro","En programación Frcst."))),"En programación")))),
"Error")</f>
        <v>En programación Frcst.</v>
      </c>
      <c r="Q2157" s="9" t="str">
        <f t="shared" si="102"/>
        <v/>
      </c>
      <c r="R2157" s="25" t="e">
        <f>IF(P2157="En programación Frcst.",VLOOKUP(L2157,Meses!$A$1:$H$14,3+HLOOKUP(Cronograma!J2157,Meses!$D$1:$G$2,2,FALSE),FALSE),
IF(P2157="En programación",M2157,""))</f>
        <v>#N/A</v>
      </c>
      <c r="S2157" s="25" t="str">
        <f t="shared" si="101"/>
        <v/>
      </c>
      <c r="T2157" s="21" t="str">
        <f>IFERROR(
(VLOOKUP(MONTH(R2157),Meses!$B$3:$C$14,2,FALSE)-DAY(R2157))/VLOOKUP(MONTH(R2157),Meses!$B$3:$C$14,2,FALSE)*U2157,
"")</f>
        <v/>
      </c>
      <c r="U2157" s="22">
        <f t="shared" si="103"/>
        <v>0</v>
      </c>
    </row>
    <row r="2158" spans="1:21" ht="31.8" hidden="1" thickBot="1" x14ac:dyDescent="0.6">
      <c r="A2158" s="10" t="s">
        <v>1208</v>
      </c>
      <c r="B2158" s="10" t="s">
        <v>2764</v>
      </c>
      <c r="C2158" s="12">
        <v>45029</v>
      </c>
      <c r="D2158" s="10" t="s">
        <v>323</v>
      </c>
      <c r="E2158" s="10" t="s">
        <v>14</v>
      </c>
      <c r="F2158" s="10"/>
      <c r="G2158" s="10" t="s">
        <v>15</v>
      </c>
      <c r="H2158" s="10" t="s">
        <v>17</v>
      </c>
      <c r="I2158" s="10" t="s">
        <v>66</v>
      </c>
      <c r="J2158" s="10"/>
      <c r="K2158" s="10"/>
      <c r="L2158" s="10"/>
      <c r="M2158" s="12"/>
      <c r="N2158" s="10"/>
      <c r="O2158" s="10" t="s">
        <v>2054</v>
      </c>
      <c r="P2158" s="25" t="str">
        <f>IFERROR(
IF(OR(O2158="anulado",O2158="stand by"),CONCATENATE(O2158,": ",H2158),
IF(OR(YEAR(M2158)=2022,YEAR(M2158)=2023),CONCATENATE("Se activó en ",YEAR(M2158)),
IF(AND(OR(O2158="En proceso",O2158="facturando"),AND(J2158="-",M2158="")),"Por revisar",
IF(M2158="",IF(J2158="NUEVAS",CONCATENATE("Estado: ",O2158,", ",J2158),
IF(L2158=Meses!$A$3,"Por revisar",
IF(H2158="","Sin registro","En programación Frcst."))),"En programación")))),
"Error")</f>
        <v>En programación Frcst.</v>
      </c>
      <c r="Q2158" s="9" t="str">
        <f t="shared" si="102"/>
        <v/>
      </c>
      <c r="R2158" s="25" t="e">
        <f>IF(P2158="En programación Frcst.",VLOOKUP(L2158,Meses!$A$1:$H$14,3+HLOOKUP(Cronograma!J2158,Meses!$D$1:$G$2,2,FALSE),FALSE),
IF(P2158="En programación",M2158,""))</f>
        <v>#N/A</v>
      </c>
      <c r="S2158" s="25" t="str">
        <f t="shared" si="101"/>
        <v/>
      </c>
      <c r="T2158" s="21" t="str">
        <f>IFERROR(
(VLOOKUP(MONTH(R2158),Meses!$B$3:$C$14,2,FALSE)-DAY(R2158))/VLOOKUP(MONTH(R2158),Meses!$B$3:$C$14,2,FALSE)*U2158,
"")</f>
        <v/>
      </c>
      <c r="U2158" s="22">
        <f t="shared" si="103"/>
        <v>0</v>
      </c>
    </row>
    <row r="2159" spans="1:21" ht="31.8" hidden="1" thickBot="1" x14ac:dyDescent="0.6">
      <c r="A2159" s="10" t="s">
        <v>1208</v>
      </c>
      <c r="B2159" s="10" t="s">
        <v>2765</v>
      </c>
      <c r="C2159" s="12">
        <v>45029</v>
      </c>
      <c r="D2159" s="10" t="s">
        <v>323</v>
      </c>
      <c r="E2159" s="10" t="s">
        <v>14</v>
      </c>
      <c r="F2159" s="10"/>
      <c r="G2159" s="10" t="s">
        <v>15</v>
      </c>
      <c r="H2159" s="10" t="s">
        <v>17</v>
      </c>
      <c r="I2159" s="10" t="s">
        <v>66</v>
      </c>
      <c r="J2159" s="10"/>
      <c r="K2159" s="10"/>
      <c r="L2159" s="10"/>
      <c r="M2159" s="12"/>
      <c r="N2159" s="10"/>
      <c r="O2159" s="10" t="s">
        <v>2054</v>
      </c>
      <c r="P2159" s="25" t="str">
        <f>IFERROR(
IF(OR(O2159="anulado",O2159="stand by"),CONCATENATE(O2159,": ",H2159),
IF(OR(YEAR(M2159)=2022,YEAR(M2159)=2023),CONCATENATE("Se activó en ",YEAR(M2159)),
IF(AND(OR(O2159="En proceso",O2159="facturando"),AND(J2159="-",M2159="")),"Por revisar",
IF(M2159="",IF(J2159="NUEVAS",CONCATENATE("Estado: ",O2159,", ",J2159),
IF(L2159=Meses!$A$3,"Por revisar",
IF(H2159="","Sin registro","En programación Frcst."))),"En programación")))),
"Error")</f>
        <v>En programación Frcst.</v>
      </c>
      <c r="Q2159" s="9" t="str">
        <f t="shared" si="102"/>
        <v/>
      </c>
      <c r="R2159" s="25" t="e">
        <f>IF(P2159="En programación Frcst.",VLOOKUP(L2159,Meses!$A$1:$H$14,3+HLOOKUP(Cronograma!J2159,Meses!$D$1:$G$2,2,FALSE),FALSE),
IF(P2159="En programación",M2159,""))</f>
        <v>#N/A</v>
      </c>
      <c r="S2159" s="25" t="str">
        <f t="shared" si="101"/>
        <v/>
      </c>
      <c r="T2159" s="21" t="str">
        <f>IFERROR(
(VLOOKUP(MONTH(R2159),Meses!$B$3:$C$14,2,FALSE)-DAY(R2159))/VLOOKUP(MONTH(R2159),Meses!$B$3:$C$14,2,FALSE)*U2159,
"")</f>
        <v/>
      </c>
      <c r="U2159" s="22">
        <f t="shared" si="103"/>
        <v>0</v>
      </c>
    </row>
    <row r="2160" spans="1:21" ht="31.8" hidden="1" thickBot="1" x14ac:dyDescent="0.6">
      <c r="A2160" s="10" t="s">
        <v>1208</v>
      </c>
      <c r="B2160" s="10" t="s">
        <v>2766</v>
      </c>
      <c r="C2160" s="12">
        <v>45029</v>
      </c>
      <c r="D2160" s="10" t="s">
        <v>323</v>
      </c>
      <c r="E2160" s="10" t="s">
        <v>14</v>
      </c>
      <c r="F2160" s="10"/>
      <c r="G2160" s="10" t="s">
        <v>15</v>
      </c>
      <c r="H2160" s="10" t="s">
        <v>17</v>
      </c>
      <c r="I2160" s="10" t="s">
        <v>66</v>
      </c>
      <c r="J2160" s="10"/>
      <c r="K2160" s="10"/>
      <c r="L2160" s="10"/>
      <c r="M2160" s="12"/>
      <c r="N2160" s="10"/>
      <c r="O2160" s="10" t="s">
        <v>2054</v>
      </c>
      <c r="P2160" s="25" t="str">
        <f>IFERROR(
IF(OR(O2160="anulado",O2160="stand by"),CONCATENATE(O2160,": ",H2160),
IF(OR(YEAR(M2160)=2022,YEAR(M2160)=2023),CONCATENATE("Se activó en ",YEAR(M2160)),
IF(AND(OR(O2160="En proceso",O2160="facturando"),AND(J2160="-",M2160="")),"Por revisar",
IF(M2160="",IF(J2160="NUEVAS",CONCATENATE("Estado: ",O2160,", ",J2160),
IF(L2160=Meses!$A$3,"Por revisar",
IF(H2160="","Sin registro","En programación Frcst."))),"En programación")))),
"Error")</f>
        <v>En programación Frcst.</v>
      </c>
      <c r="Q2160" s="9" t="str">
        <f t="shared" si="102"/>
        <v/>
      </c>
      <c r="R2160" s="25" t="e">
        <f>IF(P2160="En programación Frcst.",VLOOKUP(L2160,Meses!$A$1:$H$14,3+HLOOKUP(Cronograma!J2160,Meses!$D$1:$G$2,2,FALSE),FALSE),
IF(P2160="En programación",M2160,""))</f>
        <v>#N/A</v>
      </c>
      <c r="S2160" s="25" t="str">
        <f t="shared" si="101"/>
        <v/>
      </c>
      <c r="T2160" s="21" t="str">
        <f>IFERROR(
(VLOOKUP(MONTH(R2160),Meses!$B$3:$C$14,2,FALSE)-DAY(R2160))/VLOOKUP(MONTH(R2160),Meses!$B$3:$C$14,2,FALSE)*U2160,
"")</f>
        <v/>
      </c>
      <c r="U2160" s="22">
        <f t="shared" si="103"/>
        <v>0</v>
      </c>
    </row>
    <row r="2161" spans="1:21" ht="31.8" hidden="1" thickBot="1" x14ac:dyDescent="0.6">
      <c r="A2161" s="10" t="s">
        <v>1208</v>
      </c>
      <c r="B2161" s="10" t="s">
        <v>2767</v>
      </c>
      <c r="C2161" s="12">
        <v>45029</v>
      </c>
      <c r="D2161" s="10" t="s">
        <v>323</v>
      </c>
      <c r="E2161" s="10" t="s">
        <v>14</v>
      </c>
      <c r="F2161" s="10"/>
      <c r="G2161" s="10" t="s">
        <v>15</v>
      </c>
      <c r="H2161" s="10" t="s">
        <v>17</v>
      </c>
      <c r="I2161" s="10" t="s">
        <v>66</v>
      </c>
      <c r="J2161" s="10"/>
      <c r="K2161" s="10"/>
      <c r="L2161" s="10"/>
      <c r="M2161" s="12"/>
      <c r="N2161" s="10"/>
      <c r="O2161" s="10" t="s">
        <v>2054</v>
      </c>
      <c r="P2161" s="25" t="str">
        <f>IFERROR(
IF(OR(O2161="anulado",O2161="stand by"),CONCATENATE(O2161,": ",H2161),
IF(OR(YEAR(M2161)=2022,YEAR(M2161)=2023),CONCATENATE("Se activó en ",YEAR(M2161)),
IF(AND(OR(O2161="En proceso",O2161="facturando"),AND(J2161="-",M2161="")),"Por revisar",
IF(M2161="",IF(J2161="NUEVAS",CONCATENATE("Estado: ",O2161,", ",J2161),
IF(L2161=Meses!$A$3,"Por revisar",
IF(H2161="","Sin registro","En programación Frcst."))),"En programación")))),
"Error")</f>
        <v>En programación Frcst.</v>
      </c>
      <c r="Q2161" s="9" t="str">
        <f t="shared" si="102"/>
        <v/>
      </c>
      <c r="R2161" s="25" t="e">
        <f>IF(P2161="En programación Frcst.",VLOOKUP(L2161,Meses!$A$1:$H$14,3+HLOOKUP(Cronograma!J2161,Meses!$D$1:$G$2,2,FALSE),FALSE),
IF(P2161="En programación",M2161,""))</f>
        <v>#N/A</v>
      </c>
      <c r="S2161" s="25" t="str">
        <f t="shared" si="101"/>
        <v/>
      </c>
      <c r="T2161" s="21" t="str">
        <f>IFERROR(
(VLOOKUP(MONTH(R2161),Meses!$B$3:$C$14,2,FALSE)-DAY(R2161))/VLOOKUP(MONTH(R2161),Meses!$B$3:$C$14,2,FALSE)*U2161,
"")</f>
        <v/>
      </c>
      <c r="U2161" s="22">
        <f t="shared" si="103"/>
        <v>0</v>
      </c>
    </row>
    <row r="2162" spans="1:21" ht="31.8" hidden="1" thickBot="1" x14ac:dyDescent="0.6">
      <c r="A2162" s="10" t="s">
        <v>1208</v>
      </c>
      <c r="B2162" s="10" t="s">
        <v>2768</v>
      </c>
      <c r="C2162" s="12">
        <v>45029</v>
      </c>
      <c r="D2162" s="10" t="s">
        <v>323</v>
      </c>
      <c r="E2162" s="10" t="s">
        <v>14</v>
      </c>
      <c r="F2162" s="10"/>
      <c r="G2162" s="10" t="s">
        <v>15</v>
      </c>
      <c r="H2162" s="10" t="s">
        <v>17</v>
      </c>
      <c r="I2162" s="10" t="s">
        <v>66</v>
      </c>
      <c r="J2162" s="10"/>
      <c r="K2162" s="10"/>
      <c r="L2162" s="10"/>
      <c r="M2162" s="12"/>
      <c r="N2162" s="10"/>
      <c r="O2162" s="10" t="s">
        <v>2054</v>
      </c>
      <c r="P2162" s="25" t="str">
        <f>IFERROR(
IF(OR(O2162="anulado",O2162="stand by"),CONCATENATE(O2162,": ",H2162),
IF(OR(YEAR(M2162)=2022,YEAR(M2162)=2023),CONCATENATE("Se activó en ",YEAR(M2162)),
IF(AND(OR(O2162="En proceso",O2162="facturando"),AND(J2162="-",M2162="")),"Por revisar",
IF(M2162="",IF(J2162="NUEVAS",CONCATENATE("Estado: ",O2162,", ",J2162),
IF(L2162=Meses!$A$3,"Por revisar",
IF(H2162="","Sin registro","En programación Frcst."))),"En programación")))),
"Error")</f>
        <v>En programación Frcst.</v>
      </c>
      <c r="Q2162" s="9" t="str">
        <f t="shared" si="102"/>
        <v/>
      </c>
      <c r="R2162" s="25" t="e">
        <f>IF(P2162="En programación Frcst.",VLOOKUP(L2162,Meses!$A$1:$H$14,3+HLOOKUP(Cronograma!J2162,Meses!$D$1:$G$2,2,FALSE),FALSE),
IF(P2162="En programación",M2162,""))</f>
        <v>#N/A</v>
      </c>
      <c r="S2162" s="25" t="str">
        <f t="shared" si="101"/>
        <v/>
      </c>
      <c r="T2162" s="21" t="str">
        <f>IFERROR(
(VLOOKUP(MONTH(R2162),Meses!$B$3:$C$14,2,FALSE)-DAY(R2162))/VLOOKUP(MONTH(R2162),Meses!$B$3:$C$14,2,FALSE)*U2162,
"")</f>
        <v/>
      </c>
      <c r="U2162" s="22">
        <f t="shared" si="103"/>
        <v>0</v>
      </c>
    </row>
    <row r="2163" spans="1:21" ht="31.8" hidden="1" thickBot="1" x14ac:dyDescent="0.6">
      <c r="A2163" s="10" t="s">
        <v>1208</v>
      </c>
      <c r="B2163" s="10" t="s">
        <v>2769</v>
      </c>
      <c r="C2163" s="12">
        <v>45029</v>
      </c>
      <c r="D2163" s="10" t="s">
        <v>323</v>
      </c>
      <c r="E2163" s="10" t="s">
        <v>233</v>
      </c>
      <c r="F2163" s="10"/>
      <c r="G2163" s="10" t="s">
        <v>15</v>
      </c>
      <c r="H2163" s="10" t="s">
        <v>17</v>
      </c>
      <c r="I2163" s="10" t="s">
        <v>66</v>
      </c>
      <c r="J2163" s="10"/>
      <c r="K2163" s="10"/>
      <c r="L2163" s="10"/>
      <c r="M2163" s="12"/>
      <c r="N2163" s="10"/>
      <c r="O2163" s="10" t="s">
        <v>2054</v>
      </c>
      <c r="P2163" s="25" t="str">
        <f>IFERROR(
IF(OR(O2163="anulado",O2163="stand by"),CONCATENATE(O2163,": ",H2163),
IF(OR(YEAR(M2163)=2022,YEAR(M2163)=2023),CONCATENATE("Se activó en ",YEAR(M2163)),
IF(AND(OR(O2163="En proceso",O2163="facturando"),AND(J2163="-",M2163="")),"Por revisar",
IF(M2163="",IF(J2163="NUEVAS",CONCATENATE("Estado: ",O2163,", ",J2163),
IF(L2163=Meses!$A$3,"Por revisar",
IF(H2163="","Sin registro","En programación Frcst."))),"En programación")))),
"Error")</f>
        <v>En programación Frcst.</v>
      </c>
      <c r="Q2163" s="9" t="str">
        <f t="shared" si="102"/>
        <v/>
      </c>
      <c r="R2163" s="25" t="e">
        <f>IF(P2163="En programación Frcst.",VLOOKUP(L2163,Meses!$A$1:$H$14,3+HLOOKUP(Cronograma!J2163,Meses!$D$1:$G$2,2,FALSE),FALSE),
IF(P2163="En programación",M2163,""))</f>
        <v>#N/A</v>
      </c>
      <c r="S2163" s="25" t="str">
        <f t="shared" si="101"/>
        <v/>
      </c>
      <c r="T2163" s="21" t="str">
        <f>IFERROR(
(VLOOKUP(MONTH(R2163),Meses!$B$3:$C$14,2,FALSE)-DAY(R2163))/VLOOKUP(MONTH(R2163),Meses!$B$3:$C$14,2,FALSE)*U2163,
"")</f>
        <v/>
      </c>
      <c r="U2163" s="22">
        <f t="shared" si="103"/>
        <v>0</v>
      </c>
    </row>
    <row r="2164" spans="1:21" ht="47.4" hidden="1" thickBot="1" x14ac:dyDescent="0.6">
      <c r="A2164" s="10" t="s">
        <v>3109</v>
      </c>
      <c r="B2164" s="10" t="s">
        <v>2770</v>
      </c>
      <c r="C2164" s="12">
        <v>45029</v>
      </c>
      <c r="D2164" s="10" t="s">
        <v>323</v>
      </c>
      <c r="E2164" s="10" t="s">
        <v>23</v>
      </c>
      <c r="F2164" s="10"/>
      <c r="G2164" s="10" t="s">
        <v>15</v>
      </c>
      <c r="H2164" s="10" t="s">
        <v>17</v>
      </c>
      <c r="I2164" s="10" t="s">
        <v>66</v>
      </c>
      <c r="J2164" s="10"/>
      <c r="K2164" s="10"/>
      <c r="L2164" s="10"/>
      <c r="M2164" s="12"/>
      <c r="N2164" s="10"/>
      <c r="O2164" s="10" t="s">
        <v>2054</v>
      </c>
      <c r="P2164" s="25" t="str">
        <f>IFERROR(
IF(OR(O2164="anulado",O2164="stand by"),CONCATENATE(O2164,": ",H2164),
IF(OR(YEAR(M2164)=2022,YEAR(M2164)=2023),CONCATENATE("Se activó en ",YEAR(M2164)),
IF(AND(OR(O2164="En proceso",O2164="facturando"),AND(J2164="-",M2164="")),"Por revisar",
IF(M2164="",IF(J2164="NUEVAS",CONCATENATE("Estado: ",O2164,", ",J2164),
IF(L2164=Meses!$A$3,"Por revisar",
IF(H2164="","Sin registro","En programación Frcst."))),"En programación")))),
"Error")</f>
        <v>En programación Frcst.</v>
      </c>
      <c r="Q2164" s="9" t="str">
        <f t="shared" si="102"/>
        <v/>
      </c>
      <c r="R2164" s="25" t="e">
        <f>IF(P2164="En programación Frcst.",VLOOKUP(L2164,Meses!$A$1:$H$14,3+HLOOKUP(Cronograma!J2164,Meses!$D$1:$G$2,2,FALSE),FALSE),
IF(P2164="En programación",M2164,""))</f>
        <v>#N/A</v>
      </c>
      <c r="S2164" s="25" t="str">
        <f t="shared" si="101"/>
        <v/>
      </c>
      <c r="T2164" s="21" t="str">
        <f>IFERROR(
(VLOOKUP(MONTH(R2164),Meses!$B$3:$C$14,2,FALSE)-DAY(R2164))/VLOOKUP(MONTH(R2164),Meses!$B$3:$C$14,2,FALSE)*U2164,
"")</f>
        <v/>
      </c>
      <c r="U2164" s="22">
        <f t="shared" si="103"/>
        <v>0</v>
      </c>
    </row>
    <row r="2165" spans="1:21" ht="47.4" hidden="1" thickBot="1" x14ac:dyDescent="0.6">
      <c r="A2165" s="10" t="s">
        <v>3109</v>
      </c>
      <c r="B2165" s="10" t="s">
        <v>2771</v>
      </c>
      <c r="C2165" s="12">
        <v>45029</v>
      </c>
      <c r="D2165" s="10" t="s">
        <v>323</v>
      </c>
      <c r="E2165" s="10" t="s">
        <v>23</v>
      </c>
      <c r="F2165" s="10"/>
      <c r="G2165" s="10" t="s">
        <v>15</v>
      </c>
      <c r="H2165" s="10" t="s">
        <v>17</v>
      </c>
      <c r="I2165" s="10" t="s">
        <v>66</v>
      </c>
      <c r="J2165" s="10"/>
      <c r="K2165" s="10"/>
      <c r="L2165" s="10"/>
      <c r="M2165" s="12"/>
      <c r="N2165" s="10"/>
      <c r="O2165" s="10" t="s">
        <v>2054</v>
      </c>
      <c r="P2165" s="25" t="str">
        <f>IFERROR(
IF(OR(O2165="anulado",O2165="stand by"),CONCATENATE(O2165,": ",H2165),
IF(OR(YEAR(M2165)=2022,YEAR(M2165)=2023),CONCATENATE("Se activó en ",YEAR(M2165)),
IF(AND(OR(O2165="En proceso",O2165="facturando"),AND(J2165="-",M2165="")),"Por revisar",
IF(M2165="",IF(J2165="NUEVAS",CONCATENATE("Estado: ",O2165,", ",J2165),
IF(L2165=Meses!$A$3,"Por revisar",
IF(H2165="","Sin registro","En programación Frcst."))),"En programación")))),
"Error")</f>
        <v>En programación Frcst.</v>
      </c>
      <c r="Q2165" s="9" t="str">
        <f t="shared" si="102"/>
        <v/>
      </c>
      <c r="R2165" s="25" t="e">
        <f>IF(P2165="En programación Frcst.",VLOOKUP(L2165,Meses!$A$1:$H$14,3+HLOOKUP(Cronograma!J2165,Meses!$D$1:$G$2,2,FALSE),FALSE),
IF(P2165="En programación",M2165,""))</f>
        <v>#N/A</v>
      </c>
      <c r="S2165" s="25" t="str">
        <f t="shared" si="101"/>
        <v/>
      </c>
      <c r="T2165" s="21" t="str">
        <f>IFERROR(
(VLOOKUP(MONTH(R2165),Meses!$B$3:$C$14,2,FALSE)-DAY(R2165))/VLOOKUP(MONTH(R2165),Meses!$B$3:$C$14,2,FALSE)*U2165,
"")</f>
        <v/>
      </c>
      <c r="U2165" s="22">
        <f t="shared" si="103"/>
        <v>0</v>
      </c>
    </row>
    <row r="2166" spans="1:21" ht="63" hidden="1" thickBot="1" x14ac:dyDescent="0.6">
      <c r="A2166" s="10" t="s">
        <v>3110</v>
      </c>
      <c r="B2166" s="10" t="s">
        <v>2772</v>
      </c>
      <c r="C2166" s="12">
        <v>45029</v>
      </c>
      <c r="D2166" s="10" t="s">
        <v>323</v>
      </c>
      <c r="E2166" s="10" t="s">
        <v>289</v>
      </c>
      <c r="F2166" s="10"/>
      <c r="G2166" s="10" t="s">
        <v>15</v>
      </c>
      <c r="H2166" s="10" t="s">
        <v>17</v>
      </c>
      <c r="I2166" s="10" t="s">
        <v>66</v>
      </c>
      <c r="J2166" s="10"/>
      <c r="K2166" s="10"/>
      <c r="L2166" s="10"/>
      <c r="M2166" s="12"/>
      <c r="N2166" s="10"/>
      <c r="O2166" s="10" t="s">
        <v>2054</v>
      </c>
      <c r="P2166" s="25" t="str">
        <f>IFERROR(
IF(OR(O2166="anulado",O2166="stand by"),CONCATENATE(O2166,": ",H2166),
IF(OR(YEAR(M2166)=2022,YEAR(M2166)=2023),CONCATENATE("Se activó en ",YEAR(M2166)),
IF(AND(OR(O2166="En proceso",O2166="facturando"),AND(J2166="-",M2166="")),"Por revisar",
IF(M2166="",IF(J2166="NUEVAS",CONCATENATE("Estado: ",O2166,", ",J2166),
IF(L2166=Meses!$A$3,"Por revisar",
IF(H2166="","Sin registro","En programación Frcst."))),"En programación")))),
"Error")</f>
        <v>En programación Frcst.</v>
      </c>
      <c r="Q2166" s="9" t="str">
        <f t="shared" si="102"/>
        <v/>
      </c>
      <c r="R2166" s="25" t="e">
        <f>IF(P2166="En programación Frcst.",VLOOKUP(L2166,Meses!$A$1:$H$14,3+HLOOKUP(Cronograma!J2166,Meses!$D$1:$G$2,2,FALSE),FALSE),
IF(P2166="En programación",M2166,""))</f>
        <v>#N/A</v>
      </c>
      <c r="S2166" s="25" t="str">
        <f t="shared" si="101"/>
        <v/>
      </c>
      <c r="T2166" s="21" t="str">
        <f>IFERROR(
(VLOOKUP(MONTH(R2166),Meses!$B$3:$C$14,2,FALSE)-DAY(R2166))/VLOOKUP(MONTH(R2166),Meses!$B$3:$C$14,2,FALSE)*U2166,
"")</f>
        <v/>
      </c>
      <c r="U2166" s="22">
        <f t="shared" si="103"/>
        <v>0</v>
      </c>
    </row>
    <row r="2167" spans="1:21" ht="63" hidden="1" thickBot="1" x14ac:dyDescent="0.6">
      <c r="A2167" s="10" t="s">
        <v>3110</v>
      </c>
      <c r="B2167" s="10" t="s">
        <v>2773</v>
      </c>
      <c r="C2167" s="12">
        <v>45029</v>
      </c>
      <c r="D2167" s="10" t="s">
        <v>323</v>
      </c>
      <c r="E2167" s="10" t="s">
        <v>289</v>
      </c>
      <c r="F2167" s="10"/>
      <c r="G2167" s="10" t="s">
        <v>15</v>
      </c>
      <c r="H2167" s="10" t="s">
        <v>17</v>
      </c>
      <c r="I2167" s="10" t="s">
        <v>66</v>
      </c>
      <c r="J2167" s="10"/>
      <c r="K2167" s="10"/>
      <c r="L2167" s="10"/>
      <c r="M2167" s="12"/>
      <c r="N2167" s="10"/>
      <c r="O2167" s="10" t="s">
        <v>2054</v>
      </c>
      <c r="P2167" s="25" t="str">
        <f>IFERROR(
IF(OR(O2167="anulado",O2167="stand by"),CONCATENATE(O2167,": ",H2167),
IF(OR(YEAR(M2167)=2022,YEAR(M2167)=2023),CONCATENATE("Se activó en ",YEAR(M2167)),
IF(AND(OR(O2167="En proceso",O2167="facturando"),AND(J2167="-",M2167="")),"Por revisar",
IF(M2167="",IF(J2167="NUEVAS",CONCATENATE("Estado: ",O2167,", ",J2167),
IF(L2167=Meses!$A$3,"Por revisar",
IF(H2167="","Sin registro","En programación Frcst."))),"En programación")))),
"Error")</f>
        <v>En programación Frcst.</v>
      </c>
      <c r="Q2167" s="9" t="str">
        <f t="shared" si="102"/>
        <v/>
      </c>
      <c r="R2167" s="25" t="e">
        <f>IF(P2167="En programación Frcst.",VLOOKUP(L2167,Meses!$A$1:$H$14,3+HLOOKUP(Cronograma!J2167,Meses!$D$1:$G$2,2,FALSE),FALSE),
IF(P2167="En programación",M2167,""))</f>
        <v>#N/A</v>
      </c>
      <c r="S2167" s="25" t="str">
        <f t="shared" si="101"/>
        <v/>
      </c>
      <c r="T2167" s="21" t="str">
        <f>IFERROR(
(VLOOKUP(MONTH(R2167),Meses!$B$3:$C$14,2,FALSE)-DAY(R2167))/VLOOKUP(MONTH(R2167),Meses!$B$3:$C$14,2,FALSE)*U2167,
"")</f>
        <v/>
      </c>
      <c r="U2167" s="22">
        <f t="shared" si="103"/>
        <v>0</v>
      </c>
    </row>
    <row r="2168" spans="1:21" ht="31.8" hidden="1" thickBot="1" x14ac:dyDescent="0.6">
      <c r="A2168" s="10" t="s">
        <v>3111</v>
      </c>
      <c r="B2168" s="10" t="s">
        <v>2774</v>
      </c>
      <c r="C2168" s="12">
        <v>45029</v>
      </c>
      <c r="D2168" s="10" t="s">
        <v>323</v>
      </c>
      <c r="E2168" s="10" t="s">
        <v>14</v>
      </c>
      <c r="F2168" s="10"/>
      <c r="G2168" s="10" t="s">
        <v>15</v>
      </c>
      <c r="H2168" s="10" t="s">
        <v>17</v>
      </c>
      <c r="I2168" s="10" t="s">
        <v>66</v>
      </c>
      <c r="J2168" s="10"/>
      <c r="K2168" s="10"/>
      <c r="L2168" s="10"/>
      <c r="M2168" s="12"/>
      <c r="N2168" s="10"/>
      <c r="O2168" s="10" t="s">
        <v>2054</v>
      </c>
      <c r="P2168" s="25" t="str">
        <f>IFERROR(
IF(OR(O2168="anulado",O2168="stand by"),CONCATENATE(O2168,": ",H2168),
IF(OR(YEAR(M2168)=2022,YEAR(M2168)=2023),CONCATENATE("Se activó en ",YEAR(M2168)),
IF(AND(OR(O2168="En proceso",O2168="facturando"),AND(J2168="-",M2168="")),"Por revisar",
IF(M2168="",IF(J2168="NUEVAS",CONCATENATE("Estado: ",O2168,", ",J2168),
IF(L2168=Meses!$A$3,"Por revisar",
IF(H2168="","Sin registro","En programación Frcst."))),"En programación")))),
"Error")</f>
        <v>En programación Frcst.</v>
      </c>
      <c r="Q2168" s="9" t="str">
        <f t="shared" si="102"/>
        <v/>
      </c>
      <c r="R2168" s="25" t="e">
        <f>IF(P2168="En programación Frcst.",VLOOKUP(L2168,Meses!$A$1:$H$14,3+HLOOKUP(Cronograma!J2168,Meses!$D$1:$G$2,2,FALSE),FALSE),
IF(P2168="En programación",M2168,""))</f>
        <v>#N/A</v>
      </c>
      <c r="S2168" s="25" t="str">
        <f t="shared" si="101"/>
        <v/>
      </c>
      <c r="T2168" s="21" t="str">
        <f>IFERROR(
(VLOOKUP(MONTH(R2168),Meses!$B$3:$C$14,2,FALSE)-DAY(R2168))/VLOOKUP(MONTH(R2168),Meses!$B$3:$C$14,2,FALSE)*U2168,
"")</f>
        <v/>
      </c>
      <c r="U2168" s="22">
        <f t="shared" si="103"/>
        <v>0</v>
      </c>
    </row>
    <row r="2169" spans="1:21" ht="31.8" hidden="1" thickBot="1" x14ac:dyDescent="0.6">
      <c r="A2169" s="10" t="s">
        <v>3111</v>
      </c>
      <c r="B2169" s="10" t="s">
        <v>2775</v>
      </c>
      <c r="C2169" s="12">
        <v>45029</v>
      </c>
      <c r="D2169" s="10" t="s">
        <v>323</v>
      </c>
      <c r="E2169" s="10" t="s">
        <v>289</v>
      </c>
      <c r="F2169" s="10"/>
      <c r="G2169" s="10" t="s">
        <v>15</v>
      </c>
      <c r="H2169" s="10" t="s">
        <v>17</v>
      </c>
      <c r="I2169" s="10" t="s">
        <v>66</v>
      </c>
      <c r="J2169" s="10"/>
      <c r="K2169" s="10"/>
      <c r="L2169" s="10"/>
      <c r="M2169" s="12"/>
      <c r="N2169" s="10"/>
      <c r="O2169" s="10" t="s">
        <v>2054</v>
      </c>
      <c r="P2169" s="25" t="str">
        <f>IFERROR(
IF(OR(O2169="anulado",O2169="stand by"),CONCATENATE(O2169,": ",H2169),
IF(OR(YEAR(M2169)=2022,YEAR(M2169)=2023),CONCATENATE("Se activó en ",YEAR(M2169)),
IF(AND(OR(O2169="En proceso",O2169="facturando"),AND(J2169="-",M2169="")),"Por revisar",
IF(M2169="",IF(J2169="NUEVAS",CONCATENATE("Estado: ",O2169,", ",J2169),
IF(L2169=Meses!$A$3,"Por revisar",
IF(H2169="","Sin registro","En programación Frcst."))),"En programación")))),
"Error")</f>
        <v>En programación Frcst.</v>
      </c>
      <c r="Q2169" s="9" t="str">
        <f t="shared" si="102"/>
        <v/>
      </c>
      <c r="R2169" s="25" t="e">
        <f>IF(P2169="En programación Frcst.",VLOOKUP(L2169,Meses!$A$1:$H$14,3+HLOOKUP(Cronograma!J2169,Meses!$D$1:$G$2,2,FALSE),FALSE),
IF(P2169="En programación",M2169,""))</f>
        <v>#N/A</v>
      </c>
      <c r="S2169" s="25" t="str">
        <f t="shared" si="101"/>
        <v/>
      </c>
      <c r="T2169" s="21" t="str">
        <f>IFERROR(
(VLOOKUP(MONTH(R2169),Meses!$B$3:$C$14,2,FALSE)-DAY(R2169))/VLOOKUP(MONTH(R2169),Meses!$B$3:$C$14,2,FALSE)*U2169,
"")</f>
        <v/>
      </c>
      <c r="U2169" s="22">
        <f t="shared" si="103"/>
        <v>0</v>
      </c>
    </row>
    <row r="2170" spans="1:21" ht="31.8" hidden="1" thickBot="1" x14ac:dyDescent="0.6">
      <c r="A2170" s="10" t="s">
        <v>3111</v>
      </c>
      <c r="B2170" s="10" t="s">
        <v>2776</v>
      </c>
      <c r="C2170" s="12">
        <v>45029</v>
      </c>
      <c r="D2170" s="10" t="s">
        <v>323</v>
      </c>
      <c r="E2170" s="10" t="s">
        <v>289</v>
      </c>
      <c r="F2170" s="10"/>
      <c r="G2170" s="10" t="s">
        <v>15</v>
      </c>
      <c r="H2170" s="10" t="s">
        <v>17</v>
      </c>
      <c r="I2170" s="10" t="s">
        <v>66</v>
      </c>
      <c r="J2170" s="10"/>
      <c r="K2170" s="10"/>
      <c r="L2170" s="10"/>
      <c r="M2170" s="12"/>
      <c r="N2170" s="10"/>
      <c r="O2170" s="10" t="s">
        <v>2054</v>
      </c>
      <c r="P2170" s="25" t="str">
        <f>IFERROR(
IF(OR(O2170="anulado",O2170="stand by"),CONCATENATE(O2170,": ",H2170),
IF(OR(YEAR(M2170)=2022,YEAR(M2170)=2023),CONCATENATE("Se activó en ",YEAR(M2170)),
IF(AND(OR(O2170="En proceso",O2170="facturando"),AND(J2170="-",M2170="")),"Por revisar",
IF(M2170="",IF(J2170="NUEVAS",CONCATENATE("Estado: ",O2170,", ",J2170),
IF(L2170=Meses!$A$3,"Por revisar",
IF(H2170="","Sin registro","En programación Frcst."))),"En programación")))),
"Error")</f>
        <v>En programación Frcst.</v>
      </c>
      <c r="Q2170" s="9" t="str">
        <f t="shared" si="102"/>
        <v/>
      </c>
      <c r="R2170" s="25" t="e">
        <f>IF(P2170="En programación Frcst.",VLOOKUP(L2170,Meses!$A$1:$H$14,3+HLOOKUP(Cronograma!J2170,Meses!$D$1:$G$2,2,FALSE),FALSE),
IF(P2170="En programación",M2170,""))</f>
        <v>#N/A</v>
      </c>
      <c r="S2170" s="25" t="str">
        <f t="shared" si="101"/>
        <v/>
      </c>
      <c r="T2170" s="21" t="str">
        <f>IFERROR(
(VLOOKUP(MONTH(R2170),Meses!$B$3:$C$14,2,FALSE)-DAY(R2170))/VLOOKUP(MONTH(R2170),Meses!$B$3:$C$14,2,FALSE)*U2170,
"")</f>
        <v/>
      </c>
      <c r="U2170" s="22">
        <f t="shared" si="103"/>
        <v>0</v>
      </c>
    </row>
    <row r="2171" spans="1:21" ht="31.8" hidden="1" thickBot="1" x14ac:dyDescent="0.6">
      <c r="A2171" s="10" t="s">
        <v>3111</v>
      </c>
      <c r="B2171" s="10" t="s">
        <v>2777</v>
      </c>
      <c r="C2171" s="12">
        <v>45029</v>
      </c>
      <c r="D2171" s="10" t="s">
        <v>323</v>
      </c>
      <c r="E2171" s="10" t="s">
        <v>291</v>
      </c>
      <c r="F2171" s="10"/>
      <c r="G2171" s="10" t="s">
        <v>15</v>
      </c>
      <c r="H2171" s="10" t="s">
        <v>17</v>
      </c>
      <c r="I2171" s="10" t="s">
        <v>66</v>
      </c>
      <c r="J2171" s="10"/>
      <c r="K2171" s="10"/>
      <c r="L2171" s="10"/>
      <c r="M2171" s="12"/>
      <c r="N2171" s="10"/>
      <c r="O2171" s="10" t="s">
        <v>2054</v>
      </c>
      <c r="P2171" s="25" t="str">
        <f>IFERROR(
IF(OR(O2171="anulado",O2171="stand by"),CONCATENATE(O2171,": ",H2171),
IF(OR(YEAR(M2171)=2022,YEAR(M2171)=2023),CONCATENATE("Se activó en ",YEAR(M2171)),
IF(AND(OR(O2171="En proceso",O2171="facturando"),AND(J2171="-",M2171="")),"Por revisar",
IF(M2171="",IF(J2171="NUEVAS",CONCATENATE("Estado: ",O2171,", ",J2171),
IF(L2171=Meses!$A$3,"Por revisar",
IF(H2171="","Sin registro","En programación Frcst."))),"En programación")))),
"Error")</f>
        <v>En programación Frcst.</v>
      </c>
      <c r="Q2171" s="9" t="str">
        <f t="shared" si="102"/>
        <v/>
      </c>
      <c r="R2171" s="25" t="e">
        <f>IF(P2171="En programación Frcst.",VLOOKUP(L2171,Meses!$A$1:$H$14,3+HLOOKUP(Cronograma!J2171,Meses!$D$1:$G$2,2,FALSE),FALSE),
IF(P2171="En programación",M2171,""))</f>
        <v>#N/A</v>
      </c>
      <c r="S2171" s="25" t="str">
        <f t="shared" si="101"/>
        <v/>
      </c>
      <c r="T2171" s="21" t="str">
        <f>IFERROR(
(VLOOKUP(MONTH(R2171),Meses!$B$3:$C$14,2,FALSE)-DAY(R2171))/VLOOKUP(MONTH(R2171),Meses!$B$3:$C$14,2,FALSE)*U2171,
"")</f>
        <v/>
      </c>
      <c r="U2171" s="22">
        <f t="shared" si="103"/>
        <v>0</v>
      </c>
    </row>
    <row r="2172" spans="1:21" ht="31.8" hidden="1" thickBot="1" x14ac:dyDescent="0.6">
      <c r="A2172" s="10" t="s">
        <v>3111</v>
      </c>
      <c r="B2172" s="10" t="s">
        <v>2778</v>
      </c>
      <c r="C2172" s="12">
        <v>45029</v>
      </c>
      <c r="D2172" s="10" t="s">
        <v>323</v>
      </c>
      <c r="E2172" s="10" t="s">
        <v>14</v>
      </c>
      <c r="F2172" s="10"/>
      <c r="G2172" s="10" t="s">
        <v>15</v>
      </c>
      <c r="H2172" s="10" t="s">
        <v>17</v>
      </c>
      <c r="I2172" s="10" t="s">
        <v>66</v>
      </c>
      <c r="J2172" s="10"/>
      <c r="K2172" s="10"/>
      <c r="L2172" s="10"/>
      <c r="M2172" s="12"/>
      <c r="N2172" s="10"/>
      <c r="O2172" s="10" t="s">
        <v>2054</v>
      </c>
      <c r="P2172" s="25" t="str">
        <f>IFERROR(
IF(OR(O2172="anulado",O2172="stand by"),CONCATENATE(O2172,": ",H2172),
IF(OR(YEAR(M2172)=2022,YEAR(M2172)=2023),CONCATENATE("Se activó en ",YEAR(M2172)),
IF(AND(OR(O2172="En proceso",O2172="facturando"),AND(J2172="-",M2172="")),"Por revisar",
IF(M2172="",IF(J2172="NUEVAS",CONCATENATE("Estado: ",O2172,", ",J2172),
IF(L2172=Meses!$A$3,"Por revisar",
IF(H2172="","Sin registro","En programación Frcst."))),"En programación")))),
"Error")</f>
        <v>En programación Frcst.</v>
      </c>
      <c r="Q2172" s="9" t="str">
        <f t="shared" si="102"/>
        <v/>
      </c>
      <c r="R2172" s="25" t="e">
        <f>IF(P2172="En programación Frcst.",VLOOKUP(L2172,Meses!$A$1:$H$14,3+HLOOKUP(Cronograma!J2172,Meses!$D$1:$G$2,2,FALSE),FALSE),
IF(P2172="En programación",M2172,""))</f>
        <v>#N/A</v>
      </c>
      <c r="S2172" s="25" t="str">
        <f t="shared" si="101"/>
        <v/>
      </c>
      <c r="T2172" s="21" t="str">
        <f>IFERROR(
(VLOOKUP(MONTH(R2172),Meses!$B$3:$C$14,2,FALSE)-DAY(R2172))/VLOOKUP(MONTH(R2172),Meses!$B$3:$C$14,2,FALSE)*U2172,
"")</f>
        <v/>
      </c>
      <c r="U2172" s="22">
        <f t="shared" si="103"/>
        <v>0</v>
      </c>
    </row>
    <row r="2173" spans="1:21" ht="47.4" hidden="1" thickBot="1" x14ac:dyDescent="0.6">
      <c r="A2173" s="10" t="s">
        <v>3112</v>
      </c>
      <c r="B2173" s="10" t="s">
        <v>2779</v>
      </c>
      <c r="C2173" s="12">
        <v>45029</v>
      </c>
      <c r="D2173" s="10" t="s">
        <v>323</v>
      </c>
      <c r="E2173" s="10" t="s">
        <v>23</v>
      </c>
      <c r="F2173" s="10"/>
      <c r="G2173" s="10" t="s">
        <v>15</v>
      </c>
      <c r="H2173" s="10" t="s">
        <v>17</v>
      </c>
      <c r="I2173" s="10" t="s">
        <v>66</v>
      </c>
      <c r="J2173" s="10"/>
      <c r="K2173" s="10"/>
      <c r="L2173" s="10"/>
      <c r="M2173" s="12"/>
      <c r="N2173" s="10"/>
      <c r="O2173" s="10" t="s">
        <v>2054</v>
      </c>
      <c r="P2173" s="25" t="str">
        <f>IFERROR(
IF(OR(O2173="anulado",O2173="stand by"),CONCATENATE(O2173,": ",H2173),
IF(OR(YEAR(M2173)=2022,YEAR(M2173)=2023),CONCATENATE("Se activó en ",YEAR(M2173)),
IF(AND(OR(O2173="En proceso",O2173="facturando"),AND(J2173="-",M2173="")),"Por revisar",
IF(M2173="",IF(J2173="NUEVAS",CONCATENATE("Estado: ",O2173,", ",J2173),
IF(L2173=Meses!$A$3,"Por revisar",
IF(H2173="","Sin registro","En programación Frcst."))),"En programación")))),
"Error")</f>
        <v>En programación Frcst.</v>
      </c>
      <c r="Q2173" s="9" t="str">
        <f t="shared" si="102"/>
        <v/>
      </c>
      <c r="R2173" s="25" t="e">
        <f>IF(P2173="En programación Frcst.",VLOOKUP(L2173,Meses!$A$1:$H$14,3+HLOOKUP(Cronograma!J2173,Meses!$D$1:$G$2,2,FALSE),FALSE),
IF(P2173="En programación",M2173,""))</f>
        <v>#N/A</v>
      </c>
      <c r="S2173" s="25" t="str">
        <f t="shared" ref="S2173:S2236" si="104">IFERROR(CONCATENATE(YEAR(R2173),"/",MONTH(R2173)),"")</f>
        <v/>
      </c>
      <c r="T2173" s="21" t="str">
        <f>IFERROR(
(VLOOKUP(MONTH(R2173),Meses!$B$3:$C$14,2,FALSE)-DAY(R2173))/VLOOKUP(MONTH(R2173),Meses!$B$3:$C$14,2,FALSE)*U2173,
"")</f>
        <v/>
      </c>
      <c r="U2173" s="22">
        <f t="shared" si="103"/>
        <v>0</v>
      </c>
    </row>
    <row r="2174" spans="1:21" ht="63" hidden="1" thickBot="1" x14ac:dyDescent="0.6">
      <c r="A2174" s="10" t="s">
        <v>3113</v>
      </c>
      <c r="B2174" s="10" t="s">
        <v>2780</v>
      </c>
      <c r="C2174" s="12">
        <v>45029</v>
      </c>
      <c r="D2174" s="10" t="s">
        <v>323</v>
      </c>
      <c r="E2174" s="10" t="s">
        <v>291</v>
      </c>
      <c r="F2174" s="10"/>
      <c r="G2174" s="10" t="s">
        <v>15</v>
      </c>
      <c r="H2174" s="10" t="s">
        <v>17</v>
      </c>
      <c r="I2174" s="10" t="s">
        <v>66</v>
      </c>
      <c r="J2174" s="10"/>
      <c r="K2174" s="10"/>
      <c r="L2174" s="10"/>
      <c r="M2174" s="12"/>
      <c r="N2174" s="10"/>
      <c r="O2174" s="10" t="s">
        <v>2054</v>
      </c>
      <c r="P2174" s="25" t="str">
        <f>IFERROR(
IF(OR(O2174="anulado",O2174="stand by"),CONCATENATE(O2174,": ",H2174),
IF(OR(YEAR(M2174)=2022,YEAR(M2174)=2023),CONCATENATE("Se activó en ",YEAR(M2174)),
IF(AND(OR(O2174="En proceso",O2174="facturando"),AND(J2174="-",M2174="")),"Por revisar",
IF(M2174="",IF(J2174="NUEVAS",CONCATENATE("Estado: ",O2174,", ",J2174),
IF(L2174=Meses!$A$3,"Por revisar",
IF(H2174="","Sin registro","En programación Frcst."))),"En programación")))),
"Error")</f>
        <v>En programación Frcst.</v>
      </c>
      <c r="Q2174" s="9" t="str">
        <f t="shared" si="102"/>
        <v/>
      </c>
      <c r="R2174" s="25" t="e">
        <f>IF(P2174="En programación Frcst.",VLOOKUP(L2174,Meses!$A$1:$H$14,3+HLOOKUP(Cronograma!J2174,Meses!$D$1:$G$2,2,FALSE),FALSE),
IF(P2174="En programación",M2174,""))</f>
        <v>#N/A</v>
      </c>
      <c r="S2174" s="25" t="str">
        <f t="shared" si="104"/>
        <v/>
      </c>
      <c r="T2174" s="21" t="str">
        <f>IFERROR(
(VLOOKUP(MONTH(R2174),Meses!$B$3:$C$14,2,FALSE)-DAY(R2174))/VLOOKUP(MONTH(R2174),Meses!$B$3:$C$14,2,FALSE)*U2174,
"")</f>
        <v/>
      </c>
      <c r="U2174" s="22">
        <f t="shared" si="103"/>
        <v>0</v>
      </c>
    </row>
    <row r="2175" spans="1:21" ht="31.8" hidden="1" thickBot="1" x14ac:dyDescent="0.6">
      <c r="A2175" s="10" t="s">
        <v>3114</v>
      </c>
      <c r="B2175" s="10" t="s">
        <v>2781</v>
      </c>
      <c r="C2175" s="12">
        <v>45029</v>
      </c>
      <c r="D2175" s="10" t="s">
        <v>323</v>
      </c>
      <c r="E2175" s="10" t="s">
        <v>677</v>
      </c>
      <c r="F2175" s="10"/>
      <c r="G2175" s="10" t="s">
        <v>15</v>
      </c>
      <c r="H2175" s="10" t="s">
        <v>17</v>
      </c>
      <c r="I2175" s="10" t="s">
        <v>66</v>
      </c>
      <c r="J2175" s="10"/>
      <c r="K2175" s="10"/>
      <c r="L2175" s="10"/>
      <c r="M2175" s="12"/>
      <c r="N2175" s="10"/>
      <c r="O2175" s="10" t="s">
        <v>2054</v>
      </c>
      <c r="P2175" s="25" t="str">
        <f>IFERROR(
IF(OR(O2175="anulado",O2175="stand by"),CONCATENATE(O2175,": ",H2175),
IF(OR(YEAR(M2175)=2022,YEAR(M2175)=2023),CONCATENATE("Se activó en ",YEAR(M2175)),
IF(AND(OR(O2175="En proceso",O2175="facturando"),AND(J2175="-",M2175="")),"Por revisar",
IF(M2175="",IF(J2175="NUEVAS",CONCATENATE("Estado: ",O2175,", ",J2175),
IF(L2175=Meses!$A$3,"Por revisar",
IF(H2175="","Sin registro","En programación Frcst."))),"En programación")))),
"Error")</f>
        <v>En programación Frcst.</v>
      </c>
      <c r="Q2175" s="9" t="str">
        <f t="shared" si="102"/>
        <v/>
      </c>
      <c r="R2175" s="25" t="e">
        <f>IF(P2175="En programación Frcst.",VLOOKUP(L2175,Meses!$A$1:$H$14,3+HLOOKUP(Cronograma!J2175,Meses!$D$1:$G$2,2,FALSE),FALSE),
IF(P2175="En programación",M2175,""))</f>
        <v>#N/A</v>
      </c>
      <c r="S2175" s="25" t="str">
        <f t="shared" si="104"/>
        <v/>
      </c>
      <c r="T2175" s="21" t="str">
        <f>IFERROR(
(VLOOKUP(MONTH(R2175),Meses!$B$3:$C$14,2,FALSE)-DAY(R2175))/VLOOKUP(MONTH(R2175),Meses!$B$3:$C$14,2,FALSE)*U2175,
"")</f>
        <v/>
      </c>
      <c r="U2175" s="22">
        <f t="shared" si="103"/>
        <v>0</v>
      </c>
    </row>
    <row r="2176" spans="1:21" ht="47.4" hidden="1" thickBot="1" x14ac:dyDescent="0.6">
      <c r="A2176" s="10" t="s">
        <v>3115</v>
      </c>
      <c r="B2176" s="10" t="s">
        <v>2782</v>
      </c>
      <c r="C2176" s="12">
        <v>45029</v>
      </c>
      <c r="D2176" s="10" t="s">
        <v>323</v>
      </c>
      <c r="E2176" s="10" t="s">
        <v>291</v>
      </c>
      <c r="F2176" s="10"/>
      <c r="G2176" s="10" t="s">
        <v>15</v>
      </c>
      <c r="H2176" s="10" t="s">
        <v>17</v>
      </c>
      <c r="I2176" s="10" t="s">
        <v>66</v>
      </c>
      <c r="J2176" s="10"/>
      <c r="K2176" s="10"/>
      <c r="L2176" s="10"/>
      <c r="M2176" s="12"/>
      <c r="N2176" s="10"/>
      <c r="O2176" s="10" t="s">
        <v>2054</v>
      </c>
      <c r="P2176" s="25" t="str">
        <f>IFERROR(
IF(OR(O2176="anulado",O2176="stand by"),CONCATENATE(O2176,": ",H2176),
IF(OR(YEAR(M2176)=2022,YEAR(M2176)=2023),CONCATENATE("Se activó en ",YEAR(M2176)),
IF(AND(OR(O2176="En proceso",O2176="facturando"),AND(J2176="-",M2176="")),"Por revisar",
IF(M2176="",IF(J2176="NUEVAS",CONCATENATE("Estado: ",O2176,", ",J2176),
IF(L2176=Meses!$A$3,"Por revisar",
IF(H2176="","Sin registro","En programación Frcst."))),"En programación")))),
"Error")</f>
        <v>En programación Frcst.</v>
      </c>
      <c r="Q2176" s="9" t="str">
        <f t="shared" si="102"/>
        <v/>
      </c>
      <c r="R2176" s="25" t="e">
        <f>IF(P2176="En programación Frcst.",VLOOKUP(L2176,Meses!$A$1:$H$14,3+HLOOKUP(Cronograma!J2176,Meses!$D$1:$G$2,2,FALSE),FALSE),
IF(P2176="En programación",M2176,""))</f>
        <v>#N/A</v>
      </c>
      <c r="S2176" s="25" t="str">
        <f t="shared" si="104"/>
        <v/>
      </c>
      <c r="T2176" s="21" t="str">
        <f>IFERROR(
(VLOOKUP(MONTH(R2176),Meses!$B$3:$C$14,2,FALSE)-DAY(R2176))/VLOOKUP(MONTH(R2176),Meses!$B$3:$C$14,2,FALSE)*U2176,
"")</f>
        <v/>
      </c>
      <c r="U2176" s="22">
        <f t="shared" si="103"/>
        <v>0</v>
      </c>
    </row>
    <row r="2177" spans="1:21" ht="47.4" hidden="1" thickBot="1" x14ac:dyDescent="0.6">
      <c r="A2177" s="10" t="s">
        <v>3115</v>
      </c>
      <c r="B2177" s="10" t="s">
        <v>2783</v>
      </c>
      <c r="C2177" s="12">
        <v>45029</v>
      </c>
      <c r="D2177" s="10" t="s">
        <v>323</v>
      </c>
      <c r="E2177" s="10" t="s">
        <v>291</v>
      </c>
      <c r="F2177" s="10"/>
      <c r="G2177" s="10" t="s">
        <v>15</v>
      </c>
      <c r="H2177" s="10" t="s">
        <v>17</v>
      </c>
      <c r="I2177" s="10" t="s">
        <v>66</v>
      </c>
      <c r="J2177" s="10"/>
      <c r="K2177" s="10"/>
      <c r="L2177" s="10"/>
      <c r="M2177" s="12"/>
      <c r="N2177" s="10"/>
      <c r="O2177" s="10" t="s">
        <v>2054</v>
      </c>
      <c r="P2177" s="25" t="str">
        <f>IFERROR(
IF(OR(O2177="anulado",O2177="stand by"),CONCATENATE(O2177,": ",H2177),
IF(OR(YEAR(M2177)=2022,YEAR(M2177)=2023),CONCATENATE("Se activó en ",YEAR(M2177)),
IF(AND(OR(O2177="En proceso",O2177="facturando"),AND(J2177="-",M2177="")),"Por revisar",
IF(M2177="",IF(J2177="NUEVAS",CONCATENATE("Estado: ",O2177,", ",J2177),
IF(L2177=Meses!$A$3,"Por revisar",
IF(H2177="","Sin registro","En programación Frcst."))),"En programación")))),
"Error")</f>
        <v>En programación Frcst.</v>
      </c>
      <c r="Q2177" s="9" t="str">
        <f t="shared" si="102"/>
        <v/>
      </c>
      <c r="R2177" s="25" t="e">
        <f>IF(P2177="En programación Frcst.",VLOOKUP(L2177,Meses!$A$1:$H$14,3+HLOOKUP(Cronograma!J2177,Meses!$D$1:$G$2,2,FALSE),FALSE),
IF(P2177="En programación",M2177,""))</f>
        <v>#N/A</v>
      </c>
      <c r="S2177" s="25" t="str">
        <f t="shared" si="104"/>
        <v/>
      </c>
      <c r="T2177" s="21" t="str">
        <f>IFERROR(
(VLOOKUP(MONTH(R2177),Meses!$B$3:$C$14,2,FALSE)-DAY(R2177))/VLOOKUP(MONTH(R2177),Meses!$B$3:$C$14,2,FALSE)*U2177,
"")</f>
        <v/>
      </c>
      <c r="U2177" s="22">
        <f t="shared" si="103"/>
        <v>0</v>
      </c>
    </row>
    <row r="2178" spans="1:21" ht="31.8" hidden="1" thickBot="1" x14ac:dyDescent="0.6">
      <c r="A2178" s="10" t="s">
        <v>2066</v>
      </c>
      <c r="B2178" s="10" t="s">
        <v>2784</v>
      </c>
      <c r="C2178" s="12">
        <v>45029</v>
      </c>
      <c r="D2178" s="10" t="s">
        <v>323</v>
      </c>
      <c r="E2178" s="10" t="s">
        <v>289</v>
      </c>
      <c r="F2178" s="10"/>
      <c r="G2178" s="10" t="s">
        <v>15</v>
      </c>
      <c r="H2178" s="10" t="s">
        <v>17</v>
      </c>
      <c r="I2178" s="10" t="s">
        <v>66</v>
      </c>
      <c r="J2178" s="10"/>
      <c r="K2178" s="10"/>
      <c r="L2178" s="10"/>
      <c r="M2178" s="12"/>
      <c r="N2178" s="10"/>
      <c r="O2178" s="10" t="s">
        <v>2054</v>
      </c>
      <c r="P2178" s="25" t="str">
        <f>IFERROR(
IF(OR(O2178="anulado",O2178="stand by"),CONCATENATE(O2178,": ",H2178),
IF(OR(YEAR(M2178)=2022,YEAR(M2178)=2023),CONCATENATE("Se activó en ",YEAR(M2178)),
IF(AND(OR(O2178="En proceso",O2178="facturando"),AND(J2178="-",M2178="")),"Por revisar",
IF(M2178="",IF(J2178="NUEVAS",CONCATENATE("Estado: ",O2178,", ",J2178),
IF(L2178=Meses!$A$3,"Por revisar",
IF(H2178="","Sin registro","En programación Frcst."))),"En programación")))),
"Error")</f>
        <v>En programación Frcst.</v>
      </c>
      <c r="Q2178" s="9" t="str">
        <f t="shared" ref="Q2178:Q2241" si="105">IF(P2178="Por revisar",CONCATENATE("programación de act. ",N2178,", estado: ",O2178,", Comercializador: ",D2178,", Etapa: ",H2178),"")</f>
        <v/>
      </c>
      <c r="R2178" s="25" t="e">
        <f>IF(P2178="En programación Frcst.",VLOOKUP(L2178,Meses!$A$1:$H$14,3+HLOOKUP(Cronograma!J2178,Meses!$D$1:$G$2,2,FALSE),FALSE),
IF(P2178="En programación",M2178,""))</f>
        <v>#N/A</v>
      </c>
      <c r="S2178" s="25" t="str">
        <f t="shared" si="104"/>
        <v/>
      </c>
      <c r="T2178" s="21" t="str">
        <f>IFERROR(
(VLOOKUP(MONTH(R2178),Meses!$B$3:$C$14,2,FALSE)-DAY(R2178))/VLOOKUP(MONTH(R2178),Meses!$B$3:$C$14,2,FALSE)*U2178,
"")</f>
        <v/>
      </c>
      <c r="U2178" s="22">
        <f t="shared" ref="U2178:U2241" si="106">F2178</f>
        <v>0</v>
      </c>
    </row>
    <row r="2179" spans="1:21" ht="31.8" hidden="1" thickBot="1" x14ac:dyDescent="0.6">
      <c r="A2179" s="10" t="s">
        <v>2066</v>
      </c>
      <c r="B2179" s="10" t="s">
        <v>2785</v>
      </c>
      <c r="C2179" s="12">
        <v>45029</v>
      </c>
      <c r="D2179" s="10" t="s">
        <v>323</v>
      </c>
      <c r="E2179" s="10" t="s">
        <v>289</v>
      </c>
      <c r="F2179" s="10"/>
      <c r="G2179" s="10" t="s">
        <v>15</v>
      </c>
      <c r="H2179" s="10" t="s">
        <v>17</v>
      </c>
      <c r="I2179" s="10" t="s">
        <v>66</v>
      </c>
      <c r="J2179" s="10"/>
      <c r="K2179" s="10"/>
      <c r="L2179" s="10"/>
      <c r="M2179" s="12"/>
      <c r="N2179" s="10"/>
      <c r="O2179" s="10" t="s">
        <v>2054</v>
      </c>
      <c r="P2179" s="25" t="str">
        <f>IFERROR(
IF(OR(O2179="anulado",O2179="stand by"),CONCATENATE(O2179,": ",H2179),
IF(OR(YEAR(M2179)=2022,YEAR(M2179)=2023),CONCATENATE("Se activó en ",YEAR(M2179)),
IF(AND(OR(O2179="En proceso",O2179="facturando"),AND(J2179="-",M2179="")),"Por revisar",
IF(M2179="",IF(J2179="NUEVAS",CONCATENATE("Estado: ",O2179,", ",J2179),
IF(L2179=Meses!$A$3,"Por revisar",
IF(H2179="","Sin registro","En programación Frcst."))),"En programación")))),
"Error")</f>
        <v>En programación Frcst.</v>
      </c>
      <c r="Q2179" s="9" t="str">
        <f t="shared" si="105"/>
        <v/>
      </c>
      <c r="R2179" s="25" t="e">
        <f>IF(P2179="En programación Frcst.",VLOOKUP(L2179,Meses!$A$1:$H$14,3+HLOOKUP(Cronograma!J2179,Meses!$D$1:$G$2,2,FALSE),FALSE),
IF(P2179="En programación",M2179,""))</f>
        <v>#N/A</v>
      </c>
      <c r="S2179" s="25" t="str">
        <f t="shared" si="104"/>
        <v/>
      </c>
      <c r="T2179" s="21" t="str">
        <f>IFERROR(
(VLOOKUP(MONTH(R2179),Meses!$B$3:$C$14,2,FALSE)-DAY(R2179))/VLOOKUP(MONTH(R2179),Meses!$B$3:$C$14,2,FALSE)*U2179,
"")</f>
        <v/>
      </c>
      <c r="U2179" s="22">
        <f t="shared" si="106"/>
        <v>0</v>
      </c>
    </row>
    <row r="2180" spans="1:21" ht="31.8" hidden="1" thickBot="1" x14ac:dyDescent="0.6">
      <c r="A2180" s="10" t="s">
        <v>2066</v>
      </c>
      <c r="B2180" s="10" t="s">
        <v>2786</v>
      </c>
      <c r="C2180" s="12">
        <v>45029</v>
      </c>
      <c r="D2180" s="10" t="s">
        <v>323</v>
      </c>
      <c r="E2180" s="10" t="s">
        <v>289</v>
      </c>
      <c r="F2180" s="10"/>
      <c r="G2180" s="10" t="s">
        <v>15</v>
      </c>
      <c r="H2180" s="10" t="s">
        <v>17</v>
      </c>
      <c r="I2180" s="10" t="s">
        <v>66</v>
      </c>
      <c r="J2180" s="10"/>
      <c r="K2180" s="10"/>
      <c r="L2180" s="10"/>
      <c r="M2180" s="12"/>
      <c r="N2180" s="10"/>
      <c r="O2180" s="10" t="s">
        <v>2054</v>
      </c>
      <c r="P2180" s="25" t="str">
        <f>IFERROR(
IF(OR(O2180="anulado",O2180="stand by"),CONCATENATE(O2180,": ",H2180),
IF(OR(YEAR(M2180)=2022,YEAR(M2180)=2023),CONCATENATE("Se activó en ",YEAR(M2180)),
IF(AND(OR(O2180="En proceso",O2180="facturando"),AND(J2180="-",M2180="")),"Por revisar",
IF(M2180="",IF(J2180="NUEVAS",CONCATENATE("Estado: ",O2180,", ",J2180),
IF(L2180=Meses!$A$3,"Por revisar",
IF(H2180="","Sin registro","En programación Frcst."))),"En programación")))),
"Error")</f>
        <v>En programación Frcst.</v>
      </c>
      <c r="Q2180" s="9" t="str">
        <f t="shared" si="105"/>
        <v/>
      </c>
      <c r="R2180" s="25" t="e">
        <f>IF(P2180="En programación Frcst.",VLOOKUP(L2180,Meses!$A$1:$H$14,3+HLOOKUP(Cronograma!J2180,Meses!$D$1:$G$2,2,FALSE),FALSE),
IF(P2180="En programación",M2180,""))</f>
        <v>#N/A</v>
      </c>
      <c r="S2180" s="25" t="str">
        <f t="shared" si="104"/>
        <v/>
      </c>
      <c r="T2180" s="21" t="str">
        <f>IFERROR(
(VLOOKUP(MONTH(R2180),Meses!$B$3:$C$14,2,FALSE)-DAY(R2180))/VLOOKUP(MONTH(R2180),Meses!$B$3:$C$14,2,FALSE)*U2180,
"")</f>
        <v/>
      </c>
      <c r="U2180" s="22">
        <f t="shared" si="106"/>
        <v>0</v>
      </c>
    </row>
    <row r="2181" spans="1:21" ht="31.8" hidden="1" thickBot="1" x14ac:dyDescent="0.6">
      <c r="A2181" s="10" t="s">
        <v>2066</v>
      </c>
      <c r="B2181" s="10" t="s">
        <v>2787</v>
      </c>
      <c r="C2181" s="12">
        <v>45029</v>
      </c>
      <c r="D2181" s="10" t="s">
        <v>323</v>
      </c>
      <c r="E2181" s="10" t="s">
        <v>289</v>
      </c>
      <c r="F2181" s="10"/>
      <c r="G2181" s="10" t="s">
        <v>15</v>
      </c>
      <c r="H2181" s="10" t="s">
        <v>17</v>
      </c>
      <c r="I2181" s="10" t="s">
        <v>66</v>
      </c>
      <c r="J2181" s="10"/>
      <c r="K2181" s="10"/>
      <c r="L2181" s="10"/>
      <c r="M2181" s="12"/>
      <c r="N2181" s="10"/>
      <c r="O2181" s="10" t="s">
        <v>2054</v>
      </c>
      <c r="P2181" s="25" t="str">
        <f>IFERROR(
IF(OR(O2181="anulado",O2181="stand by"),CONCATENATE(O2181,": ",H2181),
IF(OR(YEAR(M2181)=2022,YEAR(M2181)=2023),CONCATENATE("Se activó en ",YEAR(M2181)),
IF(AND(OR(O2181="En proceso",O2181="facturando"),AND(J2181="-",M2181="")),"Por revisar",
IF(M2181="",IF(J2181="NUEVAS",CONCATENATE("Estado: ",O2181,", ",J2181),
IF(L2181=Meses!$A$3,"Por revisar",
IF(H2181="","Sin registro","En programación Frcst."))),"En programación")))),
"Error")</f>
        <v>En programación Frcst.</v>
      </c>
      <c r="Q2181" s="9" t="str">
        <f t="shared" si="105"/>
        <v/>
      </c>
      <c r="R2181" s="25" t="e">
        <f>IF(P2181="En programación Frcst.",VLOOKUP(L2181,Meses!$A$1:$H$14,3+HLOOKUP(Cronograma!J2181,Meses!$D$1:$G$2,2,FALSE),FALSE),
IF(P2181="En programación",M2181,""))</f>
        <v>#N/A</v>
      </c>
      <c r="S2181" s="25" t="str">
        <f t="shared" si="104"/>
        <v/>
      </c>
      <c r="T2181" s="21" t="str">
        <f>IFERROR(
(VLOOKUP(MONTH(R2181),Meses!$B$3:$C$14,2,FALSE)-DAY(R2181))/VLOOKUP(MONTH(R2181),Meses!$B$3:$C$14,2,FALSE)*U2181,
"")</f>
        <v/>
      </c>
      <c r="U2181" s="22">
        <f t="shared" si="106"/>
        <v>0</v>
      </c>
    </row>
    <row r="2182" spans="1:21" ht="31.8" hidden="1" thickBot="1" x14ac:dyDescent="0.6">
      <c r="A2182" s="10" t="s">
        <v>2066</v>
      </c>
      <c r="B2182" s="10" t="s">
        <v>2788</v>
      </c>
      <c r="C2182" s="12">
        <v>45029</v>
      </c>
      <c r="D2182" s="10" t="s">
        <v>323</v>
      </c>
      <c r="E2182" s="10" t="s">
        <v>289</v>
      </c>
      <c r="F2182" s="10"/>
      <c r="G2182" s="10" t="s">
        <v>15</v>
      </c>
      <c r="H2182" s="10" t="s">
        <v>17</v>
      </c>
      <c r="I2182" s="10" t="s">
        <v>66</v>
      </c>
      <c r="J2182" s="10"/>
      <c r="K2182" s="10"/>
      <c r="L2182" s="10"/>
      <c r="M2182" s="12"/>
      <c r="N2182" s="10"/>
      <c r="O2182" s="10" t="s">
        <v>2054</v>
      </c>
      <c r="P2182" s="25" t="str">
        <f>IFERROR(
IF(OR(O2182="anulado",O2182="stand by"),CONCATENATE(O2182,": ",H2182),
IF(OR(YEAR(M2182)=2022,YEAR(M2182)=2023),CONCATENATE("Se activó en ",YEAR(M2182)),
IF(AND(OR(O2182="En proceso",O2182="facturando"),AND(J2182="-",M2182="")),"Por revisar",
IF(M2182="",IF(J2182="NUEVAS",CONCATENATE("Estado: ",O2182,", ",J2182),
IF(L2182=Meses!$A$3,"Por revisar",
IF(H2182="","Sin registro","En programación Frcst."))),"En programación")))),
"Error")</f>
        <v>En programación Frcst.</v>
      </c>
      <c r="Q2182" s="9" t="str">
        <f t="shared" si="105"/>
        <v/>
      </c>
      <c r="R2182" s="25" t="e">
        <f>IF(P2182="En programación Frcst.",VLOOKUP(L2182,Meses!$A$1:$H$14,3+HLOOKUP(Cronograma!J2182,Meses!$D$1:$G$2,2,FALSE),FALSE),
IF(P2182="En programación",M2182,""))</f>
        <v>#N/A</v>
      </c>
      <c r="S2182" s="25" t="str">
        <f t="shared" si="104"/>
        <v/>
      </c>
      <c r="T2182" s="21" t="str">
        <f>IFERROR(
(VLOOKUP(MONTH(R2182),Meses!$B$3:$C$14,2,FALSE)-DAY(R2182))/VLOOKUP(MONTH(R2182),Meses!$B$3:$C$14,2,FALSE)*U2182,
"")</f>
        <v/>
      </c>
      <c r="U2182" s="22">
        <f t="shared" si="106"/>
        <v>0</v>
      </c>
    </row>
    <row r="2183" spans="1:21" ht="31.8" hidden="1" thickBot="1" x14ac:dyDescent="0.6">
      <c r="A2183" s="10" t="s">
        <v>2066</v>
      </c>
      <c r="B2183" s="10" t="s">
        <v>2789</v>
      </c>
      <c r="C2183" s="12">
        <v>45029</v>
      </c>
      <c r="D2183" s="10" t="s">
        <v>323</v>
      </c>
      <c r="E2183" s="10" t="s">
        <v>677</v>
      </c>
      <c r="F2183" s="10"/>
      <c r="G2183" s="10" t="s">
        <v>15</v>
      </c>
      <c r="H2183" s="10" t="s">
        <v>17</v>
      </c>
      <c r="I2183" s="10" t="s">
        <v>66</v>
      </c>
      <c r="J2183" s="10"/>
      <c r="K2183" s="10"/>
      <c r="L2183" s="10"/>
      <c r="M2183" s="12"/>
      <c r="N2183" s="10"/>
      <c r="O2183" s="10" t="s">
        <v>2054</v>
      </c>
      <c r="P2183" s="25" t="str">
        <f>IFERROR(
IF(OR(O2183="anulado",O2183="stand by"),CONCATENATE(O2183,": ",H2183),
IF(OR(YEAR(M2183)=2022,YEAR(M2183)=2023),CONCATENATE("Se activó en ",YEAR(M2183)),
IF(AND(OR(O2183="En proceso",O2183="facturando"),AND(J2183="-",M2183="")),"Por revisar",
IF(M2183="",IF(J2183="NUEVAS",CONCATENATE("Estado: ",O2183,", ",J2183),
IF(L2183=Meses!$A$3,"Por revisar",
IF(H2183="","Sin registro","En programación Frcst."))),"En programación")))),
"Error")</f>
        <v>En programación Frcst.</v>
      </c>
      <c r="Q2183" s="9" t="str">
        <f t="shared" si="105"/>
        <v/>
      </c>
      <c r="R2183" s="25" t="e">
        <f>IF(P2183="En programación Frcst.",VLOOKUP(L2183,Meses!$A$1:$H$14,3+HLOOKUP(Cronograma!J2183,Meses!$D$1:$G$2,2,FALSE),FALSE),
IF(P2183="En programación",M2183,""))</f>
        <v>#N/A</v>
      </c>
      <c r="S2183" s="25" t="str">
        <f t="shared" si="104"/>
        <v/>
      </c>
      <c r="T2183" s="21" t="str">
        <f>IFERROR(
(VLOOKUP(MONTH(R2183),Meses!$B$3:$C$14,2,FALSE)-DAY(R2183))/VLOOKUP(MONTH(R2183),Meses!$B$3:$C$14,2,FALSE)*U2183,
"")</f>
        <v/>
      </c>
      <c r="U2183" s="22">
        <f t="shared" si="106"/>
        <v>0</v>
      </c>
    </row>
    <row r="2184" spans="1:21" ht="31.8" hidden="1" thickBot="1" x14ac:dyDescent="0.6">
      <c r="A2184" s="10" t="s">
        <v>2066</v>
      </c>
      <c r="B2184" s="10" t="s">
        <v>2790</v>
      </c>
      <c r="C2184" s="12">
        <v>45029</v>
      </c>
      <c r="D2184" s="10" t="s">
        <v>323</v>
      </c>
      <c r="E2184" s="10" t="s">
        <v>677</v>
      </c>
      <c r="F2184" s="10"/>
      <c r="G2184" s="10" t="s">
        <v>15</v>
      </c>
      <c r="H2184" s="10" t="s">
        <v>17</v>
      </c>
      <c r="I2184" s="10" t="s">
        <v>66</v>
      </c>
      <c r="J2184" s="10"/>
      <c r="K2184" s="10"/>
      <c r="L2184" s="10"/>
      <c r="M2184" s="12"/>
      <c r="N2184" s="10"/>
      <c r="O2184" s="10" t="s">
        <v>2054</v>
      </c>
      <c r="P2184" s="25" t="str">
        <f>IFERROR(
IF(OR(O2184="anulado",O2184="stand by"),CONCATENATE(O2184,": ",H2184),
IF(OR(YEAR(M2184)=2022,YEAR(M2184)=2023),CONCATENATE("Se activó en ",YEAR(M2184)),
IF(AND(OR(O2184="En proceso",O2184="facturando"),AND(J2184="-",M2184="")),"Por revisar",
IF(M2184="",IF(J2184="NUEVAS",CONCATENATE("Estado: ",O2184,", ",J2184),
IF(L2184=Meses!$A$3,"Por revisar",
IF(H2184="","Sin registro","En programación Frcst."))),"En programación")))),
"Error")</f>
        <v>En programación Frcst.</v>
      </c>
      <c r="Q2184" s="9" t="str">
        <f t="shared" si="105"/>
        <v/>
      </c>
      <c r="R2184" s="25" t="e">
        <f>IF(P2184="En programación Frcst.",VLOOKUP(L2184,Meses!$A$1:$H$14,3+HLOOKUP(Cronograma!J2184,Meses!$D$1:$G$2,2,FALSE),FALSE),
IF(P2184="En programación",M2184,""))</f>
        <v>#N/A</v>
      </c>
      <c r="S2184" s="25" t="str">
        <f t="shared" si="104"/>
        <v/>
      </c>
      <c r="T2184" s="21" t="str">
        <f>IFERROR(
(VLOOKUP(MONTH(R2184),Meses!$B$3:$C$14,2,FALSE)-DAY(R2184))/VLOOKUP(MONTH(R2184),Meses!$B$3:$C$14,2,FALSE)*U2184,
"")</f>
        <v/>
      </c>
      <c r="U2184" s="22">
        <f t="shared" si="106"/>
        <v>0</v>
      </c>
    </row>
    <row r="2185" spans="1:21" ht="31.8" hidden="1" thickBot="1" x14ac:dyDescent="0.6">
      <c r="A2185" s="10" t="s">
        <v>2066</v>
      </c>
      <c r="B2185" s="10" t="s">
        <v>2791</v>
      </c>
      <c r="C2185" s="12">
        <v>45029</v>
      </c>
      <c r="D2185" s="10" t="s">
        <v>323</v>
      </c>
      <c r="E2185" s="10" t="s">
        <v>289</v>
      </c>
      <c r="F2185" s="10"/>
      <c r="G2185" s="10" t="s">
        <v>15</v>
      </c>
      <c r="H2185" s="10" t="s">
        <v>17</v>
      </c>
      <c r="I2185" s="10" t="s">
        <v>66</v>
      </c>
      <c r="J2185" s="10"/>
      <c r="K2185" s="10"/>
      <c r="L2185" s="10"/>
      <c r="M2185" s="12"/>
      <c r="N2185" s="10"/>
      <c r="O2185" s="10" t="s">
        <v>2054</v>
      </c>
      <c r="P2185" s="25" t="str">
        <f>IFERROR(
IF(OR(O2185="anulado",O2185="stand by"),CONCATENATE(O2185,": ",H2185),
IF(OR(YEAR(M2185)=2022,YEAR(M2185)=2023),CONCATENATE("Se activó en ",YEAR(M2185)),
IF(AND(OR(O2185="En proceso",O2185="facturando"),AND(J2185="-",M2185="")),"Por revisar",
IF(M2185="",IF(J2185="NUEVAS",CONCATENATE("Estado: ",O2185,", ",J2185),
IF(L2185=Meses!$A$3,"Por revisar",
IF(H2185="","Sin registro","En programación Frcst."))),"En programación")))),
"Error")</f>
        <v>En programación Frcst.</v>
      </c>
      <c r="Q2185" s="9" t="str">
        <f t="shared" si="105"/>
        <v/>
      </c>
      <c r="R2185" s="25" t="e">
        <f>IF(P2185="En programación Frcst.",VLOOKUP(L2185,Meses!$A$1:$H$14,3+HLOOKUP(Cronograma!J2185,Meses!$D$1:$G$2,2,FALSE),FALSE),
IF(P2185="En programación",M2185,""))</f>
        <v>#N/A</v>
      </c>
      <c r="S2185" s="25" t="str">
        <f t="shared" si="104"/>
        <v/>
      </c>
      <c r="T2185" s="21" t="str">
        <f>IFERROR(
(VLOOKUP(MONTH(R2185),Meses!$B$3:$C$14,2,FALSE)-DAY(R2185))/VLOOKUP(MONTH(R2185),Meses!$B$3:$C$14,2,FALSE)*U2185,
"")</f>
        <v/>
      </c>
      <c r="U2185" s="22">
        <f t="shared" si="106"/>
        <v>0</v>
      </c>
    </row>
    <row r="2186" spans="1:21" ht="31.8" hidden="1" thickBot="1" x14ac:dyDescent="0.6">
      <c r="A2186" s="10" t="s">
        <v>2066</v>
      </c>
      <c r="B2186" s="10" t="s">
        <v>2792</v>
      </c>
      <c r="C2186" s="12">
        <v>45029</v>
      </c>
      <c r="D2186" s="10" t="s">
        <v>323</v>
      </c>
      <c r="E2186" s="10" t="s">
        <v>289</v>
      </c>
      <c r="F2186" s="10"/>
      <c r="G2186" s="10" t="s">
        <v>15</v>
      </c>
      <c r="H2186" s="10" t="s">
        <v>17</v>
      </c>
      <c r="I2186" s="10" t="s">
        <v>66</v>
      </c>
      <c r="J2186" s="10"/>
      <c r="K2186" s="10"/>
      <c r="L2186" s="10"/>
      <c r="M2186" s="12"/>
      <c r="N2186" s="10"/>
      <c r="O2186" s="10" t="s">
        <v>2054</v>
      </c>
      <c r="P2186" s="25" t="str">
        <f>IFERROR(
IF(OR(O2186="anulado",O2186="stand by"),CONCATENATE(O2186,": ",H2186),
IF(OR(YEAR(M2186)=2022,YEAR(M2186)=2023),CONCATENATE("Se activó en ",YEAR(M2186)),
IF(AND(OR(O2186="En proceso",O2186="facturando"),AND(J2186="-",M2186="")),"Por revisar",
IF(M2186="",IF(J2186="NUEVAS",CONCATENATE("Estado: ",O2186,", ",J2186),
IF(L2186=Meses!$A$3,"Por revisar",
IF(H2186="","Sin registro","En programación Frcst."))),"En programación")))),
"Error")</f>
        <v>En programación Frcst.</v>
      </c>
      <c r="Q2186" s="9" t="str">
        <f t="shared" si="105"/>
        <v/>
      </c>
      <c r="R2186" s="25" t="e">
        <f>IF(P2186="En programación Frcst.",VLOOKUP(L2186,Meses!$A$1:$H$14,3+HLOOKUP(Cronograma!J2186,Meses!$D$1:$G$2,2,FALSE),FALSE),
IF(P2186="En programación",M2186,""))</f>
        <v>#N/A</v>
      </c>
      <c r="S2186" s="25" t="str">
        <f t="shared" si="104"/>
        <v/>
      </c>
      <c r="T2186" s="21" t="str">
        <f>IFERROR(
(VLOOKUP(MONTH(R2186),Meses!$B$3:$C$14,2,FALSE)-DAY(R2186))/VLOOKUP(MONTH(R2186),Meses!$B$3:$C$14,2,FALSE)*U2186,
"")</f>
        <v/>
      </c>
      <c r="U2186" s="22">
        <f t="shared" si="106"/>
        <v>0</v>
      </c>
    </row>
    <row r="2187" spans="1:21" ht="63" hidden="1" thickBot="1" x14ac:dyDescent="0.6">
      <c r="A2187" s="10" t="s">
        <v>1539</v>
      </c>
      <c r="B2187" s="10" t="s">
        <v>2793</v>
      </c>
      <c r="C2187" s="12">
        <v>45029</v>
      </c>
      <c r="D2187" s="10" t="s">
        <v>323</v>
      </c>
      <c r="E2187" s="10"/>
      <c r="F2187" s="10">
        <v>8000</v>
      </c>
      <c r="G2187" s="10" t="s">
        <v>15</v>
      </c>
      <c r="H2187" s="10" t="s">
        <v>2916</v>
      </c>
      <c r="I2187" s="10" t="s">
        <v>66</v>
      </c>
      <c r="J2187" s="10" t="s">
        <v>292</v>
      </c>
      <c r="K2187" s="10" t="s">
        <v>1697</v>
      </c>
      <c r="L2187" s="10" t="s">
        <v>1120</v>
      </c>
      <c r="M2187" s="12">
        <v>45379</v>
      </c>
      <c r="N2187" s="10"/>
      <c r="O2187" s="10" t="s">
        <v>2057</v>
      </c>
      <c r="P2187" s="25" t="str">
        <f>IFERROR(
IF(OR(O2187="anulado",O2187="stand by"),CONCATENATE(O2187,": ",H2187),
IF(OR(YEAR(M2187)=2022,YEAR(M2187)=2023),CONCATENATE("Se activó en ",YEAR(M2187)),
IF(AND(OR(O2187="En proceso",O2187="facturando"),AND(J2187="-",M2187="")),"Por revisar",
IF(M2187="",IF(J2187="NUEVAS",CONCATENATE("Estado: ",O2187,", ",J2187),
IF(L2187=Meses!$A$3,"Por revisar",
IF(H2187="","Sin registro","En programación Frcst."))),"En programación")))),
"Error")</f>
        <v>En programación</v>
      </c>
      <c r="Q2187" s="9" t="str">
        <f t="shared" si="105"/>
        <v/>
      </c>
      <c r="R2187" s="25">
        <f>IF(P2187="En programación Frcst.",VLOOKUP(L2187,Meses!$A$1:$H$14,3+HLOOKUP(Cronograma!J2187,Meses!$D$1:$G$2,2,FALSE),FALSE),
IF(P2187="En programación",M2187,""))</f>
        <v>45379</v>
      </c>
      <c r="S2187" s="25" t="str">
        <f t="shared" si="104"/>
        <v>2024/3</v>
      </c>
      <c r="T2187" s="21">
        <f>IFERROR(
(VLOOKUP(MONTH(R2187),Meses!$B$3:$C$14,2,FALSE)-DAY(R2187))/VLOOKUP(MONTH(R2187),Meses!$B$3:$C$14,2,FALSE)*U2187,
"")</f>
        <v>774.19354838709671</v>
      </c>
      <c r="U2187" s="22">
        <f t="shared" si="106"/>
        <v>8000</v>
      </c>
    </row>
    <row r="2188" spans="1:21" ht="63" hidden="1" thickBot="1" x14ac:dyDescent="0.6">
      <c r="A2188" s="10" t="s">
        <v>3116</v>
      </c>
      <c r="B2188" s="10" t="s">
        <v>2794</v>
      </c>
      <c r="C2188" s="12">
        <v>45029</v>
      </c>
      <c r="D2188" s="10" t="s">
        <v>323</v>
      </c>
      <c r="E2188" s="10" t="s">
        <v>289</v>
      </c>
      <c r="F2188" s="10"/>
      <c r="G2188" s="10" t="s">
        <v>15</v>
      </c>
      <c r="H2188" s="10" t="s">
        <v>17</v>
      </c>
      <c r="I2188" s="10" t="s">
        <v>66</v>
      </c>
      <c r="J2188" s="10"/>
      <c r="K2188" s="10"/>
      <c r="L2188" s="10"/>
      <c r="M2188" s="12"/>
      <c r="N2188" s="10"/>
      <c r="O2188" s="10" t="s">
        <v>2054</v>
      </c>
      <c r="P2188" s="25" t="str">
        <f>IFERROR(
IF(OR(O2188="anulado",O2188="stand by"),CONCATENATE(O2188,": ",H2188),
IF(OR(YEAR(M2188)=2022,YEAR(M2188)=2023),CONCATENATE("Se activó en ",YEAR(M2188)),
IF(AND(OR(O2188="En proceso",O2188="facturando"),AND(J2188="-",M2188="")),"Por revisar",
IF(M2188="",IF(J2188="NUEVAS",CONCATENATE("Estado: ",O2188,", ",J2188),
IF(L2188=Meses!$A$3,"Por revisar",
IF(H2188="","Sin registro","En programación Frcst."))),"En programación")))),
"Error")</f>
        <v>En programación Frcst.</v>
      </c>
      <c r="Q2188" s="9" t="str">
        <f t="shared" si="105"/>
        <v/>
      </c>
      <c r="R2188" s="25" t="e">
        <f>IF(P2188="En programación Frcst.",VLOOKUP(L2188,Meses!$A$1:$H$14,3+HLOOKUP(Cronograma!J2188,Meses!$D$1:$G$2,2,FALSE),FALSE),
IF(P2188="En programación",M2188,""))</f>
        <v>#N/A</v>
      </c>
      <c r="S2188" s="25" t="str">
        <f t="shared" si="104"/>
        <v/>
      </c>
      <c r="T2188" s="21" t="str">
        <f>IFERROR(
(VLOOKUP(MONTH(R2188),Meses!$B$3:$C$14,2,FALSE)-DAY(R2188))/VLOOKUP(MONTH(R2188),Meses!$B$3:$C$14,2,FALSE)*U2188,
"")</f>
        <v/>
      </c>
      <c r="U2188" s="22">
        <f t="shared" si="106"/>
        <v>0</v>
      </c>
    </row>
    <row r="2189" spans="1:21" ht="31.8" hidden="1" thickBot="1" x14ac:dyDescent="0.6">
      <c r="A2189" s="10" t="s">
        <v>3117</v>
      </c>
      <c r="B2189" s="10" t="s">
        <v>2795</v>
      </c>
      <c r="C2189" s="12">
        <v>45036</v>
      </c>
      <c r="D2189" s="10" t="s">
        <v>323</v>
      </c>
      <c r="E2189" s="10" t="s">
        <v>14</v>
      </c>
      <c r="F2189" s="10"/>
      <c r="G2189" s="10" t="s">
        <v>15</v>
      </c>
      <c r="H2189" s="10" t="s">
        <v>17</v>
      </c>
      <c r="I2189" s="10" t="s">
        <v>66</v>
      </c>
      <c r="J2189" s="10"/>
      <c r="K2189" s="10"/>
      <c r="L2189" s="10"/>
      <c r="M2189" s="12"/>
      <c r="N2189" s="10"/>
      <c r="O2189" s="10" t="s">
        <v>2054</v>
      </c>
      <c r="P2189" s="25" t="str">
        <f>IFERROR(
IF(OR(O2189="anulado",O2189="stand by"),CONCATENATE(O2189,": ",H2189),
IF(OR(YEAR(M2189)=2022,YEAR(M2189)=2023),CONCATENATE("Se activó en ",YEAR(M2189)),
IF(AND(OR(O2189="En proceso",O2189="facturando"),AND(J2189="-",M2189="")),"Por revisar",
IF(M2189="",IF(J2189="NUEVAS",CONCATENATE("Estado: ",O2189,", ",J2189),
IF(L2189=Meses!$A$3,"Por revisar",
IF(H2189="","Sin registro","En programación Frcst."))),"En programación")))),
"Error")</f>
        <v>En programación Frcst.</v>
      </c>
      <c r="Q2189" s="9" t="str">
        <f t="shared" si="105"/>
        <v/>
      </c>
      <c r="R2189" s="25" t="e">
        <f>IF(P2189="En programación Frcst.",VLOOKUP(L2189,Meses!$A$1:$H$14,3+HLOOKUP(Cronograma!J2189,Meses!$D$1:$G$2,2,FALSE),FALSE),
IF(P2189="En programación",M2189,""))</f>
        <v>#N/A</v>
      </c>
      <c r="S2189" s="25" t="str">
        <f t="shared" si="104"/>
        <v/>
      </c>
      <c r="T2189" s="21" t="str">
        <f>IFERROR(
(VLOOKUP(MONTH(R2189),Meses!$B$3:$C$14,2,FALSE)-DAY(R2189))/VLOOKUP(MONTH(R2189),Meses!$B$3:$C$14,2,FALSE)*U2189,
"")</f>
        <v/>
      </c>
      <c r="U2189" s="22">
        <f t="shared" si="106"/>
        <v>0</v>
      </c>
    </row>
    <row r="2190" spans="1:21" ht="31.8" hidden="1" thickBot="1" x14ac:dyDescent="0.6">
      <c r="A2190" s="10" t="s">
        <v>3118</v>
      </c>
      <c r="B2190" s="10" t="s">
        <v>2796</v>
      </c>
      <c r="C2190" s="12">
        <v>45029</v>
      </c>
      <c r="D2190" s="10" t="s">
        <v>323</v>
      </c>
      <c r="E2190" s="10" t="s">
        <v>23</v>
      </c>
      <c r="F2190" s="10"/>
      <c r="G2190" s="10" t="s">
        <v>15</v>
      </c>
      <c r="H2190" s="10" t="s">
        <v>17</v>
      </c>
      <c r="I2190" s="10" t="s">
        <v>66</v>
      </c>
      <c r="J2190" s="10"/>
      <c r="K2190" s="10"/>
      <c r="L2190" s="10"/>
      <c r="M2190" s="12"/>
      <c r="N2190" s="10"/>
      <c r="O2190" s="10" t="s">
        <v>2054</v>
      </c>
      <c r="P2190" s="25" t="str">
        <f>IFERROR(
IF(OR(O2190="anulado",O2190="stand by"),CONCATENATE(O2190,": ",H2190),
IF(OR(YEAR(M2190)=2022,YEAR(M2190)=2023),CONCATENATE("Se activó en ",YEAR(M2190)),
IF(AND(OR(O2190="En proceso",O2190="facturando"),AND(J2190="-",M2190="")),"Por revisar",
IF(M2190="",IF(J2190="NUEVAS",CONCATENATE("Estado: ",O2190,", ",J2190),
IF(L2190=Meses!$A$3,"Por revisar",
IF(H2190="","Sin registro","En programación Frcst."))),"En programación")))),
"Error")</f>
        <v>En programación Frcst.</v>
      </c>
      <c r="Q2190" s="9" t="str">
        <f t="shared" si="105"/>
        <v/>
      </c>
      <c r="R2190" s="25" t="e">
        <f>IF(P2190="En programación Frcst.",VLOOKUP(L2190,Meses!$A$1:$H$14,3+HLOOKUP(Cronograma!J2190,Meses!$D$1:$G$2,2,FALSE),FALSE),
IF(P2190="En programación",M2190,""))</f>
        <v>#N/A</v>
      </c>
      <c r="S2190" s="25" t="str">
        <f t="shared" si="104"/>
        <v/>
      </c>
      <c r="T2190" s="21" t="str">
        <f>IFERROR(
(VLOOKUP(MONTH(R2190),Meses!$B$3:$C$14,2,FALSE)-DAY(R2190))/VLOOKUP(MONTH(R2190),Meses!$B$3:$C$14,2,FALSE)*U2190,
"")</f>
        <v/>
      </c>
      <c r="U2190" s="22">
        <f t="shared" si="106"/>
        <v>0</v>
      </c>
    </row>
    <row r="2191" spans="1:21" ht="31.8" hidden="1" thickBot="1" x14ac:dyDescent="0.6">
      <c r="A2191" s="10" t="s">
        <v>3119</v>
      </c>
      <c r="B2191" s="10" t="s">
        <v>2797</v>
      </c>
      <c r="C2191" s="12">
        <v>45029</v>
      </c>
      <c r="D2191" s="10" t="s">
        <v>323</v>
      </c>
      <c r="E2191" s="10" t="s">
        <v>23</v>
      </c>
      <c r="F2191" s="10"/>
      <c r="G2191" s="10" t="s">
        <v>15</v>
      </c>
      <c r="H2191" s="10" t="s">
        <v>17</v>
      </c>
      <c r="I2191" s="10" t="s">
        <v>66</v>
      </c>
      <c r="J2191" s="10"/>
      <c r="K2191" s="10"/>
      <c r="L2191" s="10"/>
      <c r="M2191" s="12"/>
      <c r="N2191" s="10"/>
      <c r="O2191" s="10" t="s">
        <v>2054</v>
      </c>
      <c r="P2191" s="25" t="str">
        <f>IFERROR(
IF(OR(O2191="anulado",O2191="stand by"),CONCATENATE(O2191,": ",H2191),
IF(OR(YEAR(M2191)=2022,YEAR(M2191)=2023),CONCATENATE("Se activó en ",YEAR(M2191)),
IF(AND(OR(O2191="En proceso",O2191="facturando"),AND(J2191="-",M2191="")),"Por revisar",
IF(M2191="",IF(J2191="NUEVAS",CONCATENATE("Estado: ",O2191,", ",J2191),
IF(L2191=Meses!$A$3,"Por revisar",
IF(H2191="","Sin registro","En programación Frcst."))),"En programación")))),
"Error")</f>
        <v>En programación Frcst.</v>
      </c>
      <c r="Q2191" s="9" t="str">
        <f t="shared" si="105"/>
        <v/>
      </c>
      <c r="R2191" s="25" t="e">
        <f>IF(P2191="En programación Frcst.",VLOOKUP(L2191,Meses!$A$1:$H$14,3+HLOOKUP(Cronograma!J2191,Meses!$D$1:$G$2,2,FALSE),FALSE),
IF(P2191="En programación",M2191,""))</f>
        <v>#N/A</v>
      </c>
      <c r="S2191" s="25" t="str">
        <f t="shared" si="104"/>
        <v/>
      </c>
      <c r="T2191" s="21" t="str">
        <f>IFERROR(
(VLOOKUP(MONTH(R2191),Meses!$B$3:$C$14,2,FALSE)-DAY(R2191))/VLOOKUP(MONTH(R2191),Meses!$B$3:$C$14,2,FALSE)*U2191,
"")</f>
        <v/>
      </c>
      <c r="U2191" s="22">
        <f t="shared" si="106"/>
        <v>0</v>
      </c>
    </row>
    <row r="2192" spans="1:21" ht="31.8" hidden="1" thickBot="1" x14ac:dyDescent="0.6">
      <c r="A2192" s="10" t="s">
        <v>3120</v>
      </c>
      <c r="B2192" s="10" t="s">
        <v>2798</v>
      </c>
      <c r="C2192" s="12">
        <v>45029</v>
      </c>
      <c r="D2192" s="10" t="s">
        <v>323</v>
      </c>
      <c r="E2192" s="10" t="s">
        <v>289</v>
      </c>
      <c r="F2192" s="10"/>
      <c r="G2192" s="10" t="s">
        <v>15</v>
      </c>
      <c r="H2192" s="10" t="s">
        <v>17</v>
      </c>
      <c r="I2192" s="10" t="s">
        <v>66</v>
      </c>
      <c r="J2192" s="10"/>
      <c r="K2192" s="10"/>
      <c r="L2192" s="10"/>
      <c r="M2192" s="12"/>
      <c r="N2192" s="10"/>
      <c r="O2192" s="10" t="s">
        <v>2054</v>
      </c>
      <c r="P2192" s="25" t="str">
        <f>IFERROR(
IF(OR(O2192="anulado",O2192="stand by"),CONCATENATE(O2192,": ",H2192),
IF(OR(YEAR(M2192)=2022,YEAR(M2192)=2023),CONCATENATE("Se activó en ",YEAR(M2192)),
IF(AND(OR(O2192="En proceso",O2192="facturando"),AND(J2192="-",M2192="")),"Por revisar",
IF(M2192="",IF(J2192="NUEVAS",CONCATENATE("Estado: ",O2192,", ",J2192),
IF(L2192=Meses!$A$3,"Por revisar",
IF(H2192="","Sin registro","En programación Frcst."))),"En programación")))),
"Error")</f>
        <v>En programación Frcst.</v>
      </c>
      <c r="Q2192" s="9" t="str">
        <f t="shared" si="105"/>
        <v/>
      </c>
      <c r="R2192" s="25" t="e">
        <f>IF(P2192="En programación Frcst.",VLOOKUP(L2192,Meses!$A$1:$H$14,3+HLOOKUP(Cronograma!J2192,Meses!$D$1:$G$2,2,FALSE),FALSE),
IF(P2192="En programación",M2192,""))</f>
        <v>#N/A</v>
      </c>
      <c r="S2192" s="25" t="str">
        <f t="shared" si="104"/>
        <v/>
      </c>
      <c r="T2192" s="21" t="str">
        <f>IFERROR(
(VLOOKUP(MONTH(R2192),Meses!$B$3:$C$14,2,FALSE)-DAY(R2192))/VLOOKUP(MONTH(R2192),Meses!$B$3:$C$14,2,FALSE)*U2192,
"")</f>
        <v/>
      </c>
      <c r="U2192" s="22">
        <f t="shared" si="106"/>
        <v>0</v>
      </c>
    </row>
    <row r="2193" spans="1:21" ht="31.8" hidden="1" thickBot="1" x14ac:dyDescent="0.6">
      <c r="A2193" s="10" t="s">
        <v>3120</v>
      </c>
      <c r="B2193" s="10" t="s">
        <v>2799</v>
      </c>
      <c r="C2193" s="12">
        <v>45029</v>
      </c>
      <c r="D2193" s="10" t="s">
        <v>323</v>
      </c>
      <c r="E2193" s="10" t="s">
        <v>289</v>
      </c>
      <c r="F2193" s="10"/>
      <c r="G2193" s="10" t="s">
        <v>15</v>
      </c>
      <c r="H2193" s="10" t="s">
        <v>17</v>
      </c>
      <c r="I2193" s="10" t="s">
        <v>66</v>
      </c>
      <c r="J2193" s="10"/>
      <c r="K2193" s="10"/>
      <c r="L2193" s="10"/>
      <c r="M2193" s="12"/>
      <c r="N2193" s="10"/>
      <c r="O2193" s="10" t="s">
        <v>2054</v>
      </c>
      <c r="P2193" s="25" t="str">
        <f>IFERROR(
IF(OR(O2193="anulado",O2193="stand by"),CONCATENATE(O2193,": ",H2193),
IF(OR(YEAR(M2193)=2022,YEAR(M2193)=2023),CONCATENATE("Se activó en ",YEAR(M2193)),
IF(AND(OR(O2193="En proceso",O2193="facturando"),AND(J2193="-",M2193="")),"Por revisar",
IF(M2193="",IF(J2193="NUEVAS",CONCATENATE("Estado: ",O2193,", ",J2193),
IF(L2193=Meses!$A$3,"Por revisar",
IF(H2193="","Sin registro","En programación Frcst."))),"En programación")))),
"Error")</f>
        <v>En programación Frcst.</v>
      </c>
      <c r="Q2193" s="9" t="str">
        <f t="shared" si="105"/>
        <v/>
      </c>
      <c r="R2193" s="25" t="e">
        <f>IF(P2193="En programación Frcst.",VLOOKUP(L2193,Meses!$A$1:$H$14,3+HLOOKUP(Cronograma!J2193,Meses!$D$1:$G$2,2,FALSE),FALSE),
IF(P2193="En programación",M2193,""))</f>
        <v>#N/A</v>
      </c>
      <c r="S2193" s="25" t="str">
        <f t="shared" si="104"/>
        <v/>
      </c>
      <c r="T2193" s="21" t="str">
        <f>IFERROR(
(VLOOKUP(MONTH(R2193),Meses!$B$3:$C$14,2,FALSE)-DAY(R2193))/VLOOKUP(MONTH(R2193),Meses!$B$3:$C$14,2,FALSE)*U2193,
"")</f>
        <v/>
      </c>
      <c r="U2193" s="22">
        <f t="shared" si="106"/>
        <v>0</v>
      </c>
    </row>
    <row r="2194" spans="1:21" ht="47.4" hidden="1" thickBot="1" x14ac:dyDescent="0.6">
      <c r="A2194" s="10" t="s">
        <v>3121</v>
      </c>
      <c r="B2194" s="10" t="s">
        <v>2800</v>
      </c>
      <c r="C2194" s="12">
        <v>45029</v>
      </c>
      <c r="D2194" s="10" t="s">
        <v>323</v>
      </c>
      <c r="E2194" s="10" t="s">
        <v>14</v>
      </c>
      <c r="F2194" s="10"/>
      <c r="G2194" s="10" t="s">
        <v>15</v>
      </c>
      <c r="H2194" s="10" t="s">
        <v>17</v>
      </c>
      <c r="I2194" s="10" t="s">
        <v>66</v>
      </c>
      <c r="J2194" s="10"/>
      <c r="K2194" s="10"/>
      <c r="L2194" s="10"/>
      <c r="M2194" s="12"/>
      <c r="N2194" s="10"/>
      <c r="O2194" s="10" t="s">
        <v>2054</v>
      </c>
      <c r="P2194" s="25" t="str">
        <f>IFERROR(
IF(OR(O2194="anulado",O2194="stand by"),CONCATENATE(O2194,": ",H2194),
IF(OR(YEAR(M2194)=2022,YEAR(M2194)=2023),CONCATENATE("Se activó en ",YEAR(M2194)),
IF(AND(OR(O2194="En proceso",O2194="facturando"),AND(J2194="-",M2194="")),"Por revisar",
IF(M2194="",IF(J2194="NUEVAS",CONCATENATE("Estado: ",O2194,", ",J2194),
IF(L2194=Meses!$A$3,"Por revisar",
IF(H2194="","Sin registro","En programación Frcst."))),"En programación")))),
"Error")</f>
        <v>En programación Frcst.</v>
      </c>
      <c r="Q2194" s="9" t="str">
        <f t="shared" si="105"/>
        <v/>
      </c>
      <c r="R2194" s="25" t="e">
        <f>IF(P2194="En programación Frcst.",VLOOKUP(L2194,Meses!$A$1:$H$14,3+HLOOKUP(Cronograma!J2194,Meses!$D$1:$G$2,2,FALSE),FALSE),
IF(P2194="En programación",M2194,""))</f>
        <v>#N/A</v>
      </c>
      <c r="S2194" s="25" t="str">
        <f t="shared" si="104"/>
        <v/>
      </c>
      <c r="T2194" s="21" t="str">
        <f>IFERROR(
(VLOOKUP(MONTH(R2194),Meses!$B$3:$C$14,2,FALSE)-DAY(R2194))/VLOOKUP(MONTH(R2194),Meses!$B$3:$C$14,2,FALSE)*U2194,
"")</f>
        <v/>
      </c>
      <c r="U2194" s="22">
        <f t="shared" si="106"/>
        <v>0</v>
      </c>
    </row>
    <row r="2195" spans="1:21" ht="31.8" hidden="1" thickBot="1" x14ac:dyDescent="0.6">
      <c r="A2195" s="10" t="s">
        <v>3122</v>
      </c>
      <c r="B2195" s="10" t="s">
        <v>2801</v>
      </c>
      <c r="C2195" s="12">
        <v>45029</v>
      </c>
      <c r="D2195" s="10" t="s">
        <v>323</v>
      </c>
      <c r="E2195" s="10" t="s">
        <v>23</v>
      </c>
      <c r="F2195" s="10"/>
      <c r="G2195" s="10" t="s">
        <v>15</v>
      </c>
      <c r="H2195" s="10" t="s">
        <v>17</v>
      </c>
      <c r="I2195" s="10" t="s">
        <v>66</v>
      </c>
      <c r="J2195" s="10"/>
      <c r="K2195" s="10"/>
      <c r="L2195" s="10"/>
      <c r="M2195" s="12"/>
      <c r="N2195" s="10"/>
      <c r="O2195" s="10" t="s">
        <v>2054</v>
      </c>
      <c r="P2195" s="25" t="str">
        <f>IFERROR(
IF(OR(O2195="anulado",O2195="stand by"),CONCATENATE(O2195,": ",H2195),
IF(OR(YEAR(M2195)=2022,YEAR(M2195)=2023),CONCATENATE("Se activó en ",YEAR(M2195)),
IF(AND(OR(O2195="En proceso",O2195="facturando"),AND(J2195="-",M2195="")),"Por revisar",
IF(M2195="",IF(J2195="NUEVAS",CONCATENATE("Estado: ",O2195,", ",J2195),
IF(L2195=Meses!$A$3,"Por revisar",
IF(H2195="","Sin registro","En programación Frcst."))),"En programación")))),
"Error")</f>
        <v>En programación Frcst.</v>
      </c>
      <c r="Q2195" s="9" t="str">
        <f t="shared" si="105"/>
        <v/>
      </c>
      <c r="R2195" s="25" t="e">
        <f>IF(P2195="En programación Frcst.",VLOOKUP(L2195,Meses!$A$1:$H$14,3+HLOOKUP(Cronograma!J2195,Meses!$D$1:$G$2,2,FALSE),FALSE),
IF(P2195="En programación",M2195,""))</f>
        <v>#N/A</v>
      </c>
      <c r="S2195" s="25" t="str">
        <f t="shared" si="104"/>
        <v/>
      </c>
      <c r="T2195" s="21" t="str">
        <f>IFERROR(
(VLOOKUP(MONTH(R2195),Meses!$B$3:$C$14,2,FALSE)-DAY(R2195))/VLOOKUP(MONTH(R2195),Meses!$B$3:$C$14,2,FALSE)*U2195,
"")</f>
        <v/>
      </c>
      <c r="U2195" s="22">
        <f t="shared" si="106"/>
        <v>0</v>
      </c>
    </row>
    <row r="2196" spans="1:21" ht="78.599999999999994" hidden="1" thickBot="1" x14ac:dyDescent="0.6">
      <c r="A2196" s="10" t="s">
        <v>3123</v>
      </c>
      <c r="B2196" s="10" t="s">
        <v>2802</v>
      </c>
      <c r="C2196" s="12">
        <v>45029</v>
      </c>
      <c r="D2196" s="10" t="s">
        <v>323</v>
      </c>
      <c r="E2196" s="10" t="s">
        <v>289</v>
      </c>
      <c r="F2196" s="10"/>
      <c r="G2196" s="10" t="s">
        <v>15</v>
      </c>
      <c r="H2196" s="10" t="s">
        <v>17</v>
      </c>
      <c r="I2196" s="10" t="s">
        <v>66</v>
      </c>
      <c r="J2196" s="10"/>
      <c r="K2196" s="10"/>
      <c r="L2196" s="10"/>
      <c r="M2196" s="12"/>
      <c r="N2196" s="10"/>
      <c r="O2196" s="10" t="s">
        <v>2054</v>
      </c>
      <c r="P2196" s="25" t="str">
        <f>IFERROR(
IF(OR(O2196="anulado",O2196="stand by"),CONCATENATE(O2196,": ",H2196),
IF(OR(YEAR(M2196)=2022,YEAR(M2196)=2023),CONCATENATE("Se activó en ",YEAR(M2196)),
IF(AND(OR(O2196="En proceso",O2196="facturando"),AND(J2196="-",M2196="")),"Por revisar",
IF(M2196="",IF(J2196="NUEVAS",CONCATENATE("Estado: ",O2196,", ",J2196),
IF(L2196=Meses!$A$3,"Por revisar",
IF(H2196="","Sin registro","En programación Frcst."))),"En programación")))),
"Error")</f>
        <v>En programación Frcst.</v>
      </c>
      <c r="Q2196" s="9" t="str">
        <f t="shared" si="105"/>
        <v/>
      </c>
      <c r="R2196" s="25" t="e">
        <f>IF(P2196="En programación Frcst.",VLOOKUP(L2196,Meses!$A$1:$H$14,3+HLOOKUP(Cronograma!J2196,Meses!$D$1:$G$2,2,FALSE),FALSE),
IF(P2196="En programación",M2196,""))</f>
        <v>#N/A</v>
      </c>
      <c r="S2196" s="25" t="str">
        <f t="shared" si="104"/>
        <v/>
      </c>
      <c r="T2196" s="21" t="str">
        <f>IFERROR(
(VLOOKUP(MONTH(R2196),Meses!$B$3:$C$14,2,FALSE)-DAY(R2196))/VLOOKUP(MONTH(R2196),Meses!$B$3:$C$14,2,FALSE)*U2196,
"")</f>
        <v/>
      </c>
      <c r="U2196" s="22">
        <f t="shared" si="106"/>
        <v>0</v>
      </c>
    </row>
    <row r="2197" spans="1:21" ht="47.4" hidden="1" thickBot="1" x14ac:dyDescent="0.6">
      <c r="A2197" s="10" t="s">
        <v>888</v>
      </c>
      <c r="B2197" s="10" t="s">
        <v>2803</v>
      </c>
      <c r="C2197" s="12">
        <v>45029</v>
      </c>
      <c r="D2197" s="10" t="s">
        <v>323</v>
      </c>
      <c r="E2197" s="10" t="s">
        <v>289</v>
      </c>
      <c r="F2197" s="10"/>
      <c r="G2197" s="10" t="s">
        <v>15</v>
      </c>
      <c r="H2197" s="10" t="s">
        <v>17</v>
      </c>
      <c r="I2197" s="10" t="s">
        <v>66</v>
      </c>
      <c r="J2197" s="10"/>
      <c r="K2197" s="10"/>
      <c r="L2197" s="10"/>
      <c r="M2197" s="12"/>
      <c r="N2197" s="10"/>
      <c r="O2197" s="10" t="s">
        <v>2054</v>
      </c>
      <c r="P2197" s="25" t="str">
        <f>IFERROR(
IF(OR(O2197="anulado",O2197="stand by"),CONCATENATE(O2197,": ",H2197),
IF(OR(YEAR(M2197)=2022,YEAR(M2197)=2023),CONCATENATE("Se activó en ",YEAR(M2197)),
IF(AND(OR(O2197="En proceso",O2197="facturando"),AND(J2197="-",M2197="")),"Por revisar",
IF(M2197="",IF(J2197="NUEVAS",CONCATENATE("Estado: ",O2197,", ",J2197),
IF(L2197=Meses!$A$3,"Por revisar",
IF(H2197="","Sin registro","En programación Frcst."))),"En programación")))),
"Error")</f>
        <v>En programación Frcst.</v>
      </c>
      <c r="Q2197" s="9" t="str">
        <f t="shared" si="105"/>
        <v/>
      </c>
      <c r="R2197" s="25" t="e">
        <f>IF(P2197="En programación Frcst.",VLOOKUP(L2197,Meses!$A$1:$H$14,3+HLOOKUP(Cronograma!J2197,Meses!$D$1:$G$2,2,FALSE),FALSE),
IF(P2197="En programación",M2197,""))</f>
        <v>#N/A</v>
      </c>
      <c r="S2197" s="25" t="str">
        <f t="shared" si="104"/>
        <v/>
      </c>
      <c r="T2197" s="21" t="str">
        <f>IFERROR(
(VLOOKUP(MONTH(R2197),Meses!$B$3:$C$14,2,FALSE)-DAY(R2197))/VLOOKUP(MONTH(R2197),Meses!$B$3:$C$14,2,FALSE)*U2197,
"")</f>
        <v/>
      </c>
      <c r="U2197" s="22">
        <f t="shared" si="106"/>
        <v>0</v>
      </c>
    </row>
    <row r="2198" spans="1:21" ht="47.4" hidden="1" thickBot="1" x14ac:dyDescent="0.6">
      <c r="A2198" s="10" t="s">
        <v>888</v>
      </c>
      <c r="B2198" s="10" t="s">
        <v>2804</v>
      </c>
      <c r="C2198" s="12">
        <v>45029</v>
      </c>
      <c r="D2198" s="10" t="s">
        <v>323</v>
      </c>
      <c r="E2198" s="10" t="s">
        <v>289</v>
      </c>
      <c r="F2198" s="10"/>
      <c r="G2198" s="10" t="s">
        <v>15</v>
      </c>
      <c r="H2198" s="10" t="s">
        <v>17</v>
      </c>
      <c r="I2198" s="10" t="s">
        <v>66</v>
      </c>
      <c r="J2198" s="10"/>
      <c r="K2198" s="10"/>
      <c r="L2198" s="10"/>
      <c r="M2198" s="12"/>
      <c r="N2198" s="10"/>
      <c r="O2198" s="10" t="s">
        <v>2054</v>
      </c>
      <c r="P2198" s="25" t="str">
        <f>IFERROR(
IF(OR(O2198="anulado",O2198="stand by"),CONCATENATE(O2198,": ",H2198),
IF(OR(YEAR(M2198)=2022,YEAR(M2198)=2023),CONCATENATE("Se activó en ",YEAR(M2198)),
IF(AND(OR(O2198="En proceso",O2198="facturando"),AND(J2198="-",M2198="")),"Por revisar",
IF(M2198="",IF(J2198="NUEVAS",CONCATENATE("Estado: ",O2198,", ",J2198),
IF(L2198=Meses!$A$3,"Por revisar",
IF(H2198="","Sin registro","En programación Frcst."))),"En programación")))),
"Error")</f>
        <v>En programación Frcst.</v>
      </c>
      <c r="Q2198" s="9" t="str">
        <f t="shared" si="105"/>
        <v/>
      </c>
      <c r="R2198" s="25" t="e">
        <f>IF(P2198="En programación Frcst.",VLOOKUP(L2198,Meses!$A$1:$H$14,3+HLOOKUP(Cronograma!J2198,Meses!$D$1:$G$2,2,FALSE),FALSE),
IF(P2198="En programación",M2198,""))</f>
        <v>#N/A</v>
      </c>
      <c r="S2198" s="25" t="str">
        <f t="shared" si="104"/>
        <v/>
      </c>
      <c r="T2198" s="21" t="str">
        <f>IFERROR(
(VLOOKUP(MONTH(R2198),Meses!$B$3:$C$14,2,FALSE)-DAY(R2198))/VLOOKUP(MONTH(R2198),Meses!$B$3:$C$14,2,FALSE)*U2198,
"")</f>
        <v/>
      </c>
      <c r="U2198" s="22">
        <f t="shared" si="106"/>
        <v>0</v>
      </c>
    </row>
    <row r="2199" spans="1:21" ht="47.4" hidden="1" thickBot="1" x14ac:dyDescent="0.6">
      <c r="A2199" s="10" t="s">
        <v>888</v>
      </c>
      <c r="B2199" s="10" t="s">
        <v>2805</v>
      </c>
      <c r="C2199" s="12">
        <v>45029</v>
      </c>
      <c r="D2199" s="10" t="s">
        <v>323</v>
      </c>
      <c r="E2199" s="10" t="s">
        <v>23</v>
      </c>
      <c r="F2199" s="10"/>
      <c r="G2199" s="10" t="s">
        <v>15</v>
      </c>
      <c r="H2199" s="10" t="s">
        <v>17</v>
      </c>
      <c r="I2199" s="10" t="s">
        <v>66</v>
      </c>
      <c r="J2199" s="10"/>
      <c r="K2199" s="10"/>
      <c r="L2199" s="10"/>
      <c r="M2199" s="12"/>
      <c r="N2199" s="10"/>
      <c r="O2199" s="10" t="s">
        <v>2054</v>
      </c>
      <c r="P2199" s="25" t="str">
        <f>IFERROR(
IF(OR(O2199="anulado",O2199="stand by"),CONCATENATE(O2199,": ",H2199),
IF(OR(YEAR(M2199)=2022,YEAR(M2199)=2023),CONCATENATE("Se activó en ",YEAR(M2199)),
IF(AND(OR(O2199="En proceso",O2199="facturando"),AND(J2199="-",M2199="")),"Por revisar",
IF(M2199="",IF(J2199="NUEVAS",CONCATENATE("Estado: ",O2199,", ",J2199),
IF(L2199=Meses!$A$3,"Por revisar",
IF(H2199="","Sin registro","En programación Frcst."))),"En programación")))),
"Error")</f>
        <v>En programación Frcst.</v>
      </c>
      <c r="Q2199" s="9" t="str">
        <f t="shared" si="105"/>
        <v/>
      </c>
      <c r="R2199" s="25" t="e">
        <f>IF(P2199="En programación Frcst.",VLOOKUP(L2199,Meses!$A$1:$H$14,3+HLOOKUP(Cronograma!J2199,Meses!$D$1:$G$2,2,FALSE),FALSE),
IF(P2199="En programación",M2199,""))</f>
        <v>#N/A</v>
      </c>
      <c r="S2199" s="25" t="str">
        <f t="shared" si="104"/>
        <v/>
      </c>
      <c r="T2199" s="21" t="str">
        <f>IFERROR(
(VLOOKUP(MONTH(R2199),Meses!$B$3:$C$14,2,FALSE)-DAY(R2199))/VLOOKUP(MONTH(R2199),Meses!$B$3:$C$14,2,FALSE)*U2199,
"")</f>
        <v/>
      </c>
      <c r="U2199" s="22">
        <f t="shared" si="106"/>
        <v>0</v>
      </c>
    </row>
    <row r="2200" spans="1:21" ht="47.4" hidden="1" thickBot="1" x14ac:dyDescent="0.6">
      <c r="A2200" s="10" t="s">
        <v>888</v>
      </c>
      <c r="B2200" s="10" t="s">
        <v>2806</v>
      </c>
      <c r="C2200" s="12">
        <v>45029</v>
      </c>
      <c r="D2200" s="10" t="s">
        <v>323</v>
      </c>
      <c r="E2200" s="10" t="s">
        <v>233</v>
      </c>
      <c r="F2200" s="10"/>
      <c r="G2200" s="10" t="s">
        <v>15</v>
      </c>
      <c r="H2200" s="10" t="s">
        <v>17</v>
      </c>
      <c r="I2200" s="10" t="s">
        <v>66</v>
      </c>
      <c r="J2200" s="10"/>
      <c r="K2200" s="10"/>
      <c r="L2200" s="10"/>
      <c r="M2200" s="12"/>
      <c r="N2200" s="10"/>
      <c r="O2200" s="10" t="s">
        <v>2054</v>
      </c>
      <c r="P2200" s="25" t="str">
        <f>IFERROR(
IF(OR(O2200="anulado",O2200="stand by"),CONCATENATE(O2200,": ",H2200),
IF(OR(YEAR(M2200)=2022,YEAR(M2200)=2023),CONCATENATE("Se activó en ",YEAR(M2200)),
IF(AND(OR(O2200="En proceso",O2200="facturando"),AND(J2200="-",M2200="")),"Por revisar",
IF(M2200="",IF(J2200="NUEVAS",CONCATENATE("Estado: ",O2200,", ",J2200),
IF(L2200=Meses!$A$3,"Por revisar",
IF(H2200="","Sin registro","En programación Frcst."))),"En programación")))),
"Error")</f>
        <v>En programación Frcst.</v>
      </c>
      <c r="Q2200" s="9" t="str">
        <f t="shared" si="105"/>
        <v/>
      </c>
      <c r="R2200" s="25" t="e">
        <f>IF(P2200="En programación Frcst.",VLOOKUP(L2200,Meses!$A$1:$H$14,3+HLOOKUP(Cronograma!J2200,Meses!$D$1:$G$2,2,FALSE),FALSE),
IF(P2200="En programación",M2200,""))</f>
        <v>#N/A</v>
      </c>
      <c r="S2200" s="25" t="str">
        <f t="shared" si="104"/>
        <v/>
      </c>
      <c r="T2200" s="21" t="str">
        <f>IFERROR(
(VLOOKUP(MONTH(R2200),Meses!$B$3:$C$14,2,FALSE)-DAY(R2200))/VLOOKUP(MONTH(R2200),Meses!$B$3:$C$14,2,FALSE)*U2200,
"")</f>
        <v/>
      </c>
      <c r="U2200" s="22">
        <f t="shared" si="106"/>
        <v>0</v>
      </c>
    </row>
    <row r="2201" spans="1:21" ht="47.4" hidden="1" thickBot="1" x14ac:dyDescent="0.6">
      <c r="A2201" s="10" t="s">
        <v>888</v>
      </c>
      <c r="B2201" s="10" t="s">
        <v>2807</v>
      </c>
      <c r="C2201" s="12">
        <v>45029</v>
      </c>
      <c r="D2201" s="10" t="s">
        <v>323</v>
      </c>
      <c r="E2201" s="10" t="s">
        <v>289</v>
      </c>
      <c r="F2201" s="10"/>
      <c r="G2201" s="10" t="s">
        <v>15</v>
      </c>
      <c r="H2201" s="10" t="s">
        <v>17</v>
      </c>
      <c r="I2201" s="10" t="s">
        <v>66</v>
      </c>
      <c r="J2201" s="10"/>
      <c r="K2201" s="10"/>
      <c r="L2201" s="10"/>
      <c r="M2201" s="12"/>
      <c r="N2201" s="10"/>
      <c r="O2201" s="10" t="s">
        <v>2054</v>
      </c>
      <c r="P2201" s="25" t="str">
        <f>IFERROR(
IF(OR(O2201="anulado",O2201="stand by"),CONCATENATE(O2201,": ",H2201),
IF(OR(YEAR(M2201)=2022,YEAR(M2201)=2023),CONCATENATE("Se activó en ",YEAR(M2201)),
IF(AND(OR(O2201="En proceso",O2201="facturando"),AND(J2201="-",M2201="")),"Por revisar",
IF(M2201="",IF(J2201="NUEVAS",CONCATENATE("Estado: ",O2201,", ",J2201),
IF(L2201=Meses!$A$3,"Por revisar",
IF(H2201="","Sin registro","En programación Frcst."))),"En programación")))),
"Error")</f>
        <v>En programación Frcst.</v>
      </c>
      <c r="Q2201" s="9" t="str">
        <f t="shared" si="105"/>
        <v/>
      </c>
      <c r="R2201" s="25" t="e">
        <f>IF(P2201="En programación Frcst.",VLOOKUP(L2201,Meses!$A$1:$H$14,3+HLOOKUP(Cronograma!J2201,Meses!$D$1:$G$2,2,FALSE),FALSE),
IF(P2201="En programación",M2201,""))</f>
        <v>#N/A</v>
      </c>
      <c r="S2201" s="25" t="str">
        <f t="shared" si="104"/>
        <v/>
      </c>
      <c r="T2201" s="21" t="str">
        <f>IFERROR(
(VLOOKUP(MONTH(R2201),Meses!$B$3:$C$14,2,FALSE)-DAY(R2201))/VLOOKUP(MONTH(R2201),Meses!$B$3:$C$14,2,FALSE)*U2201,
"")</f>
        <v/>
      </c>
      <c r="U2201" s="22">
        <f t="shared" si="106"/>
        <v>0</v>
      </c>
    </row>
    <row r="2202" spans="1:21" ht="47.4" hidden="1" thickBot="1" x14ac:dyDescent="0.6">
      <c r="A2202" s="10" t="s">
        <v>888</v>
      </c>
      <c r="B2202" s="10" t="s">
        <v>2808</v>
      </c>
      <c r="C2202" s="12">
        <v>45029</v>
      </c>
      <c r="D2202" s="10" t="s">
        <v>323</v>
      </c>
      <c r="E2202" s="10" t="s">
        <v>291</v>
      </c>
      <c r="F2202" s="10"/>
      <c r="G2202" s="10" t="s">
        <v>15</v>
      </c>
      <c r="H2202" s="10" t="s">
        <v>17</v>
      </c>
      <c r="I2202" s="10" t="s">
        <v>66</v>
      </c>
      <c r="J2202" s="10"/>
      <c r="K2202" s="10"/>
      <c r="L2202" s="10"/>
      <c r="M2202" s="12"/>
      <c r="N2202" s="10"/>
      <c r="O2202" s="10" t="s">
        <v>2054</v>
      </c>
      <c r="P2202" s="25" t="str">
        <f>IFERROR(
IF(OR(O2202="anulado",O2202="stand by"),CONCATENATE(O2202,": ",H2202),
IF(OR(YEAR(M2202)=2022,YEAR(M2202)=2023),CONCATENATE("Se activó en ",YEAR(M2202)),
IF(AND(OR(O2202="En proceso",O2202="facturando"),AND(J2202="-",M2202="")),"Por revisar",
IF(M2202="",IF(J2202="NUEVAS",CONCATENATE("Estado: ",O2202,", ",J2202),
IF(L2202=Meses!$A$3,"Por revisar",
IF(H2202="","Sin registro","En programación Frcst."))),"En programación")))),
"Error")</f>
        <v>En programación Frcst.</v>
      </c>
      <c r="Q2202" s="9" t="str">
        <f t="shared" si="105"/>
        <v/>
      </c>
      <c r="R2202" s="25" t="e">
        <f>IF(P2202="En programación Frcst.",VLOOKUP(L2202,Meses!$A$1:$H$14,3+HLOOKUP(Cronograma!J2202,Meses!$D$1:$G$2,2,FALSE),FALSE),
IF(P2202="En programación",M2202,""))</f>
        <v>#N/A</v>
      </c>
      <c r="S2202" s="25" t="str">
        <f t="shared" si="104"/>
        <v/>
      </c>
      <c r="T2202" s="21" t="str">
        <f>IFERROR(
(VLOOKUP(MONTH(R2202),Meses!$B$3:$C$14,2,FALSE)-DAY(R2202))/VLOOKUP(MONTH(R2202),Meses!$B$3:$C$14,2,FALSE)*U2202,
"")</f>
        <v/>
      </c>
      <c r="U2202" s="22">
        <f t="shared" si="106"/>
        <v>0</v>
      </c>
    </row>
    <row r="2203" spans="1:21" ht="47.4" hidden="1" thickBot="1" x14ac:dyDescent="0.6">
      <c r="A2203" s="10" t="s">
        <v>888</v>
      </c>
      <c r="B2203" s="10" t="s">
        <v>2809</v>
      </c>
      <c r="C2203" s="12">
        <v>45029</v>
      </c>
      <c r="D2203" s="10" t="s">
        <v>323</v>
      </c>
      <c r="E2203" s="10" t="s">
        <v>289</v>
      </c>
      <c r="F2203" s="10"/>
      <c r="G2203" s="10" t="s">
        <v>15</v>
      </c>
      <c r="H2203" s="10" t="s">
        <v>17</v>
      </c>
      <c r="I2203" s="10" t="s">
        <v>66</v>
      </c>
      <c r="J2203" s="10"/>
      <c r="K2203" s="10"/>
      <c r="L2203" s="10"/>
      <c r="M2203" s="12"/>
      <c r="N2203" s="10"/>
      <c r="O2203" s="10" t="s">
        <v>2054</v>
      </c>
      <c r="P2203" s="25" t="str">
        <f>IFERROR(
IF(OR(O2203="anulado",O2203="stand by"),CONCATENATE(O2203,": ",H2203),
IF(OR(YEAR(M2203)=2022,YEAR(M2203)=2023),CONCATENATE("Se activó en ",YEAR(M2203)),
IF(AND(OR(O2203="En proceso",O2203="facturando"),AND(J2203="-",M2203="")),"Por revisar",
IF(M2203="",IF(J2203="NUEVAS",CONCATENATE("Estado: ",O2203,", ",J2203),
IF(L2203=Meses!$A$3,"Por revisar",
IF(H2203="","Sin registro","En programación Frcst."))),"En programación")))),
"Error")</f>
        <v>En programación Frcst.</v>
      </c>
      <c r="Q2203" s="9" t="str">
        <f t="shared" si="105"/>
        <v/>
      </c>
      <c r="R2203" s="25" t="e">
        <f>IF(P2203="En programación Frcst.",VLOOKUP(L2203,Meses!$A$1:$H$14,3+HLOOKUP(Cronograma!J2203,Meses!$D$1:$G$2,2,FALSE),FALSE),
IF(P2203="En programación",M2203,""))</f>
        <v>#N/A</v>
      </c>
      <c r="S2203" s="25" t="str">
        <f t="shared" si="104"/>
        <v/>
      </c>
      <c r="T2203" s="21" t="str">
        <f>IFERROR(
(VLOOKUP(MONTH(R2203),Meses!$B$3:$C$14,2,FALSE)-DAY(R2203))/VLOOKUP(MONTH(R2203),Meses!$B$3:$C$14,2,FALSE)*U2203,
"")</f>
        <v/>
      </c>
      <c r="U2203" s="22">
        <f t="shared" si="106"/>
        <v>0</v>
      </c>
    </row>
    <row r="2204" spans="1:21" ht="47.4" hidden="1" thickBot="1" x14ac:dyDescent="0.6">
      <c r="A2204" s="10" t="s">
        <v>888</v>
      </c>
      <c r="B2204" s="10" t="s">
        <v>2810</v>
      </c>
      <c r="C2204" s="12">
        <v>45029</v>
      </c>
      <c r="D2204" s="10" t="s">
        <v>323</v>
      </c>
      <c r="E2204" s="10" t="s">
        <v>289</v>
      </c>
      <c r="F2204" s="10"/>
      <c r="G2204" s="10" t="s">
        <v>15</v>
      </c>
      <c r="H2204" s="10" t="s">
        <v>17</v>
      </c>
      <c r="I2204" s="10" t="s">
        <v>66</v>
      </c>
      <c r="J2204" s="10"/>
      <c r="K2204" s="10"/>
      <c r="L2204" s="10"/>
      <c r="M2204" s="12"/>
      <c r="N2204" s="10"/>
      <c r="O2204" s="10" t="s">
        <v>2054</v>
      </c>
      <c r="P2204" s="25" t="str">
        <f>IFERROR(
IF(OR(O2204="anulado",O2204="stand by"),CONCATENATE(O2204,": ",H2204),
IF(OR(YEAR(M2204)=2022,YEAR(M2204)=2023),CONCATENATE("Se activó en ",YEAR(M2204)),
IF(AND(OR(O2204="En proceso",O2204="facturando"),AND(J2204="-",M2204="")),"Por revisar",
IF(M2204="",IF(J2204="NUEVAS",CONCATENATE("Estado: ",O2204,", ",J2204),
IF(L2204=Meses!$A$3,"Por revisar",
IF(H2204="","Sin registro","En programación Frcst."))),"En programación")))),
"Error")</f>
        <v>En programación Frcst.</v>
      </c>
      <c r="Q2204" s="9" t="str">
        <f t="shared" si="105"/>
        <v/>
      </c>
      <c r="R2204" s="25" t="e">
        <f>IF(P2204="En programación Frcst.",VLOOKUP(L2204,Meses!$A$1:$H$14,3+HLOOKUP(Cronograma!J2204,Meses!$D$1:$G$2,2,FALSE),FALSE),
IF(P2204="En programación",M2204,""))</f>
        <v>#N/A</v>
      </c>
      <c r="S2204" s="25" t="str">
        <f t="shared" si="104"/>
        <v/>
      </c>
      <c r="T2204" s="21" t="str">
        <f>IFERROR(
(VLOOKUP(MONTH(R2204),Meses!$B$3:$C$14,2,FALSE)-DAY(R2204))/VLOOKUP(MONTH(R2204),Meses!$B$3:$C$14,2,FALSE)*U2204,
"")</f>
        <v/>
      </c>
      <c r="U2204" s="22">
        <f t="shared" si="106"/>
        <v>0</v>
      </c>
    </row>
    <row r="2205" spans="1:21" ht="47.4" hidden="1" thickBot="1" x14ac:dyDescent="0.6">
      <c r="A2205" s="10" t="s">
        <v>888</v>
      </c>
      <c r="B2205" s="10" t="s">
        <v>2811</v>
      </c>
      <c r="C2205" s="12">
        <v>45029</v>
      </c>
      <c r="D2205" s="10" t="s">
        <v>323</v>
      </c>
      <c r="E2205" s="10" t="s">
        <v>959</v>
      </c>
      <c r="F2205" s="10"/>
      <c r="G2205" s="10" t="s">
        <v>15</v>
      </c>
      <c r="H2205" s="10" t="s">
        <v>17</v>
      </c>
      <c r="I2205" s="10" t="s">
        <v>66</v>
      </c>
      <c r="J2205" s="10"/>
      <c r="K2205" s="10"/>
      <c r="L2205" s="10"/>
      <c r="M2205" s="12"/>
      <c r="N2205" s="10"/>
      <c r="O2205" s="10" t="s">
        <v>2054</v>
      </c>
      <c r="P2205" s="25" t="str">
        <f>IFERROR(
IF(OR(O2205="anulado",O2205="stand by"),CONCATENATE(O2205,": ",H2205),
IF(OR(YEAR(M2205)=2022,YEAR(M2205)=2023),CONCATENATE("Se activó en ",YEAR(M2205)),
IF(AND(OR(O2205="En proceso",O2205="facturando"),AND(J2205="-",M2205="")),"Por revisar",
IF(M2205="",IF(J2205="NUEVAS",CONCATENATE("Estado: ",O2205,", ",J2205),
IF(L2205=Meses!$A$3,"Por revisar",
IF(H2205="","Sin registro","En programación Frcst."))),"En programación")))),
"Error")</f>
        <v>En programación Frcst.</v>
      </c>
      <c r="Q2205" s="9" t="str">
        <f t="shared" si="105"/>
        <v/>
      </c>
      <c r="R2205" s="25" t="e">
        <f>IF(P2205="En programación Frcst.",VLOOKUP(L2205,Meses!$A$1:$H$14,3+HLOOKUP(Cronograma!J2205,Meses!$D$1:$G$2,2,FALSE),FALSE),
IF(P2205="En programación",M2205,""))</f>
        <v>#N/A</v>
      </c>
      <c r="S2205" s="25" t="str">
        <f t="shared" si="104"/>
        <v/>
      </c>
      <c r="T2205" s="21" t="str">
        <f>IFERROR(
(VLOOKUP(MONTH(R2205),Meses!$B$3:$C$14,2,FALSE)-DAY(R2205))/VLOOKUP(MONTH(R2205),Meses!$B$3:$C$14,2,FALSE)*U2205,
"")</f>
        <v/>
      </c>
      <c r="U2205" s="22">
        <f t="shared" si="106"/>
        <v>0</v>
      </c>
    </row>
    <row r="2206" spans="1:21" ht="47.4" hidden="1" thickBot="1" x14ac:dyDescent="0.6">
      <c r="A2206" s="10" t="s">
        <v>888</v>
      </c>
      <c r="B2206" s="10" t="s">
        <v>2812</v>
      </c>
      <c r="C2206" s="12">
        <v>45029</v>
      </c>
      <c r="D2206" s="10" t="s">
        <v>323</v>
      </c>
      <c r="E2206" s="10" t="s">
        <v>233</v>
      </c>
      <c r="F2206" s="10"/>
      <c r="G2206" s="10" t="s">
        <v>15</v>
      </c>
      <c r="H2206" s="10" t="s">
        <v>17</v>
      </c>
      <c r="I2206" s="10" t="s">
        <v>66</v>
      </c>
      <c r="J2206" s="10"/>
      <c r="K2206" s="10"/>
      <c r="L2206" s="10"/>
      <c r="M2206" s="12"/>
      <c r="N2206" s="10"/>
      <c r="O2206" s="10" t="s">
        <v>2054</v>
      </c>
      <c r="P2206" s="25" t="str">
        <f>IFERROR(
IF(OR(O2206="anulado",O2206="stand by"),CONCATENATE(O2206,": ",H2206),
IF(OR(YEAR(M2206)=2022,YEAR(M2206)=2023),CONCATENATE("Se activó en ",YEAR(M2206)),
IF(AND(OR(O2206="En proceso",O2206="facturando"),AND(J2206="-",M2206="")),"Por revisar",
IF(M2206="",IF(J2206="NUEVAS",CONCATENATE("Estado: ",O2206,", ",J2206),
IF(L2206=Meses!$A$3,"Por revisar",
IF(H2206="","Sin registro","En programación Frcst."))),"En programación")))),
"Error")</f>
        <v>En programación Frcst.</v>
      </c>
      <c r="Q2206" s="9" t="str">
        <f t="shared" si="105"/>
        <v/>
      </c>
      <c r="R2206" s="25" t="e">
        <f>IF(P2206="En programación Frcst.",VLOOKUP(L2206,Meses!$A$1:$H$14,3+HLOOKUP(Cronograma!J2206,Meses!$D$1:$G$2,2,FALSE),FALSE),
IF(P2206="En programación",M2206,""))</f>
        <v>#N/A</v>
      </c>
      <c r="S2206" s="25" t="str">
        <f t="shared" si="104"/>
        <v/>
      </c>
      <c r="T2206" s="21" t="str">
        <f>IFERROR(
(VLOOKUP(MONTH(R2206),Meses!$B$3:$C$14,2,FALSE)-DAY(R2206))/VLOOKUP(MONTH(R2206),Meses!$B$3:$C$14,2,FALSE)*U2206,
"")</f>
        <v/>
      </c>
      <c r="U2206" s="22">
        <f t="shared" si="106"/>
        <v>0</v>
      </c>
    </row>
    <row r="2207" spans="1:21" ht="47.4" hidden="1" thickBot="1" x14ac:dyDescent="0.6">
      <c r="A2207" s="10" t="s">
        <v>888</v>
      </c>
      <c r="B2207" s="10" t="s">
        <v>2813</v>
      </c>
      <c r="C2207" s="12">
        <v>45029</v>
      </c>
      <c r="D2207" s="10" t="s">
        <v>323</v>
      </c>
      <c r="E2207" s="10" t="s">
        <v>233</v>
      </c>
      <c r="F2207" s="10"/>
      <c r="G2207" s="10" t="s">
        <v>15</v>
      </c>
      <c r="H2207" s="10" t="s">
        <v>17</v>
      </c>
      <c r="I2207" s="10" t="s">
        <v>66</v>
      </c>
      <c r="J2207" s="10"/>
      <c r="K2207" s="10"/>
      <c r="L2207" s="10"/>
      <c r="M2207" s="12"/>
      <c r="N2207" s="10"/>
      <c r="O2207" s="10" t="s">
        <v>2054</v>
      </c>
      <c r="P2207" s="25" t="str">
        <f>IFERROR(
IF(OR(O2207="anulado",O2207="stand by"),CONCATENATE(O2207,": ",H2207),
IF(OR(YEAR(M2207)=2022,YEAR(M2207)=2023),CONCATENATE("Se activó en ",YEAR(M2207)),
IF(AND(OR(O2207="En proceso",O2207="facturando"),AND(J2207="-",M2207="")),"Por revisar",
IF(M2207="",IF(J2207="NUEVAS",CONCATENATE("Estado: ",O2207,", ",J2207),
IF(L2207=Meses!$A$3,"Por revisar",
IF(H2207="","Sin registro","En programación Frcst."))),"En programación")))),
"Error")</f>
        <v>En programación Frcst.</v>
      </c>
      <c r="Q2207" s="9" t="str">
        <f t="shared" si="105"/>
        <v/>
      </c>
      <c r="R2207" s="25" t="e">
        <f>IF(P2207="En programación Frcst.",VLOOKUP(L2207,Meses!$A$1:$H$14,3+HLOOKUP(Cronograma!J2207,Meses!$D$1:$G$2,2,FALSE),FALSE),
IF(P2207="En programación",M2207,""))</f>
        <v>#N/A</v>
      </c>
      <c r="S2207" s="25" t="str">
        <f t="shared" si="104"/>
        <v/>
      </c>
      <c r="T2207" s="21" t="str">
        <f>IFERROR(
(VLOOKUP(MONTH(R2207),Meses!$B$3:$C$14,2,FALSE)-DAY(R2207))/VLOOKUP(MONTH(R2207),Meses!$B$3:$C$14,2,FALSE)*U2207,
"")</f>
        <v/>
      </c>
      <c r="U2207" s="22">
        <f t="shared" si="106"/>
        <v>0</v>
      </c>
    </row>
    <row r="2208" spans="1:21" ht="47.4" hidden="1" thickBot="1" x14ac:dyDescent="0.6">
      <c r="A2208" s="10" t="s">
        <v>888</v>
      </c>
      <c r="B2208" s="10" t="s">
        <v>2814</v>
      </c>
      <c r="C2208" s="12">
        <v>45029</v>
      </c>
      <c r="D2208" s="10" t="s">
        <v>323</v>
      </c>
      <c r="E2208" s="10" t="s">
        <v>233</v>
      </c>
      <c r="F2208" s="10"/>
      <c r="G2208" s="10" t="s">
        <v>15</v>
      </c>
      <c r="H2208" s="10" t="s">
        <v>17</v>
      </c>
      <c r="I2208" s="10" t="s">
        <v>66</v>
      </c>
      <c r="J2208" s="10"/>
      <c r="K2208" s="10"/>
      <c r="L2208" s="10"/>
      <c r="M2208" s="12"/>
      <c r="N2208" s="10"/>
      <c r="O2208" s="10" t="s">
        <v>2054</v>
      </c>
      <c r="P2208" s="25" t="str">
        <f>IFERROR(
IF(OR(O2208="anulado",O2208="stand by"),CONCATENATE(O2208,": ",H2208),
IF(OR(YEAR(M2208)=2022,YEAR(M2208)=2023),CONCATENATE("Se activó en ",YEAR(M2208)),
IF(AND(OR(O2208="En proceso",O2208="facturando"),AND(J2208="-",M2208="")),"Por revisar",
IF(M2208="",IF(J2208="NUEVAS",CONCATENATE("Estado: ",O2208,", ",J2208),
IF(L2208=Meses!$A$3,"Por revisar",
IF(H2208="","Sin registro","En programación Frcst."))),"En programación")))),
"Error")</f>
        <v>En programación Frcst.</v>
      </c>
      <c r="Q2208" s="9" t="str">
        <f t="shared" si="105"/>
        <v/>
      </c>
      <c r="R2208" s="25" t="e">
        <f>IF(P2208="En programación Frcst.",VLOOKUP(L2208,Meses!$A$1:$H$14,3+HLOOKUP(Cronograma!J2208,Meses!$D$1:$G$2,2,FALSE),FALSE),
IF(P2208="En programación",M2208,""))</f>
        <v>#N/A</v>
      </c>
      <c r="S2208" s="25" t="str">
        <f t="shared" si="104"/>
        <v/>
      </c>
      <c r="T2208" s="21" t="str">
        <f>IFERROR(
(VLOOKUP(MONTH(R2208),Meses!$B$3:$C$14,2,FALSE)-DAY(R2208))/VLOOKUP(MONTH(R2208),Meses!$B$3:$C$14,2,FALSE)*U2208,
"")</f>
        <v/>
      </c>
      <c r="U2208" s="22">
        <f t="shared" si="106"/>
        <v>0</v>
      </c>
    </row>
    <row r="2209" spans="1:21" ht="47.4" hidden="1" thickBot="1" x14ac:dyDescent="0.6">
      <c r="A2209" s="10" t="s">
        <v>888</v>
      </c>
      <c r="B2209" s="10" t="s">
        <v>2815</v>
      </c>
      <c r="C2209" s="12">
        <v>45029</v>
      </c>
      <c r="D2209" s="10" t="s">
        <v>323</v>
      </c>
      <c r="E2209" s="10" t="s">
        <v>677</v>
      </c>
      <c r="F2209" s="10"/>
      <c r="G2209" s="10" t="s">
        <v>15</v>
      </c>
      <c r="H2209" s="10" t="s">
        <v>17</v>
      </c>
      <c r="I2209" s="10" t="s">
        <v>66</v>
      </c>
      <c r="J2209" s="10"/>
      <c r="K2209" s="10"/>
      <c r="L2209" s="10"/>
      <c r="M2209" s="12"/>
      <c r="N2209" s="10"/>
      <c r="O2209" s="10" t="s">
        <v>2054</v>
      </c>
      <c r="P2209" s="25" t="str">
        <f>IFERROR(
IF(OR(O2209="anulado",O2209="stand by"),CONCATENATE(O2209,": ",H2209),
IF(OR(YEAR(M2209)=2022,YEAR(M2209)=2023),CONCATENATE("Se activó en ",YEAR(M2209)),
IF(AND(OR(O2209="En proceso",O2209="facturando"),AND(J2209="-",M2209="")),"Por revisar",
IF(M2209="",IF(J2209="NUEVAS",CONCATENATE("Estado: ",O2209,", ",J2209),
IF(L2209=Meses!$A$3,"Por revisar",
IF(H2209="","Sin registro","En programación Frcst."))),"En programación")))),
"Error")</f>
        <v>En programación Frcst.</v>
      </c>
      <c r="Q2209" s="9" t="str">
        <f t="shared" si="105"/>
        <v/>
      </c>
      <c r="R2209" s="25" t="e">
        <f>IF(P2209="En programación Frcst.",VLOOKUP(L2209,Meses!$A$1:$H$14,3+HLOOKUP(Cronograma!J2209,Meses!$D$1:$G$2,2,FALSE),FALSE),
IF(P2209="En programación",M2209,""))</f>
        <v>#N/A</v>
      </c>
      <c r="S2209" s="25" t="str">
        <f t="shared" si="104"/>
        <v/>
      </c>
      <c r="T2209" s="21" t="str">
        <f>IFERROR(
(VLOOKUP(MONTH(R2209),Meses!$B$3:$C$14,2,FALSE)-DAY(R2209))/VLOOKUP(MONTH(R2209),Meses!$B$3:$C$14,2,FALSE)*U2209,
"")</f>
        <v/>
      </c>
      <c r="U2209" s="22">
        <f t="shared" si="106"/>
        <v>0</v>
      </c>
    </row>
    <row r="2210" spans="1:21" ht="47.4" hidden="1" thickBot="1" x14ac:dyDescent="0.6">
      <c r="A2210" s="10" t="s">
        <v>888</v>
      </c>
      <c r="B2210" s="10" t="s">
        <v>2816</v>
      </c>
      <c r="C2210" s="12">
        <v>45029</v>
      </c>
      <c r="D2210" s="10" t="s">
        <v>323</v>
      </c>
      <c r="E2210" s="10" t="s">
        <v>677</v>
      </c>
      <c r="F2210" s="10"/>
      <c r="G2210" s="10" t="s">
        <v>15</v>
      </c>
      <c r="H2210" s="10" t="s">
        <v>17</v>
      </c>
      <c r="I2210" s="10" t="s">
        <v>66</v>
      </c>
      <c r="J2210" s="10"/>
      <c r="K2210" s="10"/>
      <c r="L2210" s="10"/>
      <c r="M2210" s="12"/>
      <c r="N2210" s="10"/>
      <c r="O2210" s="10" t="s">
        <v>2054</v>
      </c>
      <c r="P2210" s="25" t="str">
        <f>IFERROR(
IF(OR(O2210="anulado",O2210="stand by"),CONCATENATE(O2210,": ",H2210),
IF(OR(YEAR(M2210)=2022,YEAR(M2210)=2023),CONCATENATE("Se activó en ",YEAR(M2210)),
IF(AND(OR(O2210="En proceso",O2210="facturando"),AND(J2210="-",M2210="")),"Por revisar",
IF(M2210="",IF(J2210="NUEVAS",CONCATENATE("Estado: ",O2210,", ",J2210),
IF(L2210=Meses!$A$3,"Por revisar",
IF(H2210="","Sin registro","En programación Frcst."))),"En programación")))),
"Error")</f>
        <v>En programación Frcst.</v>
      </c>
      <c r="Q2210" s="9" t="str">
        <f t="shared" si="105"/>
        <v/>
      </c>
      <c r="R2210" s="25" t="e">
        <f>IF(P2210="En programación Frcst.",VLOOKUP(L2210,Meses!$A$1:$H$14,3+HLOOKUP(Cronograma!J2210,Meses!$D$1:$G$2,2,FALSE),FALSE),
IF(P2210="En programación",M2210,""))</f>
        <v>#N/A</v>
      </c>
      <c r="S2210" s="25" t="str">
        <f t="shared" si="104"/>
        <v/>
      </c>
      <c r="T2210" s="21" t="str">
        <f>IFERROR(
(VLOOKUP(MONTH(R2210),Meses!$B$3:$C$14,2,FALSE)-DAY(R2210))/VLOOKUP(MONTH(R2210),Meses!$B$3:$C$14,2,FALSE)*U2210,
"")</f>
        <v/>
      </c>
      <c r="U2210" s="22">
        <f t="shared" si="106"/>
        <v>0</v>
      </c>
    </row>
    <row r="2211" spans="1:21" ht="47.4" hidden="1" thickBot="1" x14ac:dyDescent="0.6">
      <c r="A2211" s="10" t="s">
        <v>888</v>
      </c>
      <c r="B2211" s="10" t="s">
        <v>2817</v>
      </c>
      <c r="C2211" s="12">
        <v>45029</v>
      </c>
      <c r="D2211" s="10" t="s">
        <v>323</v>
      </c>
      <c r="E2211" s="10" t="s">
        <v>677</v>
      </c>
      <c r="F2211" s="10"/>
      <c r="G2211" s="10" t="s">
        <v>15</v>
      </c>
      <c r="H2211" s="10" t="s">
        <v>17</v>
      </c>
      <c r="I2211" s="10" t="s">
        <v>66</v>
      </c>
      <c r="J2211" s="10"/>
      <c r="K2211" s="10"/>
      <c r="L2211" s="10"/>
      <c r="M2211" s="12"/>
      <c r="N2211" s="10"/>
      <c r="O2211" s="10" t="s">
        <v>2054</v>
      </c>
      <c r="P2211" s="25" t="str">
        <f>IFERROR(
IF(OR(O2211="anulado",O2211="stand by"),CONCATENATE(O2211,": ",H2211),
IF(OR(YEAR(M2211)=2022,YEAR(M2211)=2023),CONCATENATE("Se activó en ",YEAR(M2211)),
IF(AND(OR(O2211="En proceso",O2211="facturando"),AND(J2211="-",M2211="")),"Por revisar",
IF(M2211="",IF(J2211="NUEVAS",CONCATENATE("Estado: ",O2211,", ",J2211),
IF(L2211=Meses!$A$3,"Por revisar",
IF(H2211="","Sin registro","En programación Frcst."))),"En programación")))),
"Error")</f>
        <v>En programación Frcst.</v>
      </c>
      <c r="Q2211" s="9" t="str">
        <f t="shared" si="105"/>
        <v/>
      </c>
      <c r="R2211" s="25" t="e">
        <f>IF(P2211="En programación Frcst.",VLOOKUP(L2211,Meses!$A$1:$H$14,3+HLOOKUP(Cronograma!J2211,Meses!$D$1:$G$2,2,FALSE),FALSE),
IF(P2211="En programación",M2211,""))</f>
        <v>#N/A</v>
      </c>
      <c r="S2211" s="25" t="str">
        <f t="shared" si="104"/>
        <v/>
      </c>
      <c r="T2211" s="21" t="str">
        <f>IFERROR(
(VLOOKUP(MONTH(R2211),Meses!$B$3:$C$14,2,FALSE)-DAY(R2211))/VLOOKUP(MONTH(R2211),Meses!$B$3:$C$14,2,FALSE)*U2211,
"")</f>
        <v/>
      </c>
      <c r="U2211" s="22">
        <f t="shared" si="106"/>
        <v>0</v>
      </c>
    </row>
    <row r="2212" spans="1:21" ht="47.4" hidden="1" thickBot="1" x14ac:dyDescent="0.6">
      <c r="A2212" s="10" t="s">
        <v>3126</v>
      </c>
      <c r="B2212" s="10" t="s">
        <v>2818</v>
      </c>
      <c r="C2212" s="12">
        <v>45029</v>
      </c>
      <c r="D2212" s="10" t="s">
        <v>323</v>
      </c>
      <c r="E2212" s="10" t="s">
        <v>289</v>
      </c>
      <c r="F2212" s="10"/>
      <c r="G2212" s="10" t="s">
        <v>15</v>
      </c>
      <c r="H2212" s="10" t="s">
        <v>17</v>
      </c>
      <c r="I2212" s="10" t="s">
        <v>66</v>
      </c>
      <c r="J2212" s="10"/>
      <c r="K2212" s="10"/>
      <c r="L2212" s="10"/>
      <c r="M2212" s="12"/>
      <c r="N2212" s="10"/>
      <c r="O2212" s="10" t="s">
        <v>2054</v>
      </c>
      <c r="P2212" s="25" t="str">
        <f>IFERROR(
IF(OR(O2212="anulado",O2212="stand by"),CONCATENATE(O2212,": ",H2212),
IF(OR(YEAR(M2212)=2022,YEAR(M2212)=2023),CONCATENATE("Se activó en ",YEAR(M2212)),
IF(AND(OR(O2212="En proceso",O2212="facturando"),AND(J2212="-",M2212="")),"Por revisar",
IF(M2212="",IF(J2212="NUEVAS",CONCATENATE("Estado: ",O2212,", ",J2212),
IF(L2212=Meses!$A$3,"Por revisar",
IF(H2212="","Sin registro","En programación Frcst."))),"En programación")))),
"Error")</f>
        <v>En programación Frcst.</v>
      </c>
      <c r="Q2212" s="9" t="str">
        <f t="shared" si="105"/>
        <v/>
      </c>
      <c r="R2212" s="25" t="e">
        <f>IF(P2212="En programación Frcst.",VLOOKUP(L2212,Meses!$A$1:$H$14,3+HLOOKUP(Cronograma!J2212,Meses!$D$1:$G$2,2,FALSE),FALSE),
IF(P2212="En programación",M2212,""))</f>
        <v>#N/A</v>
      </c>
      <c r="S2212" s="25" t="str">
        <f t="shared" si="104"/>
        <v/>
      </c>
      <c r="T2212" s="21" t="str">
        <f>IFERROR(
(VLOOKUP(MONTH(R2212),Meses!$B$3:$C$14,2,FALSE)-DAY(R2212))/VLOOKUP(MONTH(R2212),Meses!$B$3:$C$14,2,FALSE)*U2212,
"")</f>
        <v/>
      </c>
      <c r="U2212" s="22">
        <f t="shared" si="106"/>
        <v>0</v>
      </c>
    </row>
    <row r="2213" spans="1:21" ht="47.4" hidden="1" thickBot="1" x14ac:dyDescent="0.6">
      <c r="A2213" s="10" t="s">
        <v>3126</v>
      </c>
      <c r="B2213" s="10" t="s">
        <v>2819</v>
      </c>
      <c r="C2213" s="12">
        <v>45029</v>
      </c>
      <c r="D2213" s="10" t="s">
        <v>323</v>
      </c>
      <c r="E2213" s="10" t="s">
        <v>289</v>
      </c>
      <c r="F2213" s="10"/>
      <c r="G2213" s="10" t="s">
        <v>15</v>
      </c>
      <c r="H2213" s="10" t="s">
        <v>17</v>
      </c>
      <c r="I2213" s="10" t="s">
        <v>66</v>
      </c>
      <c r="J2213" s="10"/>
      <c r="K2213" s="10"/>
      <c r="L2213" s="10"/>
      <c r="M2213" s="12"/>
      <c r="N2213" s="10"/>
      <c r="O2213" s="10" t="s">
        <v>2054</v>
      </c>
      <c r="P2213" s="25" t="str">
        <f>IFERROR(
IF(OR(O2213="anulado",O2213="stand by"),CONCATENATE(O2213,": ",H2213),
IF(OR(YEAR(M2213)=2022,YEAR(M2213)=2023),CONCATENATE("Se activó en ",YEAR(M2213)),
IF(AND(OR(O2213="En proceso",O2213="facturando"),AND(J2213="-",M2213="")),"Por revisar",
IF(M2213="",IF(J2213="NUEVAS",CONCATENATE("Estado: ",O2213,", ",J2213),
IF(L2213=Meses!$A$3,"Por revisar",
IF(H2213="","Sin registro","En programación Frcst."))),"En programación")))),
"Error")</f>
        <v>En programación Frcst.</v>
      </c>
      <c r="Q2213" s="9" t="str">
        <f t="shared" si="105"/>
        <v/>
      </c>
      <c r="R2213" s="25" t="e">
        <f>IF(P2213="En programación Frcst.",VLOOKUP(L2213,Meses!$A$1:$H$14,3+HLOOKUP(Cronograma!J2213,Meses!$D$1:$G$2,2,FALSE),FALSE),
IF(P2213="En programación",M2213,""))</f>
        <v>#N/A</v>
      </c>
      <c r="S2213" s="25" t="str">
        <f t="shared" si="104"/>
        <v/>
      </c>
      <c r="T2213" s="21" t="str">
        <f>IFERROR(
(VLOOKUP(MONTH(R2213),Meses!$B$3:$C$14,2,FALSE)-DAY(R2213))/VLOOKUP(MONTH(R2213),Meses!$B$3:$C$14,2,FALSE)*U2213,
"")</f>
        <v/>
      </c>
      <c r="U2213" s="22">
        <f t="shared" si="106"/>
        <v>0</v>
      </c>
    </row>
    <row r="2214" spans="1:21" ht="47.4" hidden="1" thickBot="1" x14ac:dyDescent="0.6">
      <c r="A2214" s="10" t="s">
        <v>3126</v>
      </c>
      <c r="B2214" s="10" t="s">
        <v>2820</v>
      </c>
      <c r="C2214" s="12">
        <v>45029</v>
      </c>
      <c r="D2214" s="10" t="s">
        <v>323</v>
      </c>
      <c r="E2214" s="10" t="s">
        <v>289</v>
      </c>
      <c r="F2214" s="10"/>
      <c r="G2214" s="10" t="s">
        <v>15</v>
      </c>
      <c r="H2214" s="10" t="s">
        <v>17</v>
      </c>
      <c r="I2214" s="10" t="s">
        <v>66</v>
      </c>
      <c r="J2214" s="10"/>
      <c r="K2214" s="10"/>
      <c r="L2214" s="10"/>
      <c r="M2214" s="12"/>
      <c r="N2214" s="10"/>
      <c r="O2214" s="10" t="s">
        <v>2054</v>
      </c>
      <c r="P2214" s="25" t="str">
        <f>IFERROR(
IF(OR(O2214="anulado",O2214="stand by"),CONCATENATE(O2214,": ",H2214),
IF(OR(YEAR(M2214)=2022,YEAR(M2214)=2023),CONCATENATE("Se activó en ",YEAR(M2214)),
IF(AND(OR(O2214="En proceso",O2214="facturando"),AND(J2214="-",M2214="")),"Por revisar",
IF(M2214="",IF(J2214="NUEVAS",CONCATENATE("Estado: ",O2214,", ",J2214),
IF(L2214=Meses!$A$3,"Por revisar",
IF(H2214="","Sin registro","En programación Frcst."))),"En programación")))),
"Error")</f>
        <v>En programación Frcst.</v>
      </c>
      <c r="Q2214" s="9" t="str">
        <f t="shared" si="105"/>
        <v/>
      </c>
      <c r="R2214" s="25" t="e">
        <f>IF(P2214="En programación Frcst.",VLOOKUP(L2214,Meses!$A$1:$H$14,3+HLOOKUP(Cronograma!J2214,Meses!$D$1:$G$2,2,FALSE),FALSE),
IF(P2214="En programación",M2214,""))</f>
        <v>#N/A</v>
      </c>
      <c r="S2214" s="25" t="str">
        <f t="shared" si="104"/>
        <v/>
      </c>
      <c r="T2214" s="21" t="str">
        <f>IFERROR(
(VLOOKUP(MONTH(R2214),Meses!$B$3:$C$14,2,FALSE)-DAY(R2214))/VLOOKUP(MONTH(R2214),Meses!$B$3:$C$14,2,FALSE)*U2214,
"")</f>
        <v/>
      </c>
      <c r="U2214" s="22">
        <f t="shared" si="106"/>
        <v>0</v>
      </c>
    </row>
    <row r="2215" spans="1:21" ht="31.8" hidden="1" thickBot="1" x14ac:dyDescent="0.6">
      <c r="A2215" s="10" t="s">
        <v>3127</v>
      </c>
      <c r="B2215" s="10" t="s">
        <v>2821</v>
      </c>
      <c r="C2215" s="12">
        <v>45029</v>
      </c>
      <c r="D2215" s="10" t="s">
        <v>323</v>
      </c>
      <c r="E2215" s="10" t="s">
        <v>298</v>
      </c>
      <c r="F2215" s="10"/>
      <c r="G2215" s="10" t="s">
        <v>15</v>
      </c>
      <c r="H2215" s="10" t="s">
        <v>17</v>
      </c>
      <c r="I2215" s="10" t="s">
        <v>66</v>
      </c>
      <c r="J2215" s="10"/>
      <c r="K2215" s="10"/>
      <c r="L2215" s="10"/>
      <c r="M2215" s="12"/>
      <c r="N2215" s="10"/>
      <c r="O2215" s="10" t="s">
        <v>2054</v>
      </c>
      <c r="P2215" s="25" t="str">
        <f>IFERROR(
IF(OR(O2215="anulado",O2215="stand by"),CONCATENATE(O2215,": ",H2215),
IF(OR(YEAR(M2215)=2022,YEAR(M2215)=2023),CONCATENATE("Se activó en ",YEAR(M2215)),
IF(AND(OR(O2215="En proceso",O2215="facturando"),AND(J2215="-",M2215="")),"Por revisar",
IF(M2215="",IF(J2215="NUEVAS",CONCATENATE("Estado: ",O2215,", ",J2215),
IF(L2215=Meses!$A$3,"Por revisar",
IF(H2215="","Sin registro","En programación Frcst."))),"En programación")))),
"Error")</f>
        <v>En programación Frcst.</v>
      </c>
      <c r="Q2215" s="9" t="str">
        <f t="shared" si="105"/>
        <v/>
      </c>
      <c r="R2215" s="25" t="e">
        <f>IF(P2215="En programación Frcst.",VLOOKUP(L2215,Meses!$A$1:$H$14,3+HLOOKUP(Cronograma!J2215,Meses!$D$1:$G$2,2,FALSE),FALSE),
IF(P2215="En programación",M2215,""))</f>
        <v>#N/A</v>
      </c>
      <c r="S2215" s="25" t="str">
        <f t="shared" si="104"/>
        <v/>
      </c>
      <c r="T2215" s="21" t="str">
        <f>IFERROR(
(VLOOKUP(MONTH(R2215),Meses!$B$3:$C$14,2,FALSE)-DAY(R2215))/VLOOKUP(MONTH(R2215),Meses!$B$3:$C$14,2,FALSE)*U2215,
"")</f>
        <v/>
      </c>
      <c r="U2215" s="22">
        <f t="shared" si="106"/>
        <v>0</v>
      </c>
    </row>
    <row r="2216" spans="1:21" ht="47.4" hidden="1" thickBot="1" x14ac:dyDescent="0.6">
      <c r="A2216" s="10" t="s">
        <v>3128</v>
      </c>
      <c r="B2216" s="10" t="s">
        <v>2822</v>
      </c>
      <c r="C2216" s="12">
        <v>45029</v>
      </c>
      <c r="D2216" s="10" t="s">
        <v>323</v>
      </c>
      <c r="E2216" s="10" t="s">
        <v>291</v>
      </c>
      <c r="F2216" s="10"/>
      <c r="G2216" s="10" t="s">
        <v>15</v>
      </c>
      <c r="H2216" s="10" t="s">
        <v>17</v>
      </c>
      <c r="I2216" s="10" t="s">
        <v>66</v>
      </c>
      <c r="J2216" s="10"/>
      <c r="K2216" s="10"/>
      <c r="L2216" s="10"/>
      <c r="M2216" s="12"/>
      <c r="N2216" s="10"/>
      <c r="O2216" s="10" t="s">
        <v>2054</v>
      </c>
      <c r="P2216" s="25" t="str">
        <f>IFERROR(
IF(OR(O2216="anulado",O2216="stand by"),CONCATENATE(O2216,": ",H2216),
IF(OR(YEAR(M2216)=2022,YEAR(M2216)=2023),CONCATENATE("Se activó en ",YEAR(M2216)),
IF(AND(OR(O2216="En proceso",O2216="facturando"),AND(J2216="-",M2216="")),"Por revisar",
IF(M2216="",IF(J2216="NUEVAS",CONCATENATE("Estado: ",O2216,", ",J2216),
IF(L2216=Meses!$A$3,"Por revisar",
IF(H2216="","Sin registro","En programación Frcst."))),"En programación")))),
"Error")</f>
        <v>En programación Frcst.</v>
      </c>
      <c r="Q2216" s="9" t="str">
        <f t="shared" si="105"/>
        <v/>
      </c>
      <c r="R2216" s="25" t="e">
        <f>IF(P2216="En programación Frcst.",VLOOKUP(L2216,Meses!$A$1:$H$14,3+HLOOKUP(Cronograma!J2216,Meses!$D$1:$G$2,2,FALSE),FALSE),
IF(P2216="En programación",M2216,""))</f>
        <v>#N/A</v>
      </c>
      <c r="S2216" s="25" t="str">
        <f t="shared" si="104"/>
        <v/>
      </c>
      <c r="T2216" s="21" t="str">
        <f>IFERROR(
(VLOOKUP(MONTH(R2216),Meses!$B$3:$C$14,2,FALSE)-DAY(R2216))/VLOOKUP(MONTH(R2216),Meses!$B$3:$C$14,2,FALSE)*U2216,
"")</f>
        <v/>
      </c>
      <c r="U2216" s="22">
        <f t="shared" si="106"/>
        <v>0</v>
      </c>
    </row>
    <row r="2217" spans="1:21" ht="94.2" hidden="1" thickBot="1" x14ac:dyDescent="0.6">
      <c r="A2217" s="10" t="s">
        <v>3124</v>
      </c>
      <c r="B2217" s="10" t="s">
        <v>2823</v>
      </c>
      <c r="C2217" s="12">
        <v>45029</v>
      </c>
      <c r="D2217" s="10" t="s">
        <v>323</v>
      </c>
      <c r="E2217" s="10"/>
      <c r="F2217" s="10"/>
      <c r="G2217" s="10" t="s">
        <v>15</v>
      </c>
      <c r="H2217" s="10" t="s">
        <v>17</v>
      </c>
      <c r="I2217" s="10" t="s">
        <v>66</v>
      </c>
      <c r="J2217" s="10"/>
      <c r="K2217" s="10"/>
      <c r="L2217" s="10"/>
      <c r="M2217" s="12"/>
      <c r="N2217" s="10"/>
      <c r="O2217" s="10" t="s">
        <v>2054</v>
      </c>
      <c r="P2217" s="25" t="str">
        <f>IFERROR(
IF(OR(O2217="anulado",O2217="stand by"),CONCATENATE(O2217,": ",H2217),
IF(OR(YEAR(M2217)=2022,YEAR(M2217)=2023),CONCATENATE("Se activó en ",YEAR(M2217)),
IF(AND(OR(O2217="En proceso",O2217="facturando"),AND(J2217="-",M2217="")),"Por revisar",
IF(M2217="",IF(J2217="NUEVAS",CONCATENATE("Estado: ",O2217,", ",J2217),
IF(L2217=Meses!$A$3,"Por revisar",
IF(H2217="","Sin registro","En programación Frcst."))),"En programación")))),
"Error")</f>
        <v>En programación Frcst.</v>
      </c>
      <c r="Q2217" s="9" t="str">
        <f t="shared" si="105"/>
        <v/>
      </c>
      <c r="R2217" s="25" t="e">
        <f>IF(P2217="En programación Frcst.",VLOOKUP(L2217,Meses!$A$1:$H$14,3+HLOOKUP(Cronograma!J2217,Meses!$D$1:$G$2,2,FALSE),FALSE),
IF(P2217="En programación",M2217,""))</f>
        <v>#N/A</v>
      </c>
      <c r="S2217" s="25" t="str">
        <f t="shared" si="104"/>
        <v/>
      </c>
      <c r="T2217" s="21" t="str">
        <f>IFERROR(
(VLOOKUP(MONTH(R2217),Meses!$B$3:$C$14,2,FALSE)-DAY(R2217))/VLOOKUP(MONTH(R2217),Meses!$B$3:$C$14,2,FALSE)*U2217,
"")</f>
        <v/>
      </c>
      <c r="U2217" s="22">
        <f t="shared" si="106"/>
        <v>0</v>
      </c>
    </row>
    <row r="2218" spans="1:21" ht="31.8" hidden="1" thickBot="1" x14ac:dyDescent="0.6">
      <c r="A2218" s="10" t="s">
        <v>3125</v>
      </c>
      <c r="B2218" s="10" t="s">
        <v>2824</v>
      </c>
      <c r="C2218" s="12">
        <v>45029</v>
      </c>
      <c r="D2218" s="10" t="s">
        <v>323</v>
      </c>
      <c r="E2218" s="10"/>
      <c r="F2218" s="10"/>
      <c r="G2218" s="10" t="s">
        <v>15</v>
      </c>
      <c r="H2218" s="10" t="s">
        <v>17</v>
      </c>
      <c r="I2218" s="10" t="s">
        <v>66</v>
      </c>
      <c r="J2218" s="10"/>
      <c r="K2218" s="10"/>
      <c r="L2218" s="10"/>
      <c r="M2218" s="12"/>
      <c r="N2218" s="10"/>
      <c r="O2218" s="10" t="s">
        <v>2054</v>
      </c>
      <c r="P2218" s="25" t="str">
        <f>IFERROR(
IF(OR(O2218="anulado",O2218="stand by"),CONCATENATE(O2218,": ",H2218),
IF(OR(YEAR(M2218)=2022,YEAR(M2218)=2023),CONCATENATE("Se activó en ",YEAR(M2218)),
IF(AND(OR(O2218="En proceso",O2218="facturando"),AND(J2218="-",M2218="")),"Por revisar",
IF(M2218="",IF(J2218="NUEVAS",CONCATENATE("Estado: ",O2218,", ",J2218),
IF(L2218=Meses!$A$3,"Por revisar",
IF(H2218="","Sin registro","En programación Frcst."))),"En programación")))),
"Error")</f>
        <v>En programación Frcst.</v>
      </c>
      <c r="Q2218" s="9" t="str">
        <f t="shared" si="105"/>
        <v/>
      </c>
      <c r="R2218" s="25" t="e">
        <f>IF(P2218="En programación Frcst.",VLOOKUP(L2218,Meses!$A$1:$H$14,3+HLOOKUP(Cronograma!J2218,Meses!$D$1:$G$2,2,FALSE),FALSE),
IF(P2218="En programación",M2218,""))</f>
        <v>#N/A</v>
      </c>
      <c r="S2218" s="25" t="str">
        <f t="shared" si="104"/>
        <v/>
      </c>
      <c r="T2218" s="21" t="str">
        <f>IFERROR(
(VLOOKUP(MONTH(R2218),Meses!$B$3:$C$14,2,FALSE)-DAY(R2218))/VLOOKUP(MONTH(R2218),Meses!$B$3:$C$14,2,FALSE)*U2218,
"")</f>
        <v/>
      </c>
      <c r="U2218" s="22">
        <f t="shared" si="106"/>
        <v>0</v>
      </c>
    </row>
    <row r="2219" spans="1:21" ht="31.8" hidden="1" thickBot="1" x14ac:dyDescent="0.6">
      <c r="A2219" s="10" t="s">
        <v>3129</v>
      </c>
      <c r="B2219" s="10" t="s">
        <v>2825</v>
      </c>
      <c r="C2219" s="12">
        <v>45029</v>
      </c>
      <c r="D2219" s="10" t="s">
        <v>323</v>
      </c>
      <c r="E2219" s="10" t="s">
        <v>291</v>
      </c>
      <c r="F2219" s="10"/>
      <c r="G2219" s="10" t="s">
        <v>15</v>
      </c>
      <c r="H2219" s="10" t="s">
        <v>17</v>
      </c>
      <c r="I2219" s="10" t="s">
        <v>66</v>
      </c>
      <c r="J2219" s="10"/>
      <c r="K2219" s="10"/>
      <c r="L2219" s="10"/>
      <c r="M2219" s="12"/>
      <c r="N2219" s="10"/>
      <c r="O2219" s="10" t="s">
        <v>2054</v>
      </c>
      <c r="P2219" s="25" t="str">
        <f>IFERROR(
IF(OR(O2219="anulado",O2219="stand by"),CONCATENATE(O2219,": ",H2219),
IF(OR(YEAR(M2219)=2022,YEAR(M2219)=2023),CONCATENATE("Se activó en ",YEAR(M2219)),
IF(AND(OR(O2219="En proceso",O2219="facturando"),AND(J2219="-",M2219="")),"Por revisar",
IF(M2219="",IF(J2219="NUEVAS",CONCATENATE("Estado: ",O2219,", ",J2219),
IF(L2219=Meses!$A$3,"Por revisar",
IF(H2219="","Sin registro","En programación Frcst."))),"En programación")))),
"Error")</f>
        <v>En programación Frcst.</v>
      </c>
      <c r="Q2219" s="9" t="str">
        <f t="shared" si="105"/>
        <v/>
      </c>
      <c r="R2219" s="25" t="e">
        <f>IF(P2219="En programación Frcst.",VLOOKUP(L2219,Meses!$A$1:$H$14,3+HLOOKUP(Cronograma!J2219,Meses!$D$1:$G$2,2,FALSE),FALSE),
IF(P2219="En programación",M2219,""))</f>
        <v>#N/A</v>
      </c>
      <c r="S2219" s="25" t="str">
        <f t="shared" si="104"/>
        <v/>
      </c>
      <c r="T2219" s="21" t="str">
        <f>IFERROR(
(VLOOKUP(MONTH(R2219),Meses!$B$3:$C$14,2,FALSE)-DAY(R2219))/VLOOKUP(MONTH(R2219),Meses!$B$3:$C$14,2,FALSE)*U2219,
"")</f>
        <v/>
      </c>
      <c r="U2219" s="22">
        <f t="shared" si="106"/>
        <v>0</v>
      </c>
    </row>
    <row r="2220" spans="1:21" ht="94.2" hidden="1" thickBot="1" x14ac:dyDescent="0.6">
      <c r="A2220" s="10" t="s">
        <v>3130</v>
      </c>
      <c r="B2220" s="10" t="s">
        <v>2826</v>
      </c>
      <c r="C2220" s="12">
        <v>45029</v>
      </c>
      <c r="D2220" s="10" t="s">
        <v>323</v>
      </c>
      <c r="E2220" s="10" t="s">
        <v>298</v>
      </c>
      <c r="F2220" s="10"/>
      <c r="G2220" s="10" t="s">
        <v>15</v>
      </c>
      <c r="H2220" s="10" t="s">
        <v>17</v>
      </c>
      <c r="I2220" s="10" t="s">
        <v>66</v>
      </c>
      <c r="J2220" s="10"/>
      <c r="K2220" s="10"/>
      <c r="L2220" s="10"/>
      <c r="M2220" s="12"/>
      <c r="N2220" s="10"/>
      <c r="O2220" s="10" t="s">
        <v>2054</v>
      </c>
      <c r="P2220" s="25" t="str">
        <f>IFERROR(
IF(OR(O2220="anulado",O2220="stand by"),CONCATENATE(O2220,": ",H2220),
IF(OR(YEAR(M2220)=2022,YEAR(M2220)=2023),CONCATENATE("Se activó en ",YEAR(M2220)),
IF(AND(OR(O2220="En proceso",O2220="facturando"),AND(J2220="-",M2220="")),"Por revisar",
IF(M2220="",IF(J2220="NUEVAS",CONCATENATE("Estado: ",O2220,", ",J2220),
IF(L2220=Meses!$A$3,"Por revisar",
IF(H2220="","Sin registro","En programación Frcst."))),"En programación")))),
"Error")</f>
        <v>En programación Frcst.</v>
      </c>
      <c r="Q2220" s="9" t="str">
        <f t="shared" si="105"/>
        <v/>
      </c>
      <c r="R2220" s="25" t="e">
        <f>IF(P2220="En programación Frcst.",VLOOKUP(L2220,Meses!$A$1:$H$14,3+HLOOKUP(Cronograma!J2220,Meses!$D$1:$G$2,2,FALSE),FALSE),
IF(P2220="En programación",M2220,""))</f>
        <v>#N/A</v>
      </c>
      <c r="S2220" s="25" t="str">
        <f t="shared" si="104"/>
        <v/>
      </c>
      <c r="T2220" s="21" t="str">
        <f>IFERROR(
(VLOOKUP(MONTH(R2220),Meses!$B$3:$C$14,2,FALSE)-DAY(R2220))/VLOOKUP(MONTH(R2220),Meses!$B$3:$C$14,2,FALSE)*U2220,
"")</f>
        <v/>
      </c>
      <c r="U2220" s="22">
        <f t="shared" si="106"/>
        <v>0</v>
      </c>
    </row>
    <row r="2221" spans="1:21" ht="31.8" hidden="1" thickBot="1" x14ac:dyDescent="0.6">
      <c r="A2221" s="10" t="s">
        <v>2862</v>
      </c>
      <c r="B2221" s="10" t="s">
        <v>2828</v>
      </c>
      <c r="C2221" s="12">
        <v>45029</v>
      </c>
      <c r="D2221" s="10" t="s">
        <v>323</v>
      </c>
      <c r="E2221" s="10" t="s">
        <v>14</v>
      </c>
      <c r="F2221" s="10"/>
      <c r="G2221" s="10" t="s">
        <v>15</v>
      </c>
      <c r="H2221" s="10" t="s">
        <v>17</v>
      </c>
      <c r="I2221" s="10" t="s">
        <v>66</v>
      </c>
      <c r="J2221" s="10"/>
      <c r="K2221" s="10"/>
      <c r="L2221" s="10"/>
      <c r="M2221" s="12"/>
      <c r="N2221" s="10"/>
      <c r="O2221" s="10" t="s">
        <v>2054</v>
      </c>
      <c r="P2221" s="25" t="str">
        <f>IFERROR(
IF(OR(O2221="anulado",O2221="stand by"),CONCATENATE(O2221,": ",H2221),
IF(OR(YEAR(M2221)=2022,YEAR(M2221)=2023),CONCATENATE("Se activó en ",YEAR(M2221)),
IF(AND(OR(O2221="En proceso",O2221="facturando"),AND(J2221="-",M2221="")),"Por revisar",
IF(M2221="",IF(J2221="NUEVAS",CONCATENATE("Estado: ",O2221,", ",J2221),
IF(L2221=Meses!$A$3,"Por revisar",
IF(H2221="","Sin registro","En programación Frcst."))),"En programación")))),
"Error")</f>
        <v>En programación Frcst.</v>
      </c>
      <c r="Q2221" s="9" t="str">
        <f t="shared" si="105"/>
        <v/>
      </c>
      <c r="R2221" s="25" t="e">
        <f>IF(P2221="En programación Frcst.",VLOOKUP(L2221,Meses!$A$1:$H$14,3+HLOOKUP(Cronograma!J2221,Meses!$D$1:$G$2,2,FALSE),FALSE),
IF(P2221="En programación",M2221,""))</f>
        <v>#N/A</v>
      </c>
      <c r="S2221" s="25" t="str">
        <f t="shared" si="104"/>
        <v/>
      </c>
      <c r="T2221" s="21" t="str">
        <f>IFERROR(
(VLOOKUP(MONTH(R2221),Meses!$B$3:$C$14,2,FALSE)-DAY(R2221))/VLOOKUP(MONTH(R2221),Meses!$B$3:$C$14,2,FALSE)*U2221,
"")</f>
        <v/>
      </c>
      <c r="U2221" s="22">
        <f t="shared" si="106"/>
        <v>0</v>
      </c>
    </row>
    <row r="2222" spans="1:21" ht="78.599999999999994" hidden="1" thickBot="1" x14ac:dyDescent="0.6">
      <c r="A2222" s="10" t="s">
        <v>3131</v>
      </c>
      <c r="B2222" s="10" t="s">
        <v>2829</v>
      </c>
      <c r="C2222" s="12">
        <v>45029</v>
      </c>
      <c r="D2222" s="10" t="s">
        <v>323</v>
      </c>
      <c r="E2222" s="10" t="s">
        <v>298</v>
      </c>
      <c r="F2222" s="10"/>
      <c r="G2222" s="10" t="s">
        <v>15</v>
      </c>
      <c r="H2222" s="10" t="s">
        <v>17</v>
      </c>
      <c r="I2222" s="10" t="s">
        <v>66</v>
      </c>
      <c r="J2222" s="10"/>
      <c r="K2222" s="10"/>
      <c r="L2222" s="10"/>
      <c r="M2222" s="12"/>
      <c r="N2222" s="10"/>
      <c r="O2222" s="10" t="s">
        <v>2054</v>
      </c>
      <c r="P2222" s="25" t="str">
        <f>IFERROR(
IF(OR(O2222="anulado",O2222="stand by"),CONCATENATE(O2222,": ",H2222),
IF(OR(YEAR(M2222)=2022,YEAR(M2222)=2023),CONCATENATE("Se activó en ",YEAR(M2222)),
IF(AND(OR(O2222="En proceso",O2222="facturando"),AND(J2222="-",M2222="")),"Por revisar",
IF(M2222="",IF(J2222="NUEVAS",CONCATENATE("Estado: ",O2222,", ",J2222),
IF(L2222=Meses!$A$3,"Por revisar",
IF(H2222="","Sin registro","En programación Frcst."))),"En programación")))),
"Error")</f>
        <v>En programación Frcst.</v>
      </c>
      <c r="Q2222" s="9" t="str">
        <f t="shared" si="105"/>
        <v/>
      </c>
      <c r="R2222" s="25" t="e">
        <f>IF(P2222="En programación Frcst.",VLOOKUP(L2222,Meses!$A$1:$H$14,3+HLOOKUP(Cronograma!J2222,Meses!$D$1:$G$2,2,FALSE),FALSE),
IF(P2222="En programación",M2222,""))</f>
        <v>#N/A</v>
      </c>
      <c r="S2222" s="25" t="str">
        <f t="shared" si="104"/>
        <v/>
      </c>
      <c r="T2222" s="21" t="str">
        <f>IFERROR(
(VLOOKUP(MONTH(R2222),Meses!$B$3:$C$14,2,FALSE)-DAY(R2222))/VLOOKUP(MONTH(R2222),Meses!$B$3:$C$14,2,FALSE)*U2222,
"")</f>
        <v/>
      </c>
      <c r="U2222" s="22">
        <f t="shared" si="106"/>
        <v>0</v>
      </c>
    </row>
    <row r="2223" spans="1:21" ht="47.4" hidden="1" thickBot="1" x14ac:dyDescent="0.6">
      <c r="A2223" s="10" t="s">
        <v>3132</v>
      </c>
      <c r="B2223" s="10" t="s">
        <v>2832</v>
      </c>
      <c r="C2223" s="12">
        <v>45029</v>
      </c>
      <c r="D2223" s="10" t="s">
        <v>323</v>
      </c>
      <c r="E2223" s="10" t="s">
        <v>959</v>
      </c>
      <c r="F2223" s="10"/>
      <c r="G2223" s="10" t="s">
        <v>15</v>
      </c>
      <c r="H2223" s="10" t="s">
        <v>17</v>
      </c>
      <c r="I2223" s="10" t="s">
        <v>66</v>
      </c>
      <c r="J2223" s="10"/>
      <c r="K2223" s="10"/>
      <c r="L2223" s="10"/>
      <c r="M2223" s="12"/>
      <c r="N2223" s="10"/>
      <c r="O2223" s="10" t="s">
        <v>2054</v>
      </c>
      <c r="P2223" s="25" t="str">
        <f>IFERROR(
IF(OR(O2223="anulado",O2223="stand by"),CONCATENATE(O2223,": ",H2223),
IF(OR(YEAR(M2223)=2022,YEAR(M2223)=2023),CONCATENATE("Se activó en ",YEAR(M2223)),
IF(AND(OR(O2223="En proceso",O2223="facturando"),AND(J2223="-",M2223="")),"Por revisar",
IF(M2223="",IF(J2223="NUEVAS",CONCATENATE("Estado: ",O2223,", ",J2223),
IF(L2223=Meses!$A$3,"Por revisar",
IF(H2223="","Sin registro","En programación Frcst."))),"En programación")))),
"Error")</f>
        <v>En programación Frcst.</v>
      </c>
      <c r="Q2223" s="9" t="str">
        <f t="shared" si="105"/>
        <v/>
      </c>
      <c r="R2223" s="25" t="e">
        <f>IF(P2223="En programación Frcst.",VLOOKUP(L2223,Meses!$A$1:$H$14,3+HLOOKUP(Cronograma!J2223,Meses!$D$1:$G$2,2,FALSE),FALSE),
IF(P2223="En programación",M2223,""))</f>
        <v>#N/A</v>
      </c>
      <c r="S2223" s="25" t="str">
        <f t="shared" si="104"/>
        <v/>
      </c>
      <c r="T2223" s="21" t="str">
        <f>IFERROR(
(VLOOKUP(MONTH(R2223),Meses!$B$3:$C$14,2,FALSE)-DAY(R2223))/VLOOKUP(MONTH(R2223),Meses!$B$3:$C$14,2,FALSE)*U2223,
"")</f>
        <v/>
      </c>
      <c r="U2223" s="22">
        <f t="shared" si="106"/>
        <v>0</v>
      </c>
    </row>
    <row r="2224" spans="1:21" ht="47.4" hidden="1" thickBot="1" x14ac:dyDescent="0.6">
      <c r="A2224" s="10" t="s">
        <v>3133</v>
      </c>
      <c r="B2224" s="10" t="s">
        <v>2833</v>
      </c>
      <c r="C2224" s="12">
        <v>45029</v>
      </c>
      <c r="D2224" s="10" t="s">
        <v>323</v>
      </c>
      <c r="E2224" s="10" t="s">
        <v>289</v>
      </c>
      <c r="F2224" s="10"/>
      <c r="G2224" s="10" t="s">
        <v>15</v>
      </c>
      <c r="H2224" s="10" t="s">
        <v>17</v>
      </c>
      <c r="I2224" s="10" t="s">
        <v>66</v>
      </c>
      <c r="J2224" s="10"/>
      <c r="K2224" s="10"/>
      <c r="L2224" s="10"/>
      <c r="M2224" s="12"/>
      <c r="N2224" s="10"/>
      <c r="O2224" s="10" t="s">
        <v>2054</v>
      </c>
      <c r="P2224" s="25" t="str">
        <f>IFERROR(
IF(OR(O2224="anulado",O2224="stand by"),CONCATENATE(O2224,": ",H2224),
IF(OR(YEAR(M2224)=2022,YEAR(M2224)=2023),CONCATENATE("Se activó en ",YEAR(M2224)),
IF(AND(OR(O2224="En proceso",O2224="facturando"),AND(J2224="-",M2224="")),"Por revisar",
IF(M2224="",IF(J2224="NUEVAS",CONCATENATE("Estado: ",O2224,", ",J2224),
IF(L2224=Meses!$A$3,"Por revisar",
IF(H2224="","Sin registro","En programación Frcst."))),"En programación")))),
"Error")</f>
        <v>En programación Frcst.</v>
      </c>
      <c r="Q2224" s="9" t="str">
        <f t="shared" si="105"/>
        <v/>
      </c>
      <c r="R2224" s="25" t="e">
        <f>IF(P2224="En programación Frcst.",VLOOKUP(L2224,Meses!$A$1:$H$14,3+HLOOKUP(Cronograma!J2224,Meses!$D$1:$G$2,2,FALSE),FALSE),
IF(P2224="En programación",M2224,""))</f>
        <v>#N/A</v>
      </c>
      <c r="S2224" s="25" t="str">
        <f t="shared" si="104"/>
        <v/>
      </c>
      <c r="T2224" s="21" t="str">
        <f>IFERROR(
(VLOOKUP(MONTH(R2224),Meses!$B$3:$C$14,2,FALSE)-DAY(R2224))/VLOOKUP(MONTH(R2224),Meses!$B$3:$C$14,2,FALSE)*U2224,
"")</f>
        <v/>
      </c>
      <c r="U2224" s="22">
        <f t="shared" si="106"/>
        <v>0</v>
      </c>
    </row>
    <row r="2225" spans="1:21" ht="47.4" hidden="1" thickBot="1" x14ac:dyDescent="0.6">
      <c r="A2225" s="10" t="s">
        <v>3134</v>
      </c>
      <c r="B2225" s="10" t="s">
        <v>2834</v>
      </c>
      <c r="C2225" s="12">
        <v>45029</v>
      </c>
      <c r="D2225" s="10" t="s">
        <v>323</v>
      </c>
      <c r="E2225" s="10" t="s">
        <v>677</v>
      </c>
      <c r="F2225" s="10"/>
      <c r="G2225" s="10" t="s">
        <v>15</v>
      </c>
      <c r="H2225" s="10" t="s">
        <v>17</v>
      </c>
      <c r="I2225" s="10" t="s">
        <v>66</v>
      </c>
      <c r="J2225" s="10"/>
      <c r="K2225" s="10"/>
      <c r="L2225" s="10"/>
      <c r="M2225" s="12"/>
      <c r="N2225" s="10"/>
      <c r="O2225" s="10" t="s">
        <v>2054</v>
      </c>
      <c r="P2225" s="25" t="str">
        <f>IFERROR(
IF(OR(O2225="anulado",O2225="stand by"),CONCATENATE(O2225,": ",H2225),
IF(OR(YEAR(M2225)=2022,YEAR(M2225)=2023),CONCATENATE("Se activó en ",YEAR(M2225)),
IF(AND(OR(O2225="En proceso",O2225="facturando"),AND(J2225="-",M2225="")),"Por revisar",
IF(M2225="",IF(J2225="NUEVAS",CONCATENATE("Estado: ",O2225,", ",J2225),
IF(L2225=Meses!$A$3,"Por revisar",
IF(H2225="","Sin registro","En programación Frcst."))),"En programación")))),
"Error")</f>
        <v>En programación Frcst.</v>
      </c>
      <c r="Q2225" s="9" t="str">
        <f t="shared" si="105"/>
        <v/>
      </c>
      <c r="R2225" s="25" t="e">
        <f>IF(P2225="En programación Frcst.",VLOOKUP(L2225,Meses!$A$1:$H$14,3+HLOOKUP(Cronograma!J2225,Meses!$D$1:$G$2,2,FALSE),FALSE),
IF(P2225="En programación",M2225,""))</f>
        <v>#N/A</v>
      </c>
      <c r="S2225" s="25" t="str">
        <f t="shared" si="104"/>
        <v/>
      </c>
      <c r="T2225" s="21" t="str">
        <f>IFERROR(
(VLOOKUP(MONTH(R2225),Meses!$B$3:$C$14,2,FALSE)-DAY(R2225))/VLOOKUP(MONTH(R2225),Meses!$B$3:$C$14,2,FALSE)*U2225,
"")</f>
        <v/>
      </c>
      <c r="U2225" s="22">
        <f t="shared" si="106"/>
        <v>0</v>
      </c>
    </row>
    <row r="2226" spans="1:21" ht="63" hidden="1" thickBot="1" x14ac:dyDescent="0.6">
      <c r="A2226" s="10" t="s">
        <v>3135</v>
      </c>
      <c r="B2226" s="10" t="s">
        <v>2835</v>
      </c>
      <c r="C2226" s="12">
        <v>45029</v>
      </c>
      <c r="D2226" s="10" t="s">
        <v>323</v>
      </c>
      <c r="E2226" s="10" t="s">
        <v>14</v>
      </c>
      <c r="F2226" s="10"/>
      <c r="G2226" s="10" t="s">
        <v>15</v>
      </c>
      <c r="H2226" s="10" t="s">
        <v>17</v>
      </c>
      <c r="I2226" s="10" t="s">
        <v>66</v>
      </c>
      <c r="J2226" s="10"/>
      <c r="K2226" s="10"/>
      <c r="L2226" s="10"/>
      <c r="M2226" s="12"/>
      <c r="N2226" s="10"/>
      <c r="O2226" s="10" t="s">
        <v>2054</v>
      </c>
      <c r="P2226" s="25" t="str">
        <f>IFERROR(
IF(OR(O2226="anulado",O2226="stand by"),CONCATENATE(O2226,": ",H2226),
IF(OR(YEAR(M2226)=2022,YEAR(M2226)=2023),CONCATENATE("Se activó en ",YEAR(M2226)),
IF(AND(OR(O2226="En proceso",O2226="facturando"),AND(J2226="-",M2226="")),"Por revisar",
IF(M2226="",IF(J2226="NUEVAS",CONCATENATE("Estado: ",O2226,", ",J2226),
IF(L2226=Meses!$A$3,"Por revisar",
IF(H2226="","Sin registro","En programación Frcst."))),"En programación")))),
"Error")</f>
        <v>En programación Frcst.</v>
      </c>
      <c r="Q2226" s="9" t="str">
        <f t="shared" si="105"/>
        <v/>
      </c>
      <c r="R2226" s="25" t="e">
        <f>IF(P2226="En programación Frcst.",VLOOKUP(L2226,Meses!$A$1:$H$14,3+HLOOKUP(Cronograma!J2226,Meses!$D$1:$G$2,2,FALSE),FALSE),
IF(P2226="En programación",M2226,""))</f>
        <v>#N/A</v>
      </c>
      <c r="S2226" s="25" t="str">
        <f t="shared" si="104"/>
        <v/>
      </c>
      <c r="T2226" s="21" t="str">
        <f>IFERROR(
(VLOOKUP(MONTH(R2226),Meses!$B$3:$C$14,2,FALSE)-DAY(R2226))/VLOOKUP(MONTH(R2226),Meses!$B$3:$C$14,2,FALSE)*U2226,
"")</f>
        <v/>
      </c>
      <c r="U2226" s="22">
        <f t="shared" si="106"/>
        <v>0</v>
      </c>
    </row>
    <row r="2227" spans="1:21" ht="31.8" hidden="1" thickBot="1" x14ac:dyDescent="0.6">
      <c r="A2227" s="10" t="s">
        <v>3136</v>
      </c>
      <c r="B2227" s="10" t="s">
        <v>2836</v>
      </c>
      <c r="C2227" s="12">
        <v>45029</v>
      </c>
      <c r="D2227" s="10" t="s">
        <v>323</v>
      </c>
      <c r="E2227" s="10" t="s">
        <v>289</v>
      </c>
      <c r="F2227" s="10"/>
      <c r="G2227" s="10" t="s">
        <v>15</v>
      </c>
      <c r="H2227" s="10" t="s">
        <v>17</v>
      </c>
      <c r="I2227" s="10" t="s">
        <v>66</v>
      </c>
      <c r="J2227" s="10"/>
      <c r="K2227" s="10"/>
      <c r="L2227" s="10"/>
      <c r="M2227" s="12"/>
      <c r="N2227" s="10"/>
      <c r="O2227" s="10" t="s">
        <v>2054</v>
      </c>
      <c r="P2227" s="25" t="str">
        <f>IFERROR(
IF(OR(O2227="anulado",O2227="stand by"),CONCATENATE(O2227,": ",H2227),
IF(OR(YEAR(M2227)=2022,YEAR(M2227)=2023),CONCATENATE("Se activó en ",YEAR(M2227)),
IF(AND(OR(O2227="En proceso",O2227="facturando"),AND(J2227="-",M2227="")),"Por revisar",
IF(M2227="",IF(J2227="NUEVAS",CONCATENATE("Estado: ",O2227,", ",J2227),
IF(L2227=Meses!$A$3,"Por revisar",
IF(H2227="","Sin registro","En programación Frcst."))),"En programación")))),
"Error")</f>
        <v>En programación Frcst.</v>
      </c>
      <c r="Q2227" s="9" t="str">
        <f t="shared" si="105"/>
        <v/>
      </c>
      <c r="R2227" s="25" t="e">
        <f>IF(P2227="En programación Frcst.",VLOOKUP(L2227,Meses!$A$1:$H$14,3+HLOOKUP(Cronograma!J2227,Meses!$D$1:$G$2,2,FALSE),FALSE),
IF(P2227="En programación",M2227,""))</f>
        <v>#N/A</v>
      </c>
      <c r="S2227" s="25" t="str">
        <f t="shared" si="104"/>
        <v/>
      </c>
      <c r="T2227" s="21" t="str">
        <f>IFERROR(
(VLOOKUP(MONTH(R2227),Meses!$B$3:$C$14,2,FALSE)-DAY(R2227))/VLOOKUP(MONTH(R2227),Meses!$B$3:$C$14,2,FALSE)*U2227,
"")</f>
        <v/>
      </c>
      <c r="U2227" s="22">
        <f t="shared" si="106"/>
        <v>0</v>
      </c>
    </row>
    <row r="2228" spans="1:21" ht="31.8" hidden="1" thickBot="1" x14ac:dyDescent="0.6">
      <c r="A2228" s="10" t="s">
        <v>3137</v>
      </c>
      <c r="B2228" s="10" t="s">
        <v>2837</v>
      </c>
      <c r="C2228" s="12">
        <v>45036</v>
      </c>
      <c r="D2228" s="10" t="s">
        <v>323</v>
      </c>
      <c r="E2228" s="10" t="s">
        <v>14</v>
      </c>
      <c r="F2228" s="10"/>
      <c r="G2228" s="10" t="s">
        <v>15</v>
      </c>
      <c r="H2228" s="10" t="s">
        <v>2406</v>
      </c>
      <c r="I2228" s="10" t="s">
        <v>66</v>
      </c>
      <c r="J2228" s="10"/>
      <c r="K2228" s="10"/>
      <c r="L2228" s="10"/>
      <c r="M2228" s="12"/>
      <c r="N2228" s="10"/>
      <c r="O2228" s="10" t="s">
        <v>2054</v>
      </c>
      <c r="P2228" s="25" t="str">
        <f>IFERROR(
IF(OR(O2228="anulado",O2228="stand by"),CONCATENATE(O2228,": ",H2228),
IF(OR(YEAR(M2228)=2022,YEAR(M2228)=2023),CONCATENATE("Se activó en ",YEAR(M2228)),
IF(AND(OR(O2228="En proceso",O2228="facturando"),AND(J2228="-",M2228="")),"Por revisar",
IF(M2228="",IF(J2228="NUEVAS",CONCATENATE("Estado: ",O2228,", ",J2228),
IF(L2228=Meses!$A$3,"Por revisar",
IF(H2228="","Sin registro","En programación Frcst."))),"En programación")))),
"Error")</f>
        <v>En programación Frcst.</v>
      </c>
      <c r="Q2228" s="9" t="str">
        <f t="shared" si="105"/>
        <v/>
      </c>
      <c r="R2228" s="25" t="e">
        <f>IF(P2228="En programación Frcst.",VLOOKUP(L2228,Meses!$A$1:$H$14,3+HLOOKUP(Cronograma!J2228,Meses!$D$1:$G$2,2,FALSE),FALSE),
IF(P2228="En programación",M2228,""))</f>
        <v>#N/A</v>
      </c>
      <c r="S2228" s="25" t="str">
        <f t="shared" si="104"/>
        <v/>
      </c>
      <c r="T2228" s="21" t="str">
        <f>IFERROR(
(VLOOKUP(MONTH(R2228),Meses!$B$3:$C$14,2,FALSE)-DAY(R2228))/VLOOKUP(MONTH(R2228),Meses!$B$3:$C$14,2,FALSE)*U2228,
"")</f>
        <v/>
      </c>
      <c r="U2228" s="22">
        <f t="shared" si="106"/>
        <v>0</v>
      </c>
    </row>
    <row r="2229" spans="1:21" ht="31.8" thickBot="1" x14ac:dyDescent="0.6">
      <c r="A2229" s="10" t="s">
        <v>2838</v>
      </c>
      <c r="B2229" s="10" t="s">
        <v>2839</v>
      </c>
      <c r="C2229" s="12"/>
      <c r="D2229" s="10" t="s">
        <v>1207</v>
      </c>
      <c r="E2229" s="10" t="s">
        <v>23</v>
      </c>
      <c r="F2229" s="10">
        <v>30000</v>
      </c>
      <c r="G2229" s="10" t="s">
        <v>15</v>
      </c>
      <c r="H2229" s="10" t="s">
        <v>2917</v>
      </c>
      <c r="I2229" s="10" t="s">
        <v>66</v>
      </c>
      <c r="J2229" s="10" t="s">
        <v>282</v>
      </c>
      <c r="K2229" s="10" t="s">
        <v>3326</v>
      </c>
      <c r="L2229" s="10" t="s">
        <v>2293</v>
      </c>
      <c r="M2229" s="12">
        <v>45414</v>
      </c>
      <c r="N2229" s="10"/>
      <c r="O2229" s="10" t="s">
        <v>2057</v>
      </c>
      <c r="P2229" s="25" t="str">
        <f>IFERROR(
IF(OR(O2229="anulado",O2229="stand by"),CONCATENATE(O2229,": ",H2229),
IF(OR(YEAR(M2229)=2022,YEAR(M2229)=2023),CONCATENATE("Se activó en ",YEAR(M2229)),
IF(AND(OR(O2229="En proceso",O2229="facturando"),AND(J2229="-",M2229="")),"Por revisar",
IF(M2229="",IF(J2229="NUEVAS",CONCATENATE("Estado: ",O2229,", ",J2229),
IF(L2229=Meses!$A$3,"Por revisar",
IF(H2229="","Sin registro","En programación Frcst."))),"En programación")))),
"Error")</f>
        <v>En programación</v>
      </c>
      <c r="Q2229" s="9" t="str">
        <f t="shared" si="105"/>
        <v/>
      </c>
      <c r="R2229" s="25">
        <f>IF(P2229="En programación Frcst.",VLOOKUP(L2229,Meses!$A$1:$H$14,3+HLOOKUP(Cronograma!J2229,Meses!$D$1:$G$2,2,FALSE),FALSE),
IF(P2229="En programación",M2229,""))</f>
        <v>45414</v>
      </c>
      <c r="S2229" s="25" t="str">
        <f t="shared" si="104"/>
        <v>2024/5</v>
      </c>
      <c r="T2229" s="21">
        <f>IFERROR(
(VLOOKUP(MONTH(R2229),Meses!$B$3:$C$14,2,FALSE)-DAY(R2229))/VLOOKUP(MONTH(R2229),Meses!$B$3:$C$14,2,FALSE)*U2229,
"")</f>
        <v>28064.516129032258</v>
      </c>
      <c r="U2229" s="22">
        <f t="shared" si="106"/>
        <v>30000</v>
      </c>
    </row>
    <row r="2230" spans="1:21" ht="31.8" hidden="1" thickBot="1" x14ac:dyDescent="0.6">
      <c r="A2230" s="10" t="s">
        <v>2840</v>
      </c>
      <c r="B2230" s="10" t="s">
        <v>2841</v>
      </c>
      <c r="C2230" s="12"/>
      <c r="D2230" s="10" t="s">
        <v>14</v>
      </c>
      <c r="E2230" s="10" t="s">
        <v>14</v>
      </c>
      <c r="F2230" s="10">
        <v>2307</v>
      </c>
      <c r="G2230" s="10" t="s">
        <v>15</v>
      </c>
      <c r="H2230" s="10" t="s">
        <v>2916</v>
      </c>
      <c r="I2230" s="10" t="s">
        <v>18</v>
      </c>
      <c r="J2230" s="10" t="s">
        <v>277</v>
      </c>
      <c r="K2230" s="10" t="s">
        <v>3327</v>
      </c>
      <c r="L2230" s="10" t="s">
        <v>2292</v>
      </c>
      <c r="M2230" s="12">
        <v>45400</v>
      </c>
      <c r="N2230" s="10"/>
      <c r="O2230" s="10" t="s">
        <v>2057</v>
      </c>
      <c r="P2230" s="25" t="str">
        <f>IFERROR(
IF(OR(O2230="anulado",O2230="stand by"),CONCATENATE(O2230,": ",H2230),
IF(OR(YEAR(M2230)=2022,YEAR(M2230)=2023),CONCATENATE("Se activó en ",YEAR(M2230)),
IF(AND(OR(O2230="En proceso",O2230="facturando"),AND(J2230="-",M2230="")),"Por revisar",
IF(M2230="",IF(J2230="NUEVAS",CONCATENATE("Estado: ",O2230,", ",J2230),
IF(L2230=Meses!$A$3,"Por revisar",
IF(H2230="","Sin registro","En programación Frcst."))),"En programación")))),
"Error")</f>
        <v>En programación</v>
      </c>
      <c r="Q2230" s="9" t="str">
        <f t="shared" si="105"/>
        <v/>
      </c>
      <c r="R2230" s="25">
        <f>IF(P2230="En programación Frcst.",VLOOKUP(L2230,Meses!$A$1:$H$14,3+HLOOKUP(Cronograma!J2230,Meses!$D$1:$G$2,2,FALSE),FALSE),
IF(P2230="En programación",M2230,""))</f>
        <v>45400</v>
      </c>
      <c r="S2230" s="25" t="str">
        <f t="shared" si="104"/>
        <v>2024/4</v>
      </c>
      <c r="T2230" s="21">
        <f>IFERROR(
(VLOOKUP(MONTH(R2230),Meses!$B$3:$C$14,2,FALSE)-DAY(R2230))/VLOOKUP(MONTH(R2230),Meses!$B$3:$C$14,2,FALSE)*U2230,
"")</f>
        <v>922.80000000000007</v>
      </c>
      <c r="U2230" s="22">
        <f t="shared" si="106"/>
        <v>2307</v>
      </c>
    </row>
    <row r="2231" spans="1:21" ht="31.8" hidden="1" thickBot="1" x14ac:dyDescent="0.6">
      <c r="A2231" s="10" t="s">
        <v>2840</v>
      </c>
      <c r="B2231" s="10" t="s">
        <v>2842</v>
      </c>
      <c r="C2231" s="12"/>
      <c r="D2231" s="10" t="s">
        <v>14</v>
      </c>
      <c r="E2231" s="10" t="s">
        <v>14</v>
      </c>
      <c r="F2231" s="10">
        <v>1759</v>
      </c>
      <c r="G2231" s="10" t="s">
        <v>15</v>
      </c>
      <c r="H2231" s="10" t="s">
        <v>2916</v>
      </c>
      <c r="I2231" s="10" t="s">
        <v>18</v>
      </c>
      <c r="J2231" s="10" t="s">
        <v>277</v>
      </c>
      <c r="K2231" s="10" t="s">
        <v>3327</v>
      </c>
      <c r="L2231" s="10" t="s">
        <v>2292</v>
      </c>
      <c r="M2231" s="12">
        <v>45400</v>
      </c>
      <c r="N2231" s="10"/>
      <c r="O2231" s="10" t="s">
        <v>2057</v>
      </c>
      <c r="P2231" s="25" t="str">
        <f>IFERROR(
IF(OR(O2231="anulado",O2231="stand by"),CONCATENATE(O2231,": ",H2231),
IF(OR(YEAR(M2231)=2022,YEAR(M2231)=2023),CONCATENATE("Se activó en ",YEAR(M2231)),
IF(AND(OR(O2231="En proceso",O2231="facturando"),AND(J2231="-",M2231="")),"Por revisar",
IF(M2231="",IF(J2231="NUEVAS",CONCATENATE("Estado: ",O2231,", ",J2231),
IF(L2231=Meses!$A$3,"Por revisar",
IF(H2231="","Sin registro","En programación Frcst."))),"En programación")))),
"Error")</f>
        <v>En programación</v>
      </c>
      <c r="Q2231" s="9" t="str">
        <f t="shared" si="105"/>
        <v/>
      </c>
      <c r="R2231" s="25">
        <f>IF(P2231="En programación Frcst.",VLOOKUP(L2231,Meses!$A$1:$H$14,3+HLOOKUP(Cronograma!J2231,Meses!$D$1:$G$2,2,FALSE),FALSE),
IF(P2231="En programación",M2231,""))</f>
        <v>45400</v>
      </c>
      <c r="S2231" s="25" t="str">
        <f t="shared" si="104"/>
        <v>2024/4</v>
      </c>
      <c r="T2231" s="21">
        <f>IFERROR(
(VLOOKUP(MONTH(R2231),Meses!$B$3:$C$14,2,FALSE)-DAY(R2231))/VLOOKUP(MONTH(R2231),Meses!$B$3:$C$14,2,FALSE)*U2231,
"")</f>
        <v>703.6</v>
      </c>
      <c r="U2231" s="22">
        <f t="shared" si="106"/>
        <v>1759</v>
      </c>
    </row>
    <row r="2232" spans="1:21" ht="31.8" hidden="1" thickBot="1" x14ac:dyDescent="0.6">
      <c r="A2232" s="10" t="s">
        <v>2843</v>
      </c>
      <c r="B2232" s="10" t="s">
        <v>2844</v>
      </c>
      <c r="C2232" s="12"/>
      <c r="D2232" s="10" t="s">
        <v>44</v>
      </c>
      <c r="E2232" s="10" t="s">
        <v>44</v>
      </c>
      <c r="F2232" s="10">
        <v>4900</v>
      </c>
      <c r="G2232" s="10" t="s">
        <v>15</v>
      </c>
      <c r="H2232" s="10" t="s">
        <v>2917</v>
      </c>
      <c r="I2232" s="10" t="s">
        <v>43</v>
      </c>
      <c r="J2232" s="10" t="s">
        <v>143</v>
      </c>
      <c r="K2232" s="10" t="s">
        <v>2895</v>
      </c>
      <c r="L2232" s="10" t="s">
        <v>2292</v>
      </c>
      <c r="M2232" s="12">
        <v>45400</v>
      </c>
      <c r="N2232" s="10"/>
      <c r="O2232" s="10" t="s">
        <v>2057</v>
      </c>
      <c r="P2232" s="25" t="str">
        <f>IFERROR(
IF(OR(O2232="anulado",O2232="stand by"),CONCATENATE(O2232,": ",H2232),
IF(OR(YEAR(M2232)=2022,YEAR(M2232)=2023),CONCATENATE("Se activó en ",YEAR(M2232)),
IF(AND(OR(O2232="En proceso",O2232="facturando"),AND(J2232="-",M2232="")),"Por revisar",
IF(M2232="",IF(J2232="NUEVAS",CONCATENATE("Estado: ",O2232,", ",J2232),
IF(L2232=Meses!$A$3,"Por revisar",
IF(H2232="","Sin registro","En programación Frcst."))),"En programación")))),
"Error")</f>
        <v>En programación</v>
      </c>
      <c r="Q2232" s="9" t="str">
        <f t="shared" si="105"/>
        <v/>
      </c>
      <c r="R2232" s="25">
        <f>IF(P2232="En programación Frcst.",VLOOKUP(L2232,Meses!$A$1:$H$14,3+HLOOKUP(Cronograma!J2232,Meses!$D$1:$G$2,2,FALSE),FALSE),
IF(P2232="En programación",M2232,""))</f>
        <v>45400</v>
      </c>
      <c r="S2232" s="25" t="str">
        <f t="shared" si="104"/>
        <v>2024/4</v>
      </c>
      <c r="T2232" s="21">
        <f>IFERROR(
(VLOOKUP(MONTH(R2232),Meses!$B$3:$C$14,2,FALSE)-DAY(R2232))/VLOOKUP(MONTH(R2232),Meses!$B$3:$C$14,2,FALSE)*U2232,
"")</f>
        <v>1960</v>
      </c>
      <c r="U2232" s="22">
        <f t="shared" si="106"/>
        <v>4900</v>
      </c>
    </row>
    <row r="2233" spans="1:21" ht="63" hidden="1" thickBot="1" x14ac:dyDescent="0.6">
      <c r="A2233" s="10" t="s">
        <v>2845</v>
      </c>
      <c r="B2233" s="10" t="s">
        <v>2846</v>
      </c>
      <c r="C2233" s="12"/>
      <c r="D2233" s="10" t="s">
        <v>74</v>
      </c>
      <c r="E2233" s="10" t="s">
        <v>74</v>
      </c>
      <c r="F2233" s="10">
        <v>66462</v>
      </c>
      <c r="G2233" s="10" t="s">
        <v>15</v>
      </c>
      <c r="H2233" s="10" t="s">
        <v>2917</v>
      </c>
      <c r="I2233" s="10" t="s">
        <v>43</v>
      </c>
      <c r="J2233" s="10" t="s">
        <v>143</v>
      </c>
      <c r="K2233" s="10" t="s">
        <v>2895</v>
      </c>
      <c r="L2233" s="10" t="s">
        <v>2292</v>
      </c>
      <c r="M2233" s="12">
        <v>45400</v>
      </c>
      <c r="N2233" s="10"/>
      <c r="O2233" s="10" t="s">
        <v>2057</v>
      </c>
      <c r="P2233" s="25" t="str">
        <f>IFERROR(
IF(OR(O2233="anulado",O2233="stand by"),CONCATENATE(O2233,": ",H2233),
IF(OR(YEAR(M2233)=2022,YEAR(M2233)=2023),CONCATENATE("Se activó en ",YEAR(M2233)),
IF(AND(OR(O2233="En proceso",O2233="facturando"),AND(J2233="-",M2233="")),"Por revisar",
IF(M2233="",IF(J2233="NUEVAS",CONCATENATE("Estado: ",O2233,", ",J2233),
IF(L2233=Meses!$A$3,"Por revisar",
IF(H2233="","Sin registro","En programación Frcst."))),"En programación")))),
"Error")</f>
        <v>En programación</v>
      </c>
      <c r="Q2233" s="9" t="str">
        <f t="shared" si="105"/>
        <v/>
      </c>
      <c r="R2233" s="25">
        <f>IF(P2233="En programación Frcst.",VLOOKUP(L2233,Meses!$A$1:$H$14,3+HLOOKUP(Cronograma!J2233,Meses!$D$1:$G$2,2,FALSE),FALSE),
IF(P2233="En programación",M2233,""))</f>
        <v>45400</v>
      </c>
      <c r="S2233" s="25" t="str">
        <f t="shared" si="104"/>
        <v>2024/4</v>
      </c>
      <c r="T2233" s="21">
        <f>IFERROR(
(VLOOKUP(MONTH(R2233),Meses!$B$3:$C$14,2,FALSE)-DAY(R2233))/VLOOKUP(MONTH(R2233),Meses!$B$3:$C$14,2,FALSE)*U2233,
"")</f>
        <v>26584.800000000003</v>
      </c>
      <c r="U2233" s="22">
        <f t="shared" si="106"/>
        <v>66462</v>
      </c>
    </row>
    <row r="2234" spans="1:21" ht="47.4" hidden="1" thickBot="1" x14ac:dyDescent="0.6">
      <c r="A2234" s="10" t="s">
        <v>2847</v>
      </c>
      <c r="B2234" s="10" t="s">
        <v>2848</v>
      </c>
      <c r="C2234" s="12"/>
      <c r="D2234" s="10" t="s">
        <v>44</v>
      </c>
      <c r="E2234" s="10" t="s">
        <v>44</v>
      </c>
      <c r="F2234" s="10">
        <v>26840</v>
      </c>
      <c r="G2234" s="10" t="s">
        <v>15</v>
      </c>
      <c r="H2234" s="10" t="s">
        <v>2916</v>
      </c>
      <c r="I2234" s="10" t="s">
        <v>43</v>
      </c>
      <c r="J2234" s="10" t="s">
        <v>143</v>
      </c>
      <c r="K2234" s="10" t="s">
        <v>2895</v>
      </c>
      <c r="L2234" s="10" t="s">
        <v>2292</v>
      </c>
      <c r="M2234" s="12">
        <v>45400</v>
      </c>
      <c r="N2234" s="10"/>
      <c r="O2234" s="10" t="s">
        <v>2057</v>
      </c>
      <c r="P2234" s="25" t="str">
        <f>IFERROR(
IF(OR(O2234="anulado",O2234="stand by"),CONCATENATE(O2234,": ",H2234),
IF(OR(YEAR(M2234)=2022,YEAR(M2234)=2023),CONCATENATE("Se activó en ",YEAR(M2234)),
IF(AND(OR(O2234="En proceso",O2234="facturando"),AND(J2234="-",M2234="")),"Por revisar",
IF(M2234="",IF(J2234="NUEVAS",CONCATENATE("Estado: ",O2234,", ",J2234),
IF(L2234=Meses!$A$3,"Por revisar",
IF(H2234="","Sin registro","En programación Frcst."))),"En programación")))),
"Error")</f>
        <v>En programación</v>
      </c>
      <c r="Q2234" s="9" t="str">
        <f t="shared" si="105"/>
        <v/>
      </c>
      <c r="R2234" s="25">
        <f>IF(P2234="En programación Frcst.",VLOOKUP(L2234,Meses!$A$1:$H$14,3+HLOOKUP(Cronograma!J2234,Meses!$D$1:$G$2,2,FALSE),FALSE),
IF(P2234="En programación",M2234,""))</f>
        <v>45400</v>
      </c>
      <c r="S2234" s="25" t="str">
        <f t="shared" si="104"/>
        <v>2024/4</v>
      </c>
      <c r="T2234" s="21">
        <f>IFERROR(
(VLOOKUP(MONTH(R2234),Meses!$B$3:$C$14,2,FALSE)-DAY(R2234))/VLOOKUP(MONTH(R2234),Meses!$B$3:$C$14,2,FALSE)*U2234,
"")</f>
        <v>10736</v>
      </c>
      <c r="U2234" s="22">
        <f t="shared" si="106"/>
        <v>26840</v>
      </c>
    </row>
    <row r="2235" spans="1:21" ht="47.4" hidden="1" thickBot="1" x14ac:dyDescent="0.6">
      <c r="A2235" s="10" t="s">
        <v>2863</v>
      </c>
      <c r="B2235" s="10" t="s">
        <v>2864</v>
      </c>
      <c r="C2235" s="12"/>
      <c r="D2235" s="10" t="s">
        <v>74</v>
      </c>
      <c r="E2235" s="10" t="s">
        <v>74</v>
      </c>
      <c r="F2235" s="10">
        <v>6000</v>
      </c>
      <c r="G2235" s="10" t="s">
        <v>15</v>
      </c>
      <c r="H2235" s="10" t="s">
        <v>2917</v>
      </c>
      <c r="I2235" s="10" t="s">
        <v>43</v>
      </c>
      <c r="J2235" s="10" t="s">
        <v>143</v>
      </c>
      <c r="K2235" s="10" t="s">
        <v>2895</v>
      </c>
      <c r="L2235" s="10" t="s">
        <v>2292</v>
      </c>
      <c r="M2235" s="12">
        <v>45400</v>
      </c>
      <c r="N2235" s="10"/>
      <c r="O2235" s="10" t="s">
        <v>2057</v>
      </c>
      <c r="P2235" s="25" t="str">
        <f>IFERROR(
IF(OR(O2235="anulado",O2235="stand by"),CONCATENATE(O2235,": ",H2235),
IF(OR(YEAR(M2235)=2022,YEAR(M2235)=2023),CONCATENATE("Se activó en ",YEAR(M2235)),
IF(AND(OR(O2235="En proceso",O2235="facturando"),AND(J2235="-",M2235="")),"Por revisar",
IF(M2235="",IF(J2235="NUEVAS",CONCATENATE("Estado: ",O2235,", ",J2235),
IF(L2235=Meses!$A$3,"Por revisar",
IF(H2235="","Sin registro","En programación Frcst."))),"En programación")))),
"Error")</f>
        <v>En programación</v>
      </c>
      <c r="Q2235" s="9" t="str">
        <f t="shared" si="105"/>
        <v/>
      </c>
      <c r="R2235" s="25">
        <f>IF(P2235="En programación Frcst.",VLOOKUP(L2235,Meses!$A$1:$H$14,3+HLOOKUP(Cronograma!J2235,Meses!$D$1:$G$2,2,FALSE),FALSE),
IF(P2235="En programación",M2235,""))</f>
        <v>45400</v>
      </c>
      <c r="S2235" s="25" t="str">
        <f t="shared" si="104"/>
        <v>2024/4</v>
      </c>
      <c r="T2235" s="21">
        <f>IFERROR(
(VLOOKUP(MONTH(R2235),Meses!$B$3:$C$14,2,FALSE)-DAY(R2235))/VLOOKUP(MONTH(R2235),Meses!$B$3:$C$14,2,FALSE)*U2235,
"")</f>
        <v>2400</v>
      </c>
      <c r="U2235" s="22">
        <f t="shared" si="106"/>
        <v>6000</v>
      </c>
    </row>
    <row r="2236" spans="1:21" ht="47.4" hidden="1" thickBot="1" x14ac:dyDescent="0.6">
      <c r="A2236" s="10" t="s">
        <v>2863</v>
      </c>
      <c r="B2236" s="10" t="s">
        <v>2865</v>
      </c>
      <c r="C2236" s="12"/>
      <c r="D2236" s="10" t="s">
        <v>74</v>
      </c>
      <c r="E2236" s="10" t="s">
        <v>74</v>
      </c>
      <c r="F2236" s="10">
        <v>4000</v>
      </c>
      <c r="G2236" s="10" t="s">
        <v>15</v>
      </c>
      <c r="H2236" s="10" t="s">
        <v>2917</v>
      </c>
      <c r="I2236" s="10" t="s">
        <v>43</v>
      </c>
      <c r="J2236" s="10" t="s">
        <v>143</v>
      </c>
      <c r="K2236" s="10" t="s">
        <v>2895</v>
      </c>
      <c r="L2236" s="10" t="s">
        <v>2292</v>
      </c>
      <c r="M2236" s="12">
        <v>45400</v>
      </c>
      <c r="N2236" s="10"/>
      <c r="O2236" s="10" t="s">
        <v>2057</v>
      </c>
      <c r="P2236" s="25" t="str">
        <f>IFERROR(
IF(OR(O2236="anulado",O2236="stand by"),CONCATENATE(O2236,": ",H2236),
IF(OR(YEAR(M2236)=2022,YEAR(M2236)=2023),CONCATENATE("Se activó en ",YEAR(M2236)),
IF(AND(OR(O2236="En proceso",O2236="facturando"),AND(J2236="-",M2236="")),"Por revisar",
IF(M2236="",IF(J2236="NUEVAS",CONCATENATE("Estado: ",O2236,", ",J2236),
IF(L2236=Meses!$A$3,"Por revisar",
IF(H2236="","Sin registro","En programación Frcst."))),"En programación")))),
"Error")</f>
        <v>En programación</v>
      </c>
      <c r="Q2236" s="9" t="str">
        <f t="shared" si="105"/>
        <v/>
      </c>
      <c r="R2236" s="25">
        <f>IF(P2236="En programación Frcst.",VLOOKUP(L2236,Meses!$A$1:$H$14,3+HLOOKUP(Cronograma!J2236,Meses!$D$1:$G$2,2,FALSE),FALSE),
IF(P2236="En programación",M2236,""))</f>
        <v>45400</v>
      </c>
      <c r="S2236" s="25" t="str">
        <f t="shared" si="104"/>
        <v>2024/4</v>
      </c>
      <c r="T2236" s="21">
        <f>IFERROR(
(VLOOKUP(MONTH(R2236),Meses!$B$3:$C$14,2,FALSE)-DAY(R2236))/VLOOKUP(MONTH(R2236),Meses!$B$3:$C$14,2,FALSE)*U2236,
"")</f>
        <v>1600</v>
      </c>
      <c r="U2236" s="22">
        <f t="shared" si="106"/>
        <v>4000</v>
      </c>
    </row>
    <row r="2237" spans="1:21" ht="47.4" hidden="1" thickBot="1" x14ac:dyDescent="0.6">
      <c r="A2237" s="10" t="s">
        <v>2866</v>
      </c>
      <c r="B2237" s="10" t="s">
        <v>2867</v>
      </c>
      <c r="C2237" s="12"/>
      <c r="D2237" s="10" t="s">
        <v>74</v>
      </c>
      <c r="E2237" s="10" t="s">
        <v>74</v>
      </c>
      <c r="F2237" s="10">
        <v>4804</v>
      </c>
      <c r="G2237" s="10" t="s">
        <v>15</v>
      </c>
      <c r="H2237" s="10" t="s">
        <v>2917</v>
      </c>
      <c r="I2237" s="10" t="s">
        <v>43</v>
      </c>
      <c r="J2237" s="10" t="s">
        <v>143</v>
      </c>
      <c r="K2237" s="10" t="s">
        <v>2895</v>
      </c>
      <c r="L2237" s="10" t="s">
        <v>2292</v>
      </c>
      <c r="M2237" s="12">
        <v>45400</v>
      </c>
      <c r="N2237" s="10"/>
      <c r="O2237" s="10" t="s">
        <v>2057</v>
      </c>
      <c r="P2237" s="25" t="str">
        <f>IFERROR(
IF(OR(O2237="anulado",O2237="stand by"),CONCATENATE(O2237,": ",H2237),
IF(OR(YEAR(M2237)=2022,YEAR(M2237)=2023),CONCATENATE("Se activó en ",YEAR(M2237)),
IF(AND(OR(O2237="En proceso",O2237="facturando"),AND(J2237="-",M2237="")),"Por revisar",
IF(M2237="",IF(J2237="NUEVAS",CONCATENATE("Estado: ",O2237,", ",J2237),
IF(L2237=Meses!$A$3,"Por revisar",
IF(H2237="","Sin registro","En programación Frcst."))),"En programación")))),
"Error")</f>
        <v>En programación</v>
      </c>
      <c r="Q2237" s="9" t="str">
        <f t="shared" si="105"/>
        <v/>
      </c>
      <c r="R2237" s="25">
        <f>IF(P2237="En programación Frcst.",VLOOKUP(L2237,Meses!$A$1:$H$14,3+HLOOKUP(Cronograma!J2237,Meses!$D$1:$G$2,2,FALSE),FALSE),
IF(P2237="En programación",M2237,""))</f>
        <v>45400</v>
      </c>
      <c r="S2237" s="25" t="str">
        <f t="shared" ref="S2237:S2240" si="107">IFERROR(CONCATENATE(YEAR(R2237),"/",MONTH(R2237)),"")</f>
        <v>2024/4</v>
      </c>
      <c r="T2237" s="21">
        <f>IFERROR(
(VLOOKUP(MONTH(R2237),Meses!$B$3:$C$14,2,FALSE)-DAY(R2237))/VLOOKUP(MONTH(R2237),Meses!$B$3:$C$14,2,FALSE)*U2237,
"")</f>
        <v>1921.6000000000001</v>
      </c>
      <c r="U2237" s="22">
        <f t="shared" si="106"/>
        <v>4804</v>
      </c>
    </row>
    <row r="2238" spans="1:21" ht="63" hidden="1" thickBot="1" x14ac:dyDescent="0.6">
      <c r="A2238" s="10" t="s">
        <v>2868</v>
      </c>
      <c r="B2238" s="10" t="s">
        <v>2869</v>
      </c>
      <c r="C2238" s="12"/>
      <c r="D2238" s="10" t="s">
        <v>289</v>
      </c>
      <c r="E2238" s="10" t="s">
        <v>289</v>
      </c>
      <c r="F2238" s="10">
        <v>5000</v>
      </c>
      <c r="G2238" s="10" t="s">
        <v>15</v>
      </c>
      <c r="H2238" s="10" t="s">
        <v>1050</v>
      </c>
      <c r="I2238" s="10" t="s">
        <v>18</v>
      </c>
      <c r="J2238" s="10" t="s">
        <v>143</v>
      </c>
      <c r="K2238" s="10" t="s">
        <v>2895</v>
      </c>
      <c r="L2238" s="10" t="s">
        <v>2292</v>
      </c>
      <c r="M2238" s="12">
        <v>45400</v>
      </c>
      <c r="N2238" s="10"/>
      <c r="O2238" s="10" t="s">
        <v>2057</v>
      </c>
      <c r="P2238" s="25" t="str">
        <f>IFERROR(
IF(OR(O2238="anulado",O2238="stand by"),CONCATENATE(O2238,": ",H2238),
IF(OR(YEAR(M2238)=2022,YEAR(M2238)=2023),CONCATENATE("Se activó en ",YEAR(M2238)),
IF(AND(OR(O2238="En proceso",O2238="facturando"),AND(J2238="-",M2238="")),"Por revisar",
IF(M2238="",IF(J2238="NUEVAS",CONCATENATE("Estado: ",O2238,", ",J2238),
IF(L2238=Meses!$A$3,"Por revisar",
IF(H2238="","Sin registro","En programación Frcst."))),"En programación")))),
"Error")</f>
        <v>En programación</v>
      </c>
      <c r="Q2238" s="9" t="str">
        <f t="shared" si="105"/>
        <v/>
      </c>
      <c r="R2238" s="25">
        <f>IF(P2238="En programación Frcst.",VLOOKUP(L2238,Meses!$A$1:$H$14,3+HLOOKUP(Cronograma!J2238,Meses!$D$1:$G$2,2,FALSE),FALSE),
IF(P2238="En programación",M2238,""))</f>
        <v>45400</v>
      </c>
      <c r="S2238" s="25" t="str">
        <f t="shared" si="107"/>
        <v>2024/4</v>
      </c>
      <c r="T2238" s="21">
        <f>IFERROR(
(VLOOKUP(MONTH(R2238),Meses!$B$3:$C$14,2,FALSE)-DAY(R2238))/VLOOKUP(MONTH(R2238),Meses!$B$3:$C$14,2,FALSE)*U2238,
"")</f>
        <v>2000</v>
      </c>
      <c r="U2238" s="22">
        <f t="shared" si="106"/>
        <v>5000</v>
      </c>
    </row>
    <row r="2239" spans="1:21" ht="47.4" hidden="1" thickBot="1" x14ac:dyDescent="0.6">
      <c r="A2239" s="10" t="s">
        <v>2870</v>
      </c>
      <c r="B2239" s="10" t="s">
        <v>2871</v>
      </c>
      <c r="C2239" s="12"/>
      <c r="D2239" s="10" t="s">
        <v>14</v>
      </c>
      <c r="E2239" s="10" t="s">
        <v>14</v>
      </c>
      <c r="F2239" s="10">
        <v>7892</v>
      </c>
      <c r="G2239" s="10" t="s">
        <v>15</v>
      </c>
      <c r="H2239" s="10" t="s">
        <v>2917</v>
      </c>
      <c r="I2239" s="10" t="s">
        <v>18</v>
      </c>
      <c r="J2239" s="10" t="s">
        <v>277</v>
      </c>
      <c r="K2239" s="10" t="s">
        <v>3327</v>
      </c>
      <c r="L2239" s="10" t="s">
        <v>2292</v>
      </c>
      <c r="M2239" s="12">
        <v>45400</v>
      </c>
      <c r="N2239" s="10"/>
      <c r="O2239" s="10" t="s">
        <v>2057</v>
      </c>
      <c r="P2239" s="25" t="str">
        <f>IFERROR(
IF(OR(O2239="anulado",O2239="stand by"),CONCATENATE(O2239,": ",H2239),
IF(OR(YEAR(M2239)=2022,YEAR(M2239)=2023),CONCATENATE("Se activó en ",YEAR(M2239)),
IF(AND(OR(O2239="En proceso",O2239="facturando"),AND(J2239="-",M2239="")),"Por revisar",
IF(M2239="",IF(J2239="NUEVAS",CONCATENATE("Estado: ",O2239,", ",J2239),
IF(L2239=Meses!$A$3,"Por revisar",
IF(H2239="","Sin registro","En programación Frcst."))),"En programación")))),
"Error")</f>
        <v>En programación</v>
      </c>
      <c r="Q2239" s="9" t="str">
        <f t="shared" si="105"/>
        <v/>
      </c>
      <c r="R2239" s="25">
        <f>IF(P2239="En programación Frcst.",VLOOKUP(L2239,Meses!$A$1:$H$14,3+HLOOKUP(Cronograma!J2239,Meses!$D$1:$G$2,2,FALSE),FALSE),
IF(P2239="En programación",M2239,""))</f>
        <v>45400</v>
      </c>
      <c r="S2239" s="25" t="str">
        <f t="shared" si="107"/>
        <v>2024/4</v>
      </c>
      <c r="T2239" s="21">
        <f>IFERROR(
(VLOOKUP(MONTH(R2239),Meses!$B$3:$C$14,2,FALSE)-DAY(R2239))/VLOOKUP(MONTH(R2239),Meses!$B$3:$C$14,2,FALSE)*U2239,
"")</f>
        <v>3156.8</v>
      </c>
      <c r="U2239" s="22">
        <f t="shared" si="106"/>
        <v>7892</v>
      </c>
    </row>
    <row r="2240" spans="1:21" ht="47.4" hidden="1" thickBot="1" x14ac:dyDescent="0.6">
      <c r="A2240" s="10" t="s">
        <v>2870</v>
      </c>
      <c r="B2240" s="10" t="s">
        <v>2872</v>
      </c>
      <c r="C2240" s="12"/>
      <c r="D2240" s="10" t="s">
        <v>14</v>
      </c>
      <c r="E2240" s="10" t="s">
        <v>14</v>
      </c>
      <c r="F2240" s="10">
        <v>21000</v>
      </c>
      <c r="G2240" s="10" t="s">
        <v>15</v>
      </c>
      <c r="H2240" s="10" t="s">
        <v>2917</v>
      </c>
      <c r="I2240" s="10" t="s">
        <v>18</v>
      </c>
      <c r="J2240" s="10" t="s">
        <v>277</v>
      </c>
      <c r="K2240" s="10" t="s">
        <v>3327</v>
      </c>
      <c r="L2240" s="10" t="s">
        <v>2292</v>
      </c>
      <c r="M2240" s="12">
        <v>45400</v>
      </c>
      <c r="N2240" s="10"/>
      <c r="O2240" s="10" t="s">
        <v>2057</v>
      </c>
      <c r="P2240" s="25" t="str">
        <f>IFERROR(
IF(OR(O2240="anulado",O2240="stand by"),CONCATENATE(O2240,": ",H2240),
IF(OR(YEAR(M2240)=2022,YEAR(M2240)=2023),CONCATENATE("Se activó en ",YEAR(M2240)),
IF(AND(OR(O2240="En proceso",O2240="facturando"),AND(J2240="-",M2240="")),"Por revisar",
IF(M2240="",IF(J2240="NUEVAS",CONCATENATE("Estado: ",O2240,", ",J2240),
IF(L2240=Meses!$A$3,"Por revisar",
IF(H2240="","Sin registro","En programación Frcst."))),"En programación")))),
"Error")</f>
        <v>En programación</v>
      </c>
      <c r="Q2240" s="9" t="str">
        <f t="shared" si="105"/>
        <v/>
      </c>
      <c r="R2240" s="25">
        <f>IF(P2240="En programación Frcst.",VLOOKUP(L2240,Meses!$A$1:$H$14,3+HLOOKUP(Cronograma!J2240,Meses!$D$1:$G$2,2,FALSE),FALSE),
IF(P2240="En programación",M2240,""))</f>
        <v>45400</v>
      </c>
      <c r="S2240" s="25" t="str">
        <f t="shared" si="107"/>
        <v>2024/4</v>
      </c>
      <c r="T2240" s="21">
        <f>IFERROR(
(VLOOKUP(MONTH(R2240),Meses!$B$3:$C$14,2,FALSE)-DAY(R2240))/VLOOKUP(MONTH(R2240),Meses!$B$3:$C$14,2,FALSE)*U2240,
"")</f>
        <v>8400</v>
      </c>
      <c r="U2240" s="22">
        <f t="shared" si="106"/>
        <v>21000</v>
      </c>
    </row>
    <row r="2241" spans="1:21" ht="47.4" hidden="1" thickBot="1" x14ac:dyDescent="0.6">
      <c r="A2241" s="10" t="s">
        <v>2870</v>
      </c>
      <c r="B2241" s="10" t="s">
        <v>2873</v>
      </c>
      <c r="C2241" s="12"/>
      <c r="D2241" s="10" t="s">
        <v>14</v>
      </c>
      <c r="E2241" s="10" t="s">
        <v>14</v>
      </c>
      <c r="F2241" s="10">
        <v>19040</v>
      </c>
      <c r="G2241" s="10" t="s">
        <v>15</v>
      </c>
      <c r="H2241" s="10" t="s">
        <v>2917</v>
      </c>
      <c r="I2241" s="10" t="s">
        <v>18</v>
      </c>
      <c r="J2241" s="10" t="s">
        <v>277</v>
      </c>
      <c r="K2241" s="10" t="s">
        <v>3327</v>
      </c>
      <c r="L2241" s="10" t="s">
        <v>2292</v>
      </c>
      <c r="M2241" s="12">
        <v>45400</v>
      </c>
      <c r="N2241" s="10"/>
      <c r="O2241" s="10" t="s">
        <v>2057</v>
      </c>
      <c r="P2241" s="25" t="str">
        <f>IFERROR(
IF(OR(O2241="anulado",O2241="stand by"),CONCATENATE(O2241,": ",H2241),
IF(OR(YEAR(M2241)=2022,YEAR(M2241)=2023),CONCATENATE("Se activó en ",YEAR(M2241)),
IF(AND(OR(O2241="En proceso",O2241="facturando"),AND(J2241="-",M2241="")),"Por revisar",
IF(M2241="",IF(J2241="NUEVAS",CONCATENATE("Estado: ",O2241,", ",J2241),
IF(L2241=Meses!$A$3,"Por revisar",
IF(H2241="","Sin registro","En programación Frcst."))),"En programación")))),
"Error")</f>
        <v>En programación</v>
      </c>
      <c r="Q2241" s="9" t="str">
        <f t="shared" si="105"/>
        <v/>
      </c>
      <c r="R2241" s="25">
        <f>IF(P2241="En programación Frcst.",VLOOKUP(L2241,Meses!$A$1:$H$14,3+HLOOKUP(Cronograma!J2241,Meses!$D$1:$G$2,2,FALSE),FALSE),
IF(P2241="En programación",M2241,""))</f>
        <v>45400</v>
      </c>
      <c r="S2241" s="25" t="str">
        <f t="shared" ref="S2241:S2261" si="108">IFERROR(CONCATENATE(YEAR(R2241),"/",MONTH(R2241)),"")</f>
        <v>2024/4</v>
      </c>
      <c r="T2241" s="21">
        <f>IFERROR(
(VLOOKUP(MONTH(R2241),Meses!$B$3:$C$14,2,FALSE)-DAY(R2241))/VLOOKUP(MONTH(R2241),Meses!$B$3:$C$14,2,FALSE)*U2241,
"")</f>
        <v>7616</v>
      </c>
      <c r="U2241" s="22">
        <f t="shared" si="106"/>
        <v>19040</v>
      </c>
    </row>
    <row r="2242" spans="1:21" ht="47.4" hidden="1" thickBot="1" x14ac:dyDescent="0.6">
      <c r="A2242" s="10" t="s">
        <v>2870</v>
      </c>
      <c r="B2242" s="10" t="s">
        <v>2874</v>
      </c>
      <c r="C2242" s="12"/>
      <c r="D2242" s="10" t="s">
        <v>188</v>
      </c>
      <c r="E2242" s="10" t="s">
        <v>188</v>
      </c>
      <c r="F2242" s="10">
        <v>6703</v>
      </c>
      <c r="G2242" s="10" t="s">
        <v>15</v>
      </c>
      <c r="H2242" s="10" t="s">
        <v>2916</v>
      </c>
      <c r="I2242" s="10" t="s">
        <v>43</v>
      </c>
      <c r="J2242" s="10" t="s">
        <v>143</v>
      </c>
      <c r="K2242" s="10" t="s">
        <v>2895</v>
      </c>
      <c r="L2242" s="10" t="s">
        <v>2292</v>
      </c>
      <c r="M2242" s="12">
        <v>45400</v>
      </c>
      <c r="N2242" s="10"/>
      <c r="O2242" s="10" t="s">
        <v>2057</v>
      </c>
      <c r="P2242" s="25" t="str">
        <f>IFERROR(
IF(OR(O2242="anulado",O2242="stand by"),CONCATENATE(O2242,": ",H2242),
IF(OR(YEAR(M2242)=2022,YEAR(M2242)=2023),CONCATENATE("Se activó en ",YEAR(M2242)),
IF(AND(OR(O2242="En proceso",O2242="facturando"),AND(J2242="-",M2242="")),"Por revisar",
IF(M2242="",IF(J2242="NUEVAS",CONCATENATE("Estado: ",O2242,", ",J2242),
IF(L2242=Meses!$A$3,"Por revisar",
IF(H2242="","Sin registro","En programación Frcst."))),"En programación")))),
"Error")</f>
        <v>En programación</v>
      </c>
      <c r="Q2242" s="9" t="str">
        <f t="shared" ref="Q2242:Q2288" si="109">IF(P2242="Por revisar",CONCATENATE("programación de act. ",N2242,", estado: ",O2242,", Comercializador: ",D2242,", Etapa: ",H2242),"")</f>
        <v/>
      </c>
      <c r="R2242" s="25">
        <f>IF(P2242="En programación Frcst.",VLOOKUP(L2242,Meses!$A$1:$H$14,3+HLOOKUP(Cronograma!J2242,Meses!$D$1:$G$2,2,FALSE),FALSE),
IF(P2242="En programación",M2242,""))</f>
        <v>45400</v>
      </c>
      <c r="S2242" s="25" t="str">
        <f t="shared" si="108"/>
        <v>2024/4</v>
      </c>
      <c r="T2242" s="21">
        <f>IFERROR(
(VLOOKUP(MONTH(R2242),Meses!$B$3:$C$14,2,FALSE)-DAY(R2242))/VLOOKUP(MONTH(R2242),Meses!$B$3:$C$14,2,FALSE)*U2242,
"")</f>
        <v>2681.2000000000003</v>
      </c>
      <c r="U2242" s="22">
        <f t="shared" ref="U2242:U2261" si="110">F2242</f>
        <v>6703</v>
      </c>
    </row>
    <row r="2243" spans="1:21" ht="47.4" hidden="1" thickBot="1" x14ac:dyDescent="0.6">
      <c r="A2243" s="10" t="s">
        <v>866</v>
      </c>
      <c r="B2243" s="10" t="s">
        <v>2875</v>
      </c>
      <c r="C2243" s="12"/>
      <c r="D2243" s="10" t="s">
        <v>44</v>
      </c>
      <c r="E2243" s="10" t="s">
        <v>44</v>
      </c>
      <c r="F2243" s="10">
        <v>7500</v>
      </c>
      <c r="G2243" s="10" t="s">
        <v>15</v>
      </c>
      <c r="H2243" s="10" t="s">
        <v>1050</v>
      </c>
      <c r="I2243" s="10" t="s">
        <v>43</v>
      </c>
      <c r="J2243" s="10" t="s">
        <v>143</v>
      </c>
      <c r="K2243" s="10" t="s">
        <v>2895</v>
      </c>
      <c r="L2243" s="10" t="s">
        <v>2292</v>
      </c>
      <c r="M2243" s="12">
        <v>45400</v>
      </c>
      <c r="N2243" s="10"/>
      <c r="O2243" s="10" t="s">
        <v>2057</v>
      </c>
      <c r="P2243" s="25" t="str">
        <f>IFERROR(
IF(OR(O2243="anulado",O2243="stand by"),CONCATENATE(O2243,": ",H2243),
IF(OR(YEAR(M2243)=2022,YEAR(M2243)=2023),CONCATENATE("Se activó en ",YEAR(M2243)),
IF(AND(OR(O2243="En proceso",O2243="facturando"),AND(J2243="-",M2243="")),"Por revisar",
IF(M2243="",IF(J2243="NUEVAS",CONCATENATE("Estado: ",O2243,", ",J2243),
IF(L2243=Meses!$A$3,"Por revisar",
IF(H2243="","Sin registro","En programación Frcst."))),"En programación")))),
"Error")</f>
        <v>En programación</v>
      </c>
      <c r="Q2243" s="9" t="str">
        <f t="shared" si="109"/>
        <v/>
      </c>
      <c r="R2243" s="25">
        <f>IF(P2243="En programación Frcst.",VLOOKUP(L2243,Meses!$A$1:$H$14,3+HLOOKUP(Cronograma!J2243,Meses!$D$1:$G$2,2,FALSE),FALSE),
IF(P2243="En programación",M2243,""))</f>
        <v>45400</v>
      </c>
      <c r="S2243" s="25" t="str">
        <f t="shared" si="108"/>
        <v>2024/4</v>
      </c>
      <c r="T2243" s="21">
        <f>IFERROR(
(VLOOKUP(MONTH(R2243),Meses!$B$3:$C$14,2,FALSE)-DAY(R2243))/VLOOKUP(MONTH(R2243),Meses!$B$3:$C$14,2,FALSE)*U2243,
"")</f>
        <v>3000</v>
      </c>
      <c r="U2243" s="22">
        <f t="shared" si="110"/>
        <v>7500</v>
      </c>
    </row>
    <row r="2244" spans="1:21" ht="47.4" hidden="1" thickBot="1" x14ac:dyDescent="0.6">
      <c r="A2244" s="10" t="s">
        <v>2870</v>
      </c>
      <c r="B2244" s="10" t="s">
        <v>2876</v>
      </c>
      <c r="C2244" s="12"/>
      <c r="D2244" s="10" t="s">
        <v>233</v>
      </c>
      <c r="E2244" s="10" t="s">
        <v>233</v>
      </c>
      <c r="F2244" s="10">
        <v>30580</v>
      </c>
      <c r="G2244" s="10" t="s">
        <v>15</v>
      </c>
      <c r="H2244" s="10" t="s">
        <v>2917</v>
      </c>
      <c r="I2244" s="10" t="s">
        <v>18</v>
      </c>
      <c r="J2244" s="10" t="s">
        <v>143</v>
      </c>
      <c r="K2244" s="10" t="s">
        <v>2895</v>
      </c>
      <c r="L2244" s="10" t="s">
        <v>2292</v>
      </c>
      <c r="M2244" s="12">
        <v>45400</v>
      </c>
      <c r="N2244" s="10"/>
      <c r="O2244" s="10" t="s">
        <v>2057</v>
      </c>
      <c r="P2244" s="25" t="str">
        <f>IFERROR(
IF(OR(O2244="anulado",O2244="stand by"),CONCATENATE(O2244,": ",H2244),
IF(OR(YEAR(M2244)=2022,YEAR(M2244)=2023),CONCATENATE("Se activó en ",YEAR(M2244)),
IF(AND(OR(O2244="En proceso",O2244="facturando"),AND(J2244="-",M2244="")),"Por revisar",
IF(M2244="",IF(J2244="NUEVAS",CONCATENATE("Estado: ",O2244,", ",J2244),
IF(L2244=Meses!$A$3,"Por revisar",
IF(H2244="","Sin registro","En programación Frcst."))),"En programación")))),
"Error")</f>
        <v>En programación</v>
      </c>
      <c r="Q2244" s="9" t="str">
        <f t="shared" si="109"/>
        <v/>
      </c>
      <c r="R2244" s="25">
        <f>IF(P2244="En programación Frcst.",VLOOKUP(L2244,Meses!$A$1:$H$14,3+HLOOKUP(Cronograma!J2244,Meses!$D$1:$G$2,2,FALSE),FALSE),
IF(P2244="En programación",M2244,""))</f>
        <v>45400</v>
      </c>
      <c r="S2244" s="25" t="str">
        <f t="shared" si="108"/>
        <v>2024/4</v>
      </c>
      <c r="T2244" s="21">
        <f>IFERROR(
(VLOOKUP(MONTH(R2244),Meses!$B$3:$C$14,2,FALSE)-DAY(R2244))/VLOOKUP(MONTH(R2244),Meses!$B$3:$C$14,2,FALSE)*U2244,
"")</f>
        <v>12232</v>
      </c>
      <c r="U2244" s="22">
        <f t="shared" si="110"/>
        <v>30580</v>
      </c>
    </row>
    <row r="2245" spans="1:21" ht="47.4" hidden="1" thickBot="1" x14ac:dyDescent="0.6">
      <c r="A2245" s="10" t="s">
        <v>2877</v>
      </c>
      <c r="B2245" s="10" t="s">
        <v>2878</v>
      </c>
      <c r="C2245" s="12"/>
      <c r="D2245" s="10" t="s">
        <v>14</v>
      </c>
      <c r="E2245" s="10" t="s">
        <v>14</v>
      </c>
      <c r="F2245" s="10">
        <v>3932</v>
      </c>
      <c r="G2245" s="10" t="s">
        <v>15</v>
      </c>
      <c r="H2245" s="10" t="s">
        <v>2917</v>
      </c>
      <c r="I2245" s="10" t="s">
        <v>18</v>
      </c>
      <c r="J2245" s="10" t="s">
        <v>277</v>
      </c>
      <c r="K2245" s="10" t="s">
        <v>3327</v>
      </c>
      <c r="L2245" s="10" t="s">
        <v>2292</v>
      </c>
      <c r="M2245" s="12">
        <v>45400</v>
      </c>
      <c r="N2245" s="10"/>
      <c r="O2245" s="10" t="s">
        <v>2057</v>
      </c>
      <c r="P2245" s="25" t="str">
        <f>IFERROR(
IF(OR(O2245="anulado",O2245="stand by"),CONCATENATE(O2245,": ",H2245),
IF(OR(YEAR(M2245)=2022,YEAR(M2245)=2023),CONCATENATE("Se activó en ",YEAR(M2245)),
IF(AND(OR(O2245="En proceso",O2245="facturando"),AND(J2245="-",M2245="")),"Por revisar",
IF(M2245="",IF(J2245="NUEVAS",CONCATENATE("Estado: ",O2245,", ",J2245),
IF(L2245=Meses!$A$3,"Por revisar",
IF(H2245="","Sin registro","En programación Frcst."))),"En programación")))),
"Error")</f>
        <v>En programación</v>
      </c>
      <c r="Q2245" s="9" t="str">
        <f t="shared" si="109"/>
        <v/>
      </c>
      <c r="R2245" s="25">
        <f>IF(P2245="En programación Frcst.",VLOOKUP(L2245,Meses!$A$1:$H$14,3+HLOOKUP(Cronograma!J2245,Meses!$D$1:$G$2,2,FALSE),FALSE),
IF(P2245="En programación",M2245,""))</f>
        <v>45400</v>
      </c>
      <c r="S2245" s="25" t="str">
        <f t="shared" si="108"/>
        <v>2024/4</v>
      </c>
      <c r="T2245" s="21">
        <f>IFERROR(
(VLOOKUP(MONTH(R2245),Meses!$B$3:$C$14,2,FALSE)-DAY(R2245))/VLOOKUP(MONTH(R2245),Meses!$B$3:$C$14,2,FALSE)*U2245,
"")</f>
        <v>1572.8000000000002</v>
      </c>
      <c r="U2245" s="22">
        <f t="shared" si="110"/>
        <v>3932</v>
      </c>
    </row>
    <row r="2246" spans="1:21" ht="47.4" hidden="1" thickBot="1" x14ac:dyDescent="0.6">
      <c r="A2246" s="10" t="s">
        <v>2877</v>
      </c>
      <c r="B2246" s="10" t="s">
        <v>2879</v>
      </c>
      <c r="C2246" s="12"/>
      <c r="D2246" s="10" t="s">
        <v>14</v>
      </c>
      <c r="E2246" s="10" t="s">
        <v>14</v>
      </c>
      <c r="F2246" s="10">
        <v>5448</v>
      </c>
      <c r="G2246" s="10" t="s">
        <v>15</v>
      </c>
      <c r="H2246" s="10" t="s">
        <v>2917</v>
      </c>
      <c r="I2246" s="10" t="s">
        <v>18</v>
      </c>
      <c r="J2246" s="10" t="s">
        <v>277</v>
      </c>
      <c r="K2246" s="10" t="s">
        <v>3327</v>
      </c>
      <c r="L2246" s="10" t="s">
        <v>2292</v>
      </c>
      <c r="M2246" s="12">
        <v>45400</v>
      </c>
      <c r="N2246" s="10"/>
      <c r="O2246" s="10" t="s">
        <v>2057</v>
      </c>
      <c r="P2246" s="25" t="str">
        <f>IFERROR(
IF(OR(O2246="anulado",O2246="stand by"),CONCATENATE(O2246,": ",H2246),
IF(OR(YEAR(M2246)=2022,YEAR(M2246)=2023),CONCATENATE("Se activó en ",YEAR(M2246)),
IF(AND(OR(O2246="En proceso",O2246="facturando"),AND(J2246="-",M2246="")),"Por revisar",
IF(M2246="",IF(J2246="NUEVAS",CONCATENATE("Estado: ",O2246,", ",J2246),
IF(L2246=Meses!$A$3,"Por revisar",
IF(H2246="","Sin registro","En programación Frcst."))),"En programación")))),
"Error")</f>
        <v>En programación</v>
      </c>
      <c r="Q2246" s="9" t="str">
        <f t="shared" si="109"/>
        <v/>
      </c>
      <c r="R2246" s="25">
        <f>IF(P2246="En programación Frcst.",VLOOKUP(L2246,Meses!$A$1:$H$14,3+HLOOKUP(Cronograma!J2246,Meses!$D$1:$G$2,2,FALSE),FALSE),
IF(P2246="En programación",M2246,""))</f>
        <v>45400</v>
      </c>
      <c r="S2246" s="25" t="str">
        <f t="shared" si="108"/>
        <v>2024/4</v>
      </c>
      <c r="T2246" s="21">
        <f>IFERROR(
(VLOOKUP(MONTH(R2246),Meses!$B$3:$C$14,2,FALSE)-DAY(R2246))/VLOOKUP(MONTH(R2246),Meses!$B$3:$C$14,2,FALSE)*U2246,
"")</f>
        <v>2179.2000000000003</v>
      </c>
      <c r="U2246" s="22">
        <f t="shared" si="110"/>
        <v>5448</v>
      </c>
    </row>
    <row r="2247" spans="1:21" ht="47.4" hidden="1" thickBot="1" x14ac:dyDescent="0.6">
      <c r="A2247" s="10" t="s">
        <v>2877</v>
      </c>
      <c r="B2247" s="10" t="s">
        <v>2880</v>
      </c>
      <c r="C2247" s="12"/>
      <c r="D2247" s="10" t="s">
        <v>14</v>
      </c>
      <c r="E2247" s="10" t="s">
        <v>14</v>
      </c>
      <c r="F2247" s="10">
        <v>7600</v>
      </c>
      <c r="G2247" s="10" t="s">
        <v>15</v>
      </c>
      <c r="H2247" s="10" t="s">
        <v>2917</v>
      </c>
      <c r="I2247" s="10" t="s">
        <v>18</v>
      </c>
      <c r="J2247" s="10" t="s">
        <v>277</v>
      </c>
      <c r="K2247" s="10" t="s">
        <v>3327</v>
      </c>
      <c r="L2247" s="10" t="s">
        <v>2292</v>
      </c>
      <c r="M2247" s="12">
        <v>45400</v>
      </c>
      <c r="N2247" s="10"/>
      <c r="O2247" s="10" t="s">
        <v>2057</v>
      </c>
      <c r="P2247" s="25" t="str">
        <f>IFERROR(
IF(OR(O2247="anulado",O2247="stand by"),CONCATENATE(O2247,": ",H2247),
IF(OR(YEAR(M2247)=2022,YEAR(M2247)=2023),CONCATENATE("Se activó en ",YEAR(M2247)),
IF(AND(OR(O2247="En proceso",O2247="facturando"),AND(J2247="-",M2247="")),"Por revisar",
IF(M2247="",IF(J2247="NUEVAS",CONCATENATE("Estado: ",O2247,", ",J2247),
IF(L2247=Meses!$A$3,"Por revisar",
IF(H2247="","Sin registro","En programación Frcst."))),"En programación")))),
"Error")</f>
        <v>En programación</v>
      </c>
      <c r="Q2247" s="9" t="str">
        <f t="shared" si="109"/>
        <v/>
      </c>
      <c r="R2247" s="25">
        <f>IF(P2247="En programación Frcst.",VLOOKUP(L2247,Meses!$A$1:$H$14,3+HLOOKUP(Cronograma!J2247,Meses!$D$1:$G$2,2,FALSE),FALSE),
IF(P2247="En programación",M2247,""))</f>
        <v>45400</v>
      </c>
      <c r="S2247" s="25" t="str">
        <f t="shared" si="108"/>
        <v>2024/4</v>
      </c>
      <c r="T2247" s="21">
        <f>IFERROR(
(VLOOKUP(MONTH(R2247),Meses!$B$3:$C$14,2,FALSE)-DAY(R2247))/VLOOKUP(MONTH(R2247),Meses!$B$3:$C$14,2,FALSE)*U2247,
"")</f>
        <v>3040</v>
      </c>
      <c r="U2247" s="22">
        <f t="shared" si="110"/>
        <v>7600</v>
      </c>
    </row>
    <row r="2248" spans="1:21" ht="47.4" hidden="1" thickBot="1" x14ac:dyDescent="0.6">
      <c r="A2248" s="10" t="s">
        <v>2877</v>
      </c>
      <c r="B2248" s="10" t="s">
        <v>2881</v>
      </c>
      <c r="C2248" s="12"/>
      <c r="D2248" s="10" t="s">
        <v>14</v>
      </c>
      <c r="E2248" s="10" t="s">
        <v>14</v>
      </c>
      <c r="F2248" s="10">
        <v>1407</v>
      </c>
      <c r="G2248" s="10" t="s">
        <v>15</v>
      </c>
      <c r="H2248" s="10" t="s">
        <v>2917</v>
      </c>
      <c r="I2248" s="10" t="s">
        <v>18</v>
      </c>
      <c r="J2248" s="10" t="s">
        <v>277</v>
      </c>
      <c r="K2248" s="10" t="s">
        <v>3327</v>
      </c>
      <c r="L2248" s="10" t="s">
        <v>2292</v>
      </c>
      <c r="M2248" s="12">
        <v>45400</v>
      </c>
      <c r="N2248" s="10"/>
      <c r="O2248" s="10" t="s">
        <v>2057</v>
      </c>
      <c r="P2248" s="25" t="str">
        <f>IFERROR(
IF(OR(O2248="anulado",O2248="stand by"),CONCATENATE(O2248,": ",H2248),
IF(OR(YEAR(M2248)=2022,YEAR(M2248)=2023),CONCATENATE("Se activó en ",YEAR(M2248)),
IF(AND(OR(O2248="En proceso",O2248="facturando"),AND(J2248="-",M2248="")),"Por revisar",
IF(M2248="",IF(J2248="NUEVAS",CONCATENATE("Estado: ",O2248,", ",J2248),
IF(L2248=Meses!$A$3,"Por revisar",
IF(H2248="","Sin registro","En programación Frcst."))),"En programación")))),
"Error")</f>
        <v>En programación</v>
      </c>
      <c r="Q2248" s="9" t="str">
        <f t="shared" si="109"/>
        <v/>
      </c>
      <c r="R2248" s="25">
        <f>IF(P2248="En programación Frcst.",VLOOKUP(L2248,Meses!$A$1:$H$14,3+HLOOKUP(Cronograma!J2248,Meses!$D$1:$G$2,2,FALSE),FALSE),
IF(P2248="En programación",M2248,""))</f>
        <v>45400</v>
      </c>
      <c r="S2248" s="25" t="str">
        <f t="shared" si="108"/>
        <v>2024/4</v>
      </c>
      <c r="T2248" s="21">
        <f>IFERROR(
(VLOOKUP(MONTH(R2248),Meses!$B$3:$C$14,2,FALSE)-DAY(R2248))/VLOOKUP(MONTH(R2248),Meses!$B$3:$C$14,2,FALSE)*U2248,
"")</f>
        <v>562.80000000000007</v>
      </c>
      <c r="U2248" s="22">
        <f t="shared" si="110"/>
        <v>1407</v>
      </c>
    </row>
    <row r="2249" spans="1:21" ht="47.4" hidden="1" thickBot="1" x14ac:dyDescent="0.6">
      <c r="A2249" s="10" t="s">
        <v>2870</v>
      </c>
      <c r="B2249" s="10" t="s">
        <v>2882</v>
      </c>
      <c r="C2249" s="12"/>
      <c r="D2249" s="10" t="s">
        <v>14</v>
      </c>
      <c r="E2249" s="10" t="s">
        <v>14</v>
      </c>
      <c r="F2249" s="10">
        <v>12600</v>
      </c>
      <c r="G2249" s="10" t="s">
        <v>15</v>
      </c>
      <c r="H2249" s="10" t="s">
        <v>2917</v>
      </c>
      <c r="I2249" s="10" t="s">
        <v>18</v>
      </c>
      <c r="J2249" s="10" t="s">
        <v>277</v>
      </c>
      <c r="K2249" s="10" t="s">
        <v>3327</v>
      </c>
      <c r="L2249" s="10" t="s">
        <v>2292</v>
      </c>
      <c r="M2249" s="12">
        <v>45400</v>
      </c>
      <c r="N2249" s="10"/>
      <c r="O2249" s="10" t="s">
        <v>2057</v>
      </c>
      <c r="P2249" s="25" t="str">
        <f>IFERROR(
IF(OR(O2249="anulado",O2249="stand by"),CONCATENATE(O2249,": ",H2249),
IF(OR(YEAR(M2249)=2022,YEAR(M2249)=2023),CONCATENATE("Se activó en ",YEAR(M2249)),
IF(AND(OR(O2249="En proceso",O2249="facturando"),AND(J2249="-",M2249="")),"Por revisar",
IF(M2249="",IF(J2249="NUEVAS",CONCATENATE("Estado: ",O2249,", ",J2249),
IF(L2249=Meses!$A$3,"Por revisar",
IF(H2249="","Sin registro","En programación Frcst."))),"En programación")))),
"Error")</f>
        <v>En programación</v>
      </c>
      <c r="Q2249" s="9" t="str">
        <f t="shared" si="109"/>
        <v/>
      </c>
      <c r="R2249" s="25">
        <f>IF(P2249="En programación Frcst.",VLOOKUP(L2249,Meses!$A$1:$H$14,3+HLOOKUP(Cronograma!J2249,Meses!$D$1:$G$2,2,FALSE),FALSE),
IF(P2249="En programación",M2249,""))</f>
        <v>45400</v>
      </c>
      <c r="S2249" s="25" t="str">
        <f t="shared" si="108"/>
        <v>2024/4</v>
      </c>
      <c r="T2249" s="21">
        <f>IFERROR(
(VLOOKUP(MONTH(R2249),Meses!$B$3:$C$14,2,FALSE)-DAY(R2249))/VLOOKUP(MONTH(R2249),Meses!$B$3:$C$14,2,FALSE)*U2249,
"")</f>
        <v>5040</v>
      </c>
      <c r="U2249" s="22">
        <f t="shared" si="110"/>
        <v>12600</v>
      </c>
    </row>
    <row r="2250" spans="1:21" ht="31.8" hidden="1" thickBot="1" x14ac:dyDescent="0.6">
      <c r="A2250" s="10" t="s">
        <v>2883</v>
      </c>
      <c r="B2250" s="10" t="s">
        <v>2884</v>
      </c>
      <c r="C2250" s="12"/>
      <c r="D2250" s="10" t="s">
        <v>14</v>
      </c>
      <c r="E2250" s="10" t="s">
        <v>14</v>
      </c>
      <c r="F2250" s="10">
        <v>51158</v>
      </c>
      <c r="G2250" s="10" t="s">
        <v>15</v>
      </c>
      <c r="H2250" s="10" t="s">
        <v>2917</v>
      </c>
      <c r="I2250" s="10" t="s">
        <v>18</v>
      </c>
      <c r="J2250" s="10" t="s">
        <v>277</v>
      </c>
      <c r="K2250" s="10" t="s">
        <v>3327</v>
      </c>
      <c r="L2250" s="10" t="s">
        <v>2292</v>
      </c>
      <c r="M2250" s="12">
        <v>45400</v>
      </c>
      <c r="N2250" s="10"/>
      <c r="O2250" s="10" t="s">
        <v>2057</v>
      </c>
      <c r="P2250" s="25" t="str">
        <f>IFERROR(
IF(OR(O2250="anulado",O2250="stand by"),CONCATENATE(O2250,": ",H2250),
IF(OR(YEAR(M2250)=2022,YEAR(M2250)=2023),CONCATENATE("Se activó en ",YEAR(M2250)),
IF(AND(OR(O2250="En proceso",O2250="facturando"),AND(J2250="-",M2250="")),"Por revisar",
IF(M2250="",IF(J2250="NUEVAS",CONCATENATE("Estado: ",O2250,", ",J2250),
IF(L2250=Meses!$A$3,"Por revisar",
IF(H2250="","Sin registro","En programación Frcst."))),"En programación")))),
"Error")</f>
        <v>En programación</v>
      </c>
      <c r="Q2250" s="9" t="str">
        <f t="shared" si="109"/>
        <v/>
      </c>
      <c r="R2250" s="25">
        <f>IF(P2250="En programación Frcst.",VLOOKUP(L2250,Meses!$A$1:$H$14,3+HLOOKUP(Cronograma!J2250,Meses!$D$1:$G$2,2,FALSE),FALSE),
IF(P2250="En programación",M2250,""))</f>
        <v>45400</v>
      </c>
      <c r="S2250" s="25" t="str">
        <f t="shared" si="108"/>
        <v>2024/4</v>
      </c>
      <c r="T2250" s="21">
        <f>IFERROR(
(VLOOKUP(MONTH(R2250),Meses!$B$3:$C$14,2,FALSE)-DAY(R2250))/VLOOKUP(MONTH(R2250),Meses!$B$3:$C$14,2,FALSE)*U2250,
"")</f>
        <v>20463.2</v>
      </c>
      <c r="U2250" s="22">
        <f t="shared" si="110"/>
        <v>51158</v>
      </c>
    </row>
    <row r="2251" spans="1:21" ht="47.4" hidden="1" thickBot="1" x14ac:dyDescent="0.6">
      <c r="A2251" s="10" t="s">
        <v>2885</v>
      </c>
      <c r="B2251" s="10" t="s">
        <v>2886</v>
      </c>
      <c r="C2251" s="12"/>
      <c r="D2251" s="10" t="s">
        <v>74</v>
      </c>
      <c r="E2251" s="10" t="s">
        <v>74</v>
      </c>
      <c r="F2251" s="10">
        <v>10707</v>
      </c>
      <c r="G2251" s="10" t="s">
        <v>15</v>
      </c>
      <c r="H2251" s="10" t="s">
        <v>2917</v>
      </c>
      <c r="I2251" s="10" t="s">
        <v>43</v>
      </c>
      <c r="J2251" s="10" t="s">
        <v>143</v>
      </c>
      <c r="K2251" s="10" t="s">
        <v>2895</v>
      </c>
      <c r="L2251" s="10" t="s">
        <v>2292</v>
      </c>
      <c r="M2251" s="12">
        <v>45400</v>
      </c>
      <c r="N2251" s="10"/>
      <c r="O2251" s="10" t="s">
        <v>2057</v>
      </c>
      <c r="P2251" s="25" t="str">
        <f>IFERROR(
IF(OR(O2251="anulado",O2251="stand by"),CONCATENATE(O2251,": ",H2251),
IF(OR(YEAR(M2251)=2022,YEAR(M2251)=2023),CONCATENATE("Se activó en ",YEAR(M2251)),
IF(AND(OR(O2251="En proceso",O2251="facturando"),AND(J2251="-",M2251="")),"Por revisar",
IF(M2251="",IF(J2251="NUEVAS",CONCATENATE("Estado: ",O2251,", ",J2251),
IF(L2251=Meses!$A$3,"Por revisar",
IF(H2251="","Sin registro","En programación Frcst."))),"En programación")))),
"Error")</f>
        <v>En programación</v>
      </c>
      <c r="Q2251" s="9" t="str">
        <f t="shared" si="109"/>
        <v/>
      </c>
      <c r="R2251" s="25">
        <f>IF(P2251="En programación Frcst.",VLOOKUP(L2251,Meses!$A$1:$H$14,3+HLOOKUP(Cronograma!J2251,Meses!$D$1:$G$2,2,FALSE),FALSE),
IF(P2251="En programación",M2251,""))</f>
        <v>45400</v>
      </c>
      <c r="S2251" s="25" t="str">
        <f t="shared" si="108"/>
        <v>2024/4</v>
      </c>
      <c r="T2251" s="21">
        <f>IFERROR(
(VLOOKUP(MONTH(R2251),Meses!$B$3:$C$14,2,FALSE)-DAY(R2251))/VLOOKUP(MONTH(R2251),Meses!$B$3:$C$14,2,FALSE)*U2251,
"")</f>
        <v>4282.8</v>
      </c>
      <c r="U2251" s="22">
        <f t="shared" si="110"/>
        <v>10707</v>
      </c>
    </row>
    <row r="2252" spans="1:21" ht="31.8" hidden="1" thickBot="1" x14ac:dyDescent="0.6">
      <c r="A2252" s="10" t="s">
        <v>2887</v>
      </c>
      <c r="B2252" s="10" t="s">
        <v>2888</v>
      </c>
      <c r="C2252" s="12"/>
      <c r="D2252" s="10" t="s">
        <v>74</v>
      </c>
      <c r="E2252" s="10" t="s">
        <v>74</v>
      </c>
      <c r="F2252" s="10">
        <v>13276</v>
      </c>
      <c r="G2252" s="10" t="s">
        <v>15</v>
      </c>
      <c r="H2252" s="10" t="s">
        <v>2917</v>
      </c>
      <c r="I2252" s="10" t="s">
        <v>43</v>
      </c>
      <c r="J2252" s="10" t="s">
        <v>143</v>
      </c>
      <c r="K2252" s="10" t="s">
        <v>2895</v>
      </c>
      <c r="L2252" s="10" t="s">
        <v>2292</v>
      </c>
      <c r="M2252" s="12">
        <v>45400</v>
      </c>
      <c r="N2252" s="10"/>
      <c r="O2252" s="10" t="s">
        <v>2057</v>
      </c>
      <c r="P2252" s="25" t="str">
        <f>IFERROR(
IF(OR(O2252="anulado",O2252="stand by"),CONCATENATE(O2252,": ",H2252),
IF(OR(YEAR(M2252)=2022,YEAR(M2252)=2023),CONCATENATE("Se activó en ",YEAR(M2252)),
IF(AND(OR(O2252="En proceso",O2252="facturando"),AND(J2252="-",M2252="")),"Por revisar",
IF(M2252="",IF(J2252="NUEVAS",CONCATENATE("Estado: ",O2252,", ",J2252),
IF(L2252=Meses!$A$3,"Por revisar",
IF(H2252="","Sin registro","En programación Frcst."))),"En programación")))),
"Error")</f>
        <v>En programación</v>
      </c>
      <c r="Q2252" s="9" t="str">
        <f t="shared" si="109"/>
        <v/>
      </c>
      <c r="R2252" s="25">
        <f>IF(P2252="En programación Frcst.",VLOOKUP(L2252,Meses!$A$1:$H$14,3+HLOOKUP(Cronograma!J2252,Meses!$D$1:$G$2,2,FALSE),FALSE),
IF(P2252="En programación",M2252,""))</f>
        <v>45400</v>
      </c>
      <c r="S2252" s="25" t="str">
        <f t="shared" si="108"/>
        <v>2024/4</v>
      </c>
      <c r="T2252" s="21">
        <f>IFERROR(
(VLOOKUP(MONTH(R2252),Meses!$B$3:$C$14,2,FALSE)-DAY(R2252))/VLOOKUP(MONTH(R2252),Meses!$B$3:$C$14,2,FALSE)*U2252,
"")</f>
        <v>5310.4000000000005</v>
      </c>
      <c r="U2252" s="22">
        <f t="shared" si="110"/>
        <v>13276</v>
      </c>
    </row>
    <row r="2253" spans="1:21" ht="31.8" hidden="1" thickBot="1" x14ac:dyDescent="0.6">
      <c r="A2253" s="10" t="s">
        <v>2887</v>
      </c>
      <c r="B2253" s="10" t="s">
        <v>2889</v>
      </c>
      <c r="C2253" s="12"/>
      <c r="D2253" s="10" t="s">
        <v>74</v>
      </c>
      <c r="E2253" s="10" t="s">
        <v>74</v>
      </c>
      <c r="F2253" s="10">
        <v>5921</v>
      </c>
      <c r="G2253" s="10" t="s">
        <v>15</v>
      </c>
      <c r="H2253" s="10" t="s">
        <v>2917</v>
      </c>
      <c r="I2253" s="10" t="s">
        <v>43</v>
      </c>
      <c r="J2253" s="10" t="s">
        <v>143</v>
      </c>
      <c r="K2253" s="10" t="s">
        <v>2895</v>
      </c>
      <c r="L2253" s="10" t="s">
        <v>2292</v>
      </c>
      <c r="M2253" s="12">
        <v>45400</v>
      </c>
      <c r="N2253" s="10"/>
      <c r="O2253" s="10" t="s">
        <v>2057</v>
      </c>
      <c r="P2253" s="25" t="str">
        <f>IFERROR(
IF(OR(O2253="anulado",O2253="stand by"),CONCATENATE(O2253,": ",H2253),
IF(OR(YEAR(M2253)=2022,YEAR(M2253)=2023),CONCATENATE("Se activó en ",YEAR(M2253)),
IF(AND(OR(O2253="En proceso",O2253="facturando"),AND(J2253="-",M2253="")),"Por revisar",
IF(M2253="",IF(J2253="NUEVAS",CONCATENATE("Estado: ",O2253,", ",J2253),
IF(L2253=Meses!$A$3,"Por revisar",
IF(H2253="","Sin registro","En programación Frcst."))),"En programación")))),
"Error")</f>
        <v>En programación</v>
      </c>
      <c r="Q2253" s="9" t="str">
        <f t="shared" si="109"/>
        <v/>
      </c>
      <c r="R2253" s="25">
        <f>IF(P2253="En programación Frcst.",VLOOKUP(L2253,Meses!$A$1:$H$14,3+HLOOKUP(Cronograma!J2253,Meses!$D$1:$G$2,2,FALSE),FALSE),
IF(P2253="En programación",M2253,""))</f>
        <v>45400</v>
      </c>
      <c r="S2253" s="25" t="str">
        <f t="shared" si="108"/>
        <v>2024/4</v>
      </c>
      <c r="T2253" s="21">
        <f>IFERROR(
(VLOOKUP(MONTH(R2253),Meses!$B$3:$C$14,2,FALSE)-DAY(R2253))/VLOOKUP(MONTH(R2253),Meses!$B$3:$C$14,2,FALSE)*U2253,
"")</f>
        <v>2368.4</v>
      </c>
      <c r="U2253" s="22">
        <f t="shared" si="110"/>
        <v>5921</v>
      </c>
    </row>
    <row r="2254" spans="1:21" ht="31.8" hidden="1" thickBot="1" x14ac:dyDescent="0.6">
      <c r="A2254" s="10" t="s">
        <v>2887</v>
      </c>
      <c r="B2254" s="10" t="s">
        <v>2890</v>
      </c>
      <c r="C2254" s="12"/>
      <c r="D2254" s="10" t="s">
        <v>74</v>
      </c>
      <c r="E2254" s="10" t="s">
        <v>74</v>
      </c>
      <c r="F2254" s="10">
        <v>1442</v>
      </c>
      <c r="G2254" s="10" t="s">
        <v>15</v>
      </c>
      <c r="H2254" s="10" t="s">
        <v>2917</v>
      </c>
      <c r="I2254" s="10" t="s">
        <v>43</v>
      </c>
      <c r="J2254" s="10" t="s">
        <v>143</v>
      </c>
      <c r="K2254" s="10" t="s">
        <v>2895</v>
      </c>
      <c r="L2254" s="10" t="s">
        <v>2292</v>
      </c>
      <c r="M2254" s="12">
        <v>45400</v>
      </c>
      <c r="N2254" s="10"/>
      <c r="O2254" s="10" t="s">
        <v>2057</v>
      </c>
      <c r="P2254" s="25" t="str">
        <f>IFERROR(
IF(OR(O2254="anulado",O2254="stand by"),CONCATENATE(O2254,": ",H2254),
IF(OR(YEAR(M2254)=2022,YEAR(M2254)=2023),CONCATENATE("Se activó en ",YEAR(M2254)),
IF(AND(OR(O2254="En proceso",O2254="facturando"),AND(J2254="-",M2254="")),"Por revisar",
IF(M2254="",IF(J2254="NUEVAS",CONCATENATE("Estado: ",O2254,", ",J2254),
IF(L2254=Meses!$A$3,"Por revisar",
IF(H2254="","Sin registro","En programación Frcst."))),"En programación")))),
"Error")</f>
        <v>En programación</v>
      </c>
      <c r="Q2254" s="9" t="str">
        <f t="shared" si="109"/>
        <v/>
      </c>
      <c r="R2254" s="25">
        <f>IF(P2254="En programación Frcst.",VLOOKUP(L2254,Meses!$A$1:$H$14,3+HLOOKUP(Cronograma!J2254,Meses!$D$1:$G$2,2,FALSE),FALSE),
IF(P2254="En programación",M2254,""))</f>
        <v>45400</v>
      </c>
      <c r="S2254" s="25" t="str">
        <f t="shared" si="108"/>
        <v>2024/4</v>
      </c>
      <c r="T2254" s="21">
        <f>IFERROR(
(VLOOKUP(MONTH(R2254),Meses!$B$3:$C$14,2,FALSE)-DAY(R2254))/VLOOKUP(MONTH(R2254),Meses!$B$3:$C$14,2,FALSE)*U2254,
"")</f>
        <v>576.80000000000007</v>
      </c>
      <c r="U2254" s="22">
        <f t="shared" si="110"/>
        <v>1442</v>
      </c>
    </row>
    <row r="2255" spans="1:21" ht="63" hidden="1" thickBot="1" x14ac:dyDescent="0.6">
      <c r="A2255" s="10" t="s">
        <v>2906</v>
      </c>
      <c r="B2255" s="10" t="s">
        <v>2907</v>
      </c>
      <c r="C2255" s="12"/>
      <c r="D2255" s="10" t="s">
        <v>44</v>
      </c>
      <c r="E2255" s="10" t="s">
        <v>44</v>
      </c>
      <c r="F2255" s="10">
        <v>4000</v>
      </c>
      <c r="G2255" s="10" t="s">
        <v>15</v>
      </c>
      <c r="H2255" s="10" t="s">
        <v>2917</v>
      </c>
      <c r="I2255" s="10" t="s">
        <v>43</v>
      </c>
      <c r="J2255" s="10" t="s">
        <v>143</v>
      </c>
      <c r="K2255" s="10" t="s">
        <v>2895</v>
      </c>
      <c r="L2255" s="10" t="s">
        <v>2292</v>
      </c>
      <c r="M2255" s="12">
        <v>45400</v>
      </c>
      <c r="N2255" s="10"/>
      <c r="O2255" s="10" t="s">
        <v>2057</v>
      </c>
      <c r="P2255" s="25" t="str">
        <f>IFERROR(
IF(OR(O2255="anulado",O2255="stand by"),CONCATENATE(O2255,": ",H2255),
IF(OR(YEAR(M2255)=2022,YEAR(M2255)=2023),CONCATENATE("Se activó en ",YEAR(M2255)),
IF(AND(OR(O2255="En proceso",O2255="facturando"),AND(J2255="-",M2255="")),"Por revisar",
IF(M2255="",IF(J2255="NUEVAS",CONCATENATE("Estado: ",O2255,", ",J2255),
IF(L2255=Meses!$A$3,"Por revisar",
IF(H2255="","Sin registro","En programación Frcst."))),"En programación")))),
"Error")</f>
        <v>En programación</v>
      </c>
      <c r="Q2255" s="9" t="str">
        <f t="shared" si="109"/>
        <v/>
      </c>
      <c r="R2255" s="25">
        <f>IF(P2255="En programación Frcst.",VLOOKUP(L2255,Meses!$A$1:$H$14,3+HLOOKUP(Cronograma!J2255,Meses!$D$1:$G$2,2,FALSE),FALSE),
IF(P2255="En programación",M2255,""))</f>
        <v>45400</v>
      </c>
      <c r="S2255" s="25" t="str">
        <f t="shared" si="108"/>
        <v>2024/4</v>
      </c>
      <c r="T2255" s="21">
        <f>IFERROR(
(VLOOKUP(MONTH(R2255),Meses!$B$3:$C$14,2,FALSE)-DAY(R2255))/VLOOKUP(MONTH(R2255),Meses!$B$3:$C$14,2,FALSE)*U2255,
"")</f>
        <v>1600</v>
      </c>
      <c r="U2255" s="22">
        <f t="shared" si="110"/>
        <v>4000</v>
      </c>
    </row>
    <row r="2256" spans="1:21" ht="63" hidden="1" thickBot="1" x14ac:dyDescent="0.6">
      <c r="A2256" s="10" t="s">
        <v>2906</v>
      </c>
      <c r="B2256" s="10" t="s">
        <v>2908</v>
      </c>
      <c r="C2256" s="12"/>
      <c r="D2256" s="10" t="s">
        <v>44</v>
      </c>
      <c r="E2256" s="10" t="s">
        <v>44</v>
      </c>
      <c r="F2256" s="10">
        <v>5000</v>
      </c>
      <c r="G2256" s="10" t="s">
        <v>15</v>
      </c>
      <c r="H2256" s="10" t="s">
        <v>2917</v>
      </c>
      <c r="I2256" s="10" t="s">
        <v>43</v>
      </c>
      <c r="J2256" s="10" t="s">
        <v>143</v>
      </c>
      <c r="K2256" s="10" t="s">
        <v>2895</v>
      </c>
      <c r="L2256" s="10" t="s">
        <v>2292</v>
      </c>
      <c r="M2256" s="12">
        <v>45400</v>
      </c>
      <c r="N2256" s="10"/>
      <c r="O2256" s="10" t="s">
        <v>2057</v>
      </c>
      <c r="P2256" s="25" t="str">
        <f>IFERROR(
IF(OR(O2256="anulado",O2256="stand by"),CONCATENATE(O2256,": ",H2256),
IF(OR(YEAR(M2256)=2022,YEAR(M2256)=2023),CONCATENATE("Se activó en ",YEAR(M2256)),
IF(AND(OR(O2256="En proceso",O2256="facturando"),AND(J2256="-",M2256="")),"Por revisar",
IF(M2256="",IF(J2256="NUEVAS",CONCATENATE("Estado: ",O2256,", ",J2256),
IF(L2256=Meses!$A$3,"Por revisar",
IF(H2256="","Sin registro","En programación Frcst."))),"En programación")))),
"Error")</f>
        <v>En programación</v>
      </c>
      <c r="Q2256" s="9" t="str">
        <f t="shared" si="109"/>
        <v/>
      </c>
      <c r="R2256" s="25">
        <f>IF(P2256="En programación Frcst.",VLOOKUP(L2256,Meses!$A$1:$H$14,3+HLOOKUP(Cronograma!J2256,Meses!$D$1:$G$2,2,FALSE),FALSE),
IF(P2256="En programación",M2256,""))</f>
        <v>45400</v>
      </c>
      <c r="S2256" s="25" t="str">
        <f t="shared" si="108"/>
        <v>2024/4</v>
      </c>
      <c r="T2256" s="21">
        <f>IFERROR(
(VLOOKUP(MONTH(R2256),Meses!$B$3:$C$14,2,FALSE)-DAY(R2256))/VLOOKUP(MONTH(R2256),Meses!$B$3:$C$14,2,FALSE)*U2256,
"")</f>
        <v>2000</v>
      </c>
      <c r="U2256" s="22">
        <f t="shared" si="110"/>
        <v>5000</v>
      </c>
    </row>
    <row r="2257" spans="1:21" ht="63" hidden="1" thickBot="1" x14ac:dyDescent="0.6">
      <c r="A2257" s="10" t="s">
        <v>2906</v>
      </c>
      <c r="B2257" s="10" t="s">
        <v>2909</v>
      </c>
      <c r="C2257" s="12"/>
      <c r="D2257" s="10" t="s">
        <v>44</v>
      </c>
      <c r="E2257" s="10" t="s">
        <v>44</v>
      </c>
      <c r="F2257" s="10">
        <v>4000</v>
      </c>
      <c r="G2257" s="10" t="s">
        <v>15</v>
      </c>
      <c r="H2257" s="10" t="s">
        <v>2917</v>
      </c>
      <c r="I2257" s="10" t="s">
        <v>43</v>
      </c>
      <c r="J2257" s="10" t="s">
        <v>143</v>
      </c>
      <c r="K2257" s="10" t="s">
        <v>2895</v>
      </c>
      <c r="L2257" s="10" t="s">
        <v>2292</v>
      </c>
      <c r="M2257" s="12">
        <v>45400</v>
      </c>
      <c r="N2257" s="10"/>
      <c r="O2257" s="10" t="s">
        <v>2057</v>
      </c>
      <c r="P2257" s="25" t="str">
        <f>IFERROR(
IF(OR(O2257="anulado",O2257="stand by"),CONCATENATE(O2257,": ",H2257),
IF(OR(YEAR(M2257)=2022,YEAR(M2257)=2023),CONCATENATE("Se activó en ",YEAR(M2257)),
IF(AND(OR(O2257="En proceso",O2257="facturando"),AND(J2257="-",M2257="")),"Por revisar",
IF(M2257="",IF(J2257="NUEVAS",CONCATENATE("Estado: ",O2257,", ",J2257),
IF(L2257=Meses!$A$3,"Por revisar",
IF(H2257="","Sin registro","En programación Frcst."))),"En programación")))),
"Error")</f>
        <v>En programación</v>
      </c>
      <c r="Q2257" s="9" t="str">
        <f t="shared" si="109"/>
        <v/>
      </c>
      <c r="R2257" s="25">
        <f>IF(P2257="En programación Frcst.",VLOOKUP(L2257,Meses!$A$1:$H$14,3+HLOOKUP(Cronograma!J2257,Meses!$D$1:$G$2,2,FALSE),FALSE),
IF(P2257="En programación",M2257,""))</f>
        <v>45400</v>
      </c>
      <c r="S2257" s="25" t="str">
        <f t="shared" si="108"/>
        <v>2024/4</v>
      </c>
      <c r="T2257" s="21">
        <f>IFERROR(
(VLOOKUP(MONTH(R2257),Meses!$B$3:$C$14,2,FALSE)-DAY(R2257))/VLOOKUP(MONTH(R2257),Meses!$B$3:$C$14,2,FALSE)*U2257,
"")</f>
        <v>1600</v>
      </c>
      <c r="U2257" s="22">
        <f t="shared" si="110"/>
        <v>4000</v>
      </c>
    </row>
    <row r="2258" spans="1:21" ht="31.8" hidden="1" thickBot="1" x14ac:dyDescent="0.6">
      <c r="A2258" s="10" t="s">
        <v>2910</v>
      </c>
      <c r="B2258" s="10" t="s">
        <v>2911</v>
      </c>
      <c r="C2258" s="12"/>
      <c r="D2258" s="10" t="s">
        <v>74</v>
      </c>
      <c r="E2258" s="10" t="s">
        <v>74</v>
      </c>
      <c r="F2258" s="10">
        <v>6240</v>
      </c>
      <c r="G2258" s="10" t="s">
        <v>15</v>
      </c>
      <c r="H2258" s="10" t="s">
        <v>2917</v>
      </c>
      <c r="I2258" s="10" t="s">
        <v>43</v>
      </c>
      <c r="J2258" s="10" t="s">
        <v>143</v>
      </c>
      <c r="K2258" s="10" t="s">
        <v>2895</v>
      </c>
      <c r="L2258" s="10" t="s">
        <v>2292</v>
      </c>
      <c r="M2258" s="12">
        <v>45400</v>
      </c>
      <c r="N2258" s="10"/>
      <c r="O2258" s="10" t="s">
        <v>2057</v>
      </c>
      <c r="P2258" s="25" t="str">
        <f>IFERROR(
IF(OR(O2258="anulado",O2258="stand by"),CONCATENATE(O2258,": ",H2258),
IF(OR(YEAR(M2258)=2022,YEAR(M2258)=2023),CONCATENATE("Se activó en ",YEAR(M2258)),
IF(AND(OR(O2258="En proceso",O2258="facturando"),AND(J2258="-",M2258="")),"Por revisar",
IF(M2258="",IF(J2258="NUEVAS",CONCATENATE("Estado: ",O2258,", ",J2258),
IF(L2258=Meses!$A$3,"Por revisar",
IF(H2258="","Sin registro","En programación Frcst."))),"En programación")))),
"Error")</f>
        <v>En programación</v>
      </c>
      <c r="Q2258" s="9" t="str">
        <f t="shared" si="109"/>
        <v/>
      </c>
      <c r="R2258" s="25">
        <f>IF(P2258="En programación Frcst.",VLOOKUP(L2258,Meses!$A$1:$H$14,3+HLOOKUP(Cronograma!J2258,Meses!$D$1:$G$2,2,FALSE),FALSE),
IF(P2258="En programación",M2258,""))</f>
        <v>45400</v>
      </c>
      <c r="S2258" s="25" t="str">
        <f t="shared" si="108"/>
        <v>2024/4</v>
      </c>
      <c r="T2258" s="21">
        <f>IFERROR(
(VLOOKUP(MONTH(R2258),Meses!$B$3:$C$14,2,FALSE)-DAY(R2258))/VLOOKUP(MONTH(R2258),Meses!$B$3:$C$14,2,FALSE)*U2258,
"")</f>
        <v>2496</v>
      </c>
      <c r="U2258" s="22">
        <f t="shared" si="110"/>
        <v>6240</v>
      </c>
    </row>
    <row r="2259" spans="1:21" ht="31.8" hidden="1" thickBot="1" x14ac:dyDescent="0.6">
      <c r="A2259" s="10" t="s">
        <v>2912</v>
      </c>
      <c r="B2259" s="10" t="s">
        <v>2913</v>
      </c>
      <c r="C2259" s="12"/>
      <c r="D2259" s="10" t="s">
        <v>14</v>
      </c>
      <c r="E2259" s="10" t="s">
        <v>14</v>
      </c>
      <c r="F2259" s="10">
        <v>120000</v>
      </c>
      <c r="G2259" s="10" t="s">
        <v>15</v>
      </c>
      <c r="H2259" s="10" t="s">
        <v>2917</v>
      </c>
      <c r="I2259" s="10" t="s">
        <v>18</v>
      </c>
      <c r="J2259" s="10" t="s">
        <v>277</v>
      </c>
      <c r="K2259" s="10" t="s">
        <v>3327</v>
      </c>
      <c r="L2259" s="10" t="s">
        <v>2292</v>
      </c>
      <c r="M2259" s="12">
        <v>45400</v>
      </c>
      <c r="N2259" s="10"/>
      <c r="O2259" s="10" t="s">
        <v>2057</v>
      </c>
      <c r="P2259" s="25" t="str">
        <f>IFERROR(
IF(OR(O2259="anulado",O2259="stand by"),CONCATENATE(O2259,": ",H2259),
IF(OR(YEAR(M2259)=2022,YEAR(M2259)=2023),CONCATENATE("Se activó en ",YEAR(M2259)),
IF(AND(OR(O2259="En proceso",O2259="facturando"),AND(J2259="-",M2259="")),"Por revisar",
IF(M2259="",IF(J2259="NUEVAS",CONCATENATE("Estado: ",O2259,", ",J2259),
IF(L2259=Meses!$A$3,"Por revisar",
IF(H2259="","Sin registro","En programación Frcst."))),"En programación")))),
"Error")</f>
        <v>En programación</v>
      </c>
      <c r="Q2259" s="9" t="str">
        <f t="shared" si="109"/>
        <v/>
      </c>
      <c r="R2259" s="25">
        <f>IF(P2259="En programación Frcst.",VLOOKUP(L2259,Meses!$A$1:$H$14,3+HLOOKUP(Cronograma!J2259,Meses!$D$1:$G$2,2,FALSE),FALSE),
IF(P2259="En programación",M2259,""))</f>
        <v>45400</v>
      </c>
      <c r="S2259" s="25" t="str">
        <f t="shared" si="108"/>
        <v>2024/4</v>
      </c>
      <c r="T2259" s="21">
        <f>IFERROR(
(VLOOKUP(MONTH(R2259),Meses!$B$3:$C$14,2,FALSE)-DAY(R2259))/VLOOKUP(MONTH(R2259),Meses!$B$3:$C$14,2,FALSE)*U2259,
"")</f>
        <v>48000</v>
      </c>
      <c r="U2259" s="22">
        <f t="shared" si="110"/>
        <v>120000</v>
      </c>
    </row>
    <row r="2260" spans="1:21" ht="31.8" hidden="1" thickBot="1" x14ac:dyDescent="0.6">
      <c r="A2260" s="10" t="s">
        <v>2914</v>
      </c>
      <c r="B2260" s="10" t="s">
        <v>2915</v>
      </c>
      <c r="C2260" s="12"/>
      <c r="D2260" s="10" t="s">
        <v>44</v>
      </c>
      <c r="E2260" s="10" t="s">
        <v>44</v>
      </c>
      <c r="F2260" s="10">
        <v>1800</v>
      </c>
      <c r="G2260" s="10" t="s">
        <v>15</v>
      </c>
      <c r="H2260" s="10" t="s">
        <v>2917</v>
      </c>
      <c r="I2260" s="10" t="s">
        <v>43</v>
      </c>
      <c r="J2260" s="10" t="s">
        <v>143</v>
      </c>
      <c r="K2260" s="10" t="s">
        <v>2895</v>
      </c>
      <c r="L2260" s="10" t="s">
        <v>2292</v>
      </c>
      <c r="M2260" s="12">
        <v>45400</v>
      </c>
      <c r="N2260" s="10"/>
      <c r="O2260" s="10" t="s">
        <v>2057</v>
      </c>
      <c r="P2260" s="25" t="str">
        <f>IFERROR(
IF(OR(O2260="anulado",O2260="stand by"),CONCATENATE(O2260,": ",H2260),
IF(OR(YEAR(M2260)=2022,YEAR(M2260)=2023),CONCATENATE("Se activó en ",YEAR(M2260)),
IF(AND(OR(O2260="En proceso",O2260="facturando"),AND(J2260="-",M2260="")),"Por revisar",
IF(M2260="",IF(J2260="NUEVAS",CONCATENATE("Estado: ",O2260,", ",J2260),
IF(L2260=Meses!$A$3,"Por revisar",
IF(H2260="","Sin registro","En programación Frcst."))),"En programación")))),
"Error")</f>
        <v>En programación</v>
      </c>
      <c r="Q2260" s="9" t="str">
        <f t="shared" si="109"/>
        <v/>
      </c>
      <c r="R2260" s="25">
        <f>IF(P2260="En programación Frcst.",VLOOKUP(L2260,Meses!$A$1:$H$14,3+HLOOKUP(Cronograma!J2260,Meses!$D$1:$G$2,2,FALSE),FALSE),
IF(P2260="En programación",M2260,""))</f>
        <v>45400</v>
      </c>
      <c r="S2260" s="25" t="str">
        <f t="shared" si="108"/>
        <v>2024/4</v>
      </c>
      <c r="T2260" s="21">
        <f>IFERROR(
(VLOOKUP(MONTH(R2260),Meses!$B$3:$C$14,2,FALSE)-DAY(R2260))/VLOOKUP(MONTH(R2260),Meses!$B$3:$C$14,2,FALSE)*U2260,
"")</f>
        <v>720</v>
      </c>
      <c r="U2260" s="22">
        <f t="shared" si="110"/>
        <v>1800</v>
      </c>
    </row>
    <row r="2261" spans="1:21" ht="47.4" hidden="1" thickBot="1" x14ac:dyDescent="0.6">
      <c r="A2261" s="10" t="s">
        <v>3138</v>
      </c>
      <c r="B2261" s="10" t="s">
        <v>3139</v>
      </c>
      <c r="C2261" s="12"/>
      <c r="D2261" s="10" t="s">
        <v>44</v>
      </c>
      <c r="E2261" s="10" t="s">
        <v>44</v>
      </c>
      <c r="F2261" s="10">
        <v>8581</v>
      </c>
      <c r="G2261" s="10" t="s">
        <v>15</v>
      </c>
      <c r="H2261" s="10" t="s">
        <v>2917</v>
      </c>
      <c r="I2261" s="10" t="s">
        <v>43</v>
      </c>
      <c r="J2261" s="10" t="s">
        <v>143</v>
      </c>
      <c r="K2261" s="10" t="s">
        <v>2895</v>
      </c>
      <c r="L2261" s="10" t="s">
        <v>2292</v>
      </c>
      <c r="M2261" s="12">
        <v>45400</v>
      </c>
      <c r="N2261" s="10"/>
      <c r="O2261" s="10" t="s">
        <v>2057</v>
      </c>
      <c r="P2261" s="25" t="str">
        <f>IFERROR(
IF(OR(O2261="anulado",O2261="stand by"),CONCATENATE(O2261,": ",H2261),
IF(OR(YEAR(M2261)=2022,YEAR(M2261)=2023),CONCATENATE("Se activó en ",YEAR(M2261)),
IF(AND(OR(O2261="En proceso",O2261="facturando"),AND(J2261="-",M2261="")),"Por revisar",
IF(M2261="",IF(J2261="NUEVAS",CONCATENATE("Estado: ",O2261,", ",J2261),
IF(L2261=Meses!$A$3,"Por revisar",
IF(H2261="","Sin registro","En programación Frcst."))),"En programación")))),
"Error")</f>
        <v>En programación</v>
      </c>
      <c r="Q2261" s="9" t="str">
        <f t="shared" si="109"/>
        <v/>
      </c>
      <c r="R2261" s="25">
        <f>IF(P2261="En programación Frcst.",VLOOKUP(L2261,Meses!$A$1:$H$14,3+HLOOKUP(Cronograma!J2261,Meses!$D$1:$G$2,2,FALSE),FALSE),
IF(P2261="En programación",M2261,""))</f>
        <v>45400</v>
      </c>
      <c r="S2261" s="25" t="str">
        <f t="shared" si="108"/>
        <v>2024/4</v>
      </c>
      <c r="T2261" s="21">
        <f>IFERROR(
(VLOOKUP(MONTH(R2261),Meses!$B$3:$C$14,2,FALSE)-DAY(R2261))/VLOOKUP(MONTH(R2261),Meses!$B$3:$C$14,2,FALSE)*U2261,
"")</f>
        <v>3432.4</v>
      </c>
      <c r="U2261" s="22">
        <f t="shared" si="110"/>
        <v>8581</v>
      </c>
    </row>
    <row r="2262" spans="1:21" ht="31.8" hidden="1" thickBot="1" x14ac:dyDescent="0.6">
      <c r="A2262" s="10" t="s">
        <v>3140</v>
      </c>
      <c r="B2262" s="10" t="s">
        <v>3141</v>
      </c>
      <c r="C2262" s="12"/>
      <c r="D2262" s="10" t="s">
        <v>44</v>
      </c>
      <c r="E2262" s="10" t="s">
        <v>44</v>
      </c>
      <c r="F2262" s="10">
        <v>8100</v>
      </c>
      <c r="G2262" s="10" t="s">
        <v>15</v>
      </c>
      <c r="H2262" s="10" t="s">
        <v>2917</v>
      </c>
      <c r="I2262" s="10" t="s">
        <v>43</v>
      </c>
      <c r="J2262" s="10" t="s">
        <v>143</v>
      </c>
      <c r="K2262" s="10" t="s">
        <v>2895</v>
      </c>
      <c r="L2262" s="10" t="s">
        <v>2292</v>
      </c>
      <c r="M2262" s="12">
        <v>45400</v>
      </c>
      <c r="N2262" s="10"/>
      <c r="O2262" s="10" t="s">
        <v>2057</v>
      </c>
      <c r="P2262" s="25" t="str">
        <f>IFERROR(
IF(OR(O2262="anulado",O2262="stand by"),CONCATENATE(O2262,": ",H2262),
IF(OR(YEAR(M2262)=2022,YEAR(M2262)=2023),CONCATENATE("Se activó en ",YEAR(M2262)),
IF(AND(OR(O2262="En proceso",O2262="facturando"),AND(J2262="-",M2262="")),"Por revisar",
IF(M2262="",IF(J2262="NUEVAS",CONCATENATE("Estado: ",O2262,", ",J2262),
IF(L2262=Meses!$A$3,"Por revisar",
IF(H2262="","Sin registro","En programación Frcst."))),"En programación")))),
"Error")</f>
        <v>En programación</v>
      </c>
      <c r="Q2262" s="9" t="str">
        <f t="shared" si="109"/>
        <v/>
      </c>
      <c r="R2262" s="25">
        <f>IF(P2262="En programación Frcst.",VLOOKUP(L2262,Meses!$A$1:$H$14,3+HLOOKUP(Cronograma!J2262,Meses!$D$1:$G$2,2,FALSE),FALSE),
IF(P2262="En programación",M2262,""))</f>
        <v>45400</v>
      </c>
      <c r="S2262" s="25" t="str">
        <f t="shared" ref="S2262:S2288" si="111">IFERROR(CONCATENATE(YEAR(R2262),"/",MONTH(R2262)),"")</f>
        <v>2024/4</v>
      </c>
      <c r="T2262" s="21">
        <f>IFERROR(
(VLOOKUP(MONTH(R2262),Meses!$B$3:$C$14,2,FALSE)-DAY(R2262))/VLOOKUP(MONTH(R2262),Meses!$B$3:$C$14,2,FALSE)*U2262,
"")</f>
        <v>3240</v>
      </c>
      <c r="U2262" s="22">
        <f t="shared" ref="U2262:U2288" si="112">F2262</f>
        <v>8100</v>
      </c>
    </row>
    <row r="2263" spans="1:21" ht="31.8" hidden="1" thickBot="1" x14ac:dyDescent="0.6">
      <c r="A2263" s="10" t="s">
        <v>3140</v>
      </c>
      <c r="B2263" s="10" t="s">
        <v>3142</v>
      </c>
      <c r="C2263" s="12"/>
      <c r="D2263" s="10" t="s">
        <v>44</v>
      </c>
      <c r="E2263" s="10" t="s">
        <v>44</v>
      </c>
      <c r="F2263" s="10">
        <v>2636</v>
      </c>
      <c r="G2263" s="10" t="s">
        <v>15</v>
      </c>
      <c r="H2263" s="10" t="s">
        <v>2917</v>
      </c>
      <c r="I2263" s="10" t="s">
        <v>43</v>
      </c>
      <c r="J2263" s="10" t="s">
        <v>143</v>
      </c>
      <c r="K2263" s="10" t="s">
        <v>2895</v>
      </c>
      <c r="L2263" s="10" t="s">
        <v>2292</v>
      </c>
      <c r="M2263" s="12">
        <v>45400</v>
      </c>
      <c r="N2263" s="10"/>
      <c r="O2263" s="10" t="s">
        <v>2057</v>
      </c>
      <c r="P2263" s="25" t="str">
        <f>IFERROR(
IF(OR(O2263="anulado",O2263="stand by"),CONCATENATE(O2263,": ",H2263),
IF(OR(YEAR(M2263)=2022,YEAR(M2263)=2023),CONCATENATE("Se activó en ",YEAR(M2263)),
IF(AND(OR(O2263="En proceso",O2263="facturando"),AND(J2263="-",M2263="")),"Por revisar",
IF(M2263="",IF(J2263="NUEVAS",CONCATENATE("Estado: ",O2263,", ",J2263),
IF(L2263=Meses!$A$3,"Por revisar",
IF(H2263="","Sin registro","En programación Frcst."))),"En programación")))),
"Error")</f>
        <v>En programación</v>
      </c>
      <c r="Q2263" s="9" t="str">
        <f t="shared" si="109"/>
        <v/>
      </c>
      <c r="R2263" s="25">
        <f>IF(P2263="En programación Frcst.",VLOOKUP(L2263,Meses!$A$1:$H$14,3+HLOOKUP(Cronograma!J2263,Meses!$D$1:$G$2,2,FALSE),FALSE),
IF(P2263="En programación",M2263,""))</f>
        <v>45400</v>
      </c>
      <c r="S2263" s="25" t="str">
        <f t="shared" si="111"/>
        <v>2024/4</v>
      </c>
      <c r="T2263" s="21">
        <f>IFERROR(
(VLOOKUP(MONTH(R2263),Meses!$B$3:$C$14,2,FALSE)-DAY(R2263))/VLOOKUP(MONTH(R2263),Meses!$B$3:$C$14,2,FALSE)*U2263,
"")</f>
        <v>1054.4000000000001</v>
      </c>
      <c r="U2263" s="22">
        <f t="shared" si="112"/>
        <v>2636</v>
      </c>
    </row>
    <row r="2264" spans="1:21" ht="31.8" hidden="1" thickBot="1" x14ac:dyDescent="0.6">
      <c r="A2264" s="10" t="s">
        <v>3140</v>
      </c>
      <c r="B2264" s="10" t="s">
        <v>3143</v>
      </c>
      <c r="C2264" s="12"/>
      <c r="D2264" s="10" t="s">
        <v>44</v>
      </c>
      <c r="E2264" s="10" t="s">
        <v>44</v>
      </c>
      <c r="F2264" s="10">
        <v>74</v>
      </c>
      <c r="G2264" s="10" t="s">
        <v>15</v>
      </c>
      <c r="H2264" s="10" t="s">
        <v>2917</v>
      </c>
      <c r="I2264" s="10" t="s">
        <v>43</v>
      </c>
      <c r="J2264" s="10" t="s">
        <v>143</v>
      </c>
      <c r="K2264" s="10" t="s">
        <v>2895</v>
      </c>
      <c r="L2264" s="10" t="s">
        <v>2292</v>
      </c>
      <c r="M2264" s="12">
        <v>45400</v>
      </c>
      <c r="N2264" s="10"/>
      <c r="O2264" s="10" t="s">
        <v>2057</v>
      </c>
      <c r="P2264" s="25" t="str">
        <f>IFERROR(
IF(OR(O2264="anulado",O2264="stand by"),CONCATENATE(O2264,": ",H2264),
IF(OR(YEAR(M2264)=2022,YEAR(M2264)=2023),CONCATENATE("Se activó en ",YEAR(M2264)),
IF(AND(OR(O2264="En proceso",O2264="facturando"),AND(J2264="-",M2264="")),"Por revisar",
IF(M2264="",IF(J2264="NUEVAS",CONCATENATE("Estado: ",O2264,", ",J2264),
IF(L2264=Meses!$A$3,"Por revisar",
IF(H2264="","Sin registro","En programación Frcst."))),"En programación")))),
"Error")</f>
        <v>En programación</v>
      </c>
      <c r="Q2264" s="9" t="str">
        <f t="shared" si="109"/>
        <v/>
      </c>
      <c r="R2264" s="25">
        <f>IF(P2264="En programación Frcst.",VLOOKUP(L2264,Meses!$A$1:$H$14,3+HLOOKUP(Cronograma!J2264,Meses!$D$1:$G$2,2,FALSE),FALSE),
IF(P2264="En programación",M2264,""))</f>
        <v>45400</v>
      </c>
      <c r="S2264" s="25" t="str">
        <f t="shared" si="111"/>
        <v>2024/4</v>
      </c>
      <c r="T2264" s="21">
        <f>IFERROR(
(VLOOKUP(MONTH(R2264),Meses!$B$3:$C$14,2,FALSE)-DAY(R2264))/VLOOKUP(MONTH(R2264),Meses!$B$3:$C$14,2,FALSE)*U2264,
"")</f>
        <v>29.6</v>
      </c>
      <c r="U2264" s="22">
        <f t="shared" si="112"/>
        <v>74</v>
      </c>
    </row>
    <row r="2265" spans="1:21" ht="47.4" hidden="1" thickBot="1" x14ac:dyDescent="0.6">
      <c r="A2265" s="10" t="s">
        <v>3144</v>
      </c>
      <c r="B2265" s="10" t="s">
        <v>3145</v>
      </c>
      <c r="C2265" s="12"/>
      <c r="D2265" s="10" t="s">
        <v>44</v>
      </c>
      <c r="E2265" s="10" t="s">
        <v>44</v>
      </c>
      <c r="F2265" s="10">
        <v>30480</v>
      </c>
      <c r="G2265" s="10" t="s">
        <v>15</v>
      </c>
      <c r="H2265" s="10" t="s">
        <v>2917</v>
      </c>
      <c r="I2265" s="10" t="s">
        <v>43</v>
      </c>
      <c r="J2265" s="10" t="s">
        <v>143</v>
      </c>
      <c r="K2265" s="10" t="s">
        <v>2895</v>
      </c>
      <c r="L2265" s="10" t="s">
        <v>2292</v>
      </c>
      <c r="M2265" s="12">
        <v>45400</v>
      </c>
      <c r="N2265" s="10"/>
      <c r="O2265" s="10" t="s">
        <v>2057</v>
      </c>
      <c r="P2265" s="25" t="str">
        <f>IFERROR(
IF(OR(O2265="anulado",O2265="stand by"),CONCATENATE(O2265,": ",H2265),
IF(OR(YEAR(M2265)=2022,YEAR(M2265)=2023),CONCATENATE("Se activó en ",YEAR(M2265)),
IF(AND(OR(O2265="En proceso",O2265="facturando"),AND(J2265="-",M2265="")),"Por revisar",
IF(M2265="",IF(J2265="NUEVAS",CONCATENATE("Estado: ",O2265,", ",J2265),
IF(L2265=Meses!$A$3,"Por revisar",
IF(H2265="","Sin registro","En programación Frcst."))),"En programación")))),
"Error")</f>
        <v>En programación</v>
      </c>
      <c r="Q2265" s="9" t="str">
        <f t="shared" si="109"/>
        <v/>
      </c>
      <c r="R2265" s="25">
        <f>IF(P2265="En programación Frcst.",VLOOKUP(L2265,Meses!$A$1:$H$14,3+HLOOKUP(Cronograma!J2265,Meses!$D$1:$G$2,2,FALSE),FALSE),
IF(P2265="En programación",M2265,""))</f>
        <v>45400</v>
      </c>
      <c r="S2265" s="25" t="str">
        <f t="shared" si="111"/>
        <v>2024/4</v>
      </c>
      <c r="T2265" s="21">
        <f>IFERROR(
(VLOOKUP(MONTH(R2265),Meses!$B$3:$C$14,2,FALSE)-DAY(R2265))/VLOOKUP(MONTH(R2265),Meses!$B$3:$C$14,2,FALSE)*U2265,
"")</f>
        <v>12192</v>
      </c>
      <c r="U2265" s="22">
        <f t="shared" si="112"/>
        <v>30480</v>
      </c>
    </row>
    <row r="2266" spans="1:21" ht="31.8" hidden="1" thickBot="1" x14ac:dyDescent="0.6">
      <c r="A2266" s="10" t="s">
        <v>3146</v>
      </c>
      <c r="B2266" s="10" t="s">
        <v>3147</v>
      </c>
      <c r="C2266" s="12"/>
      <c r="D2266" s="10" t="s">
        <v>74</v>
      </c>
      <c r="E2266" s="10" t="s">
        <v>74</v>
      </c>
      <c r="F2266" s="10">
        <v>4636</v>
      </c>
      <c r="G2266" s="10" t="s">
        <v>15</v>
      </c>
      <c r="H2266" s="10" t="s">
        <v>2917</v>
      </c>
      <c r="I2266" s="10" t="s">
        <v>43</v>
      </c>
      <c r="J2266" s="10" t="s">
        <v>143</v>
      </c>
      <c r="K2266" s="10" t="s">
        <v>2895</v>
      </c>
      <c r="L2266" s="10" t="s">
        <v>2292</v>
      </c>
      <c r="M2266" s="12">
        <v>45400</v>
      </c>
      <c r="N2266" s="10"/>
      <c r="O2266" s="10" t="s">
        <v>2057</v>
      </c>
      <c r="P2266" s="25" t="str">
        <f>IFERROR(
IF(OR(O2266="anulado",O2266="stand by"),CONCATENATE(O2266,": ",H2266),
IF(OR(YEAR(M2266)=2022,YEAR(M2266)=2023),CONCATENATE("Se activó en ",YEAR(M2266)),
IF(AND(OR(O2266="En proceso",O2266="facturando"),AND(J2266="-",M2266="")),"Por revisar",
IF(M2266="",IF(J2266="NUEVAS",CONCATENATE("Estado: ",O2266,", ",J2266),
IF(L2266=Meses!$A$3,"Por revisar",
IF(H2266="","Sin registro","En programación Frcst."))),"En programación")))),
"Error")</f>
        <v>En programación</v>
      </c>
      <c r="Q2266" s="9" t="str">
        <f t="shared" si="109"/>
        <v/>
      </c>
      <c r="R2266" s="25">
        <f>IF(P2266="En programación Frcst.",VLOOKUP(L2266,Meses!$A$1:$H$14,3+HLOOKUP(Cronograma!J2266,Meses!$D$1:$G$2,2,FALSE),FALSE),
IF(P2266="En programación",M2266,""))</f>
        <v>45400</v>
      </c>
      <c r="S2266" s="25" t="str">
        <f t="shared" si="111"/>
        <v>2024/4</v>
      </c>
      <c r="T2266" s="21">
        <f>IFERROR(
(VLOOKUP(MONTH(R2266),Meses!$B$3:$C$14,2,FALSE)-DAY(R2266))/VLOOKUP(MONTH(R2266),Meses!$B$3:$C$14,2,FALSE)*U2266,
"")</f>
        <v>1854.4</v>
      </c>
      <c r="U2266" s="22">
        <f t="shared" si="112"/>
        <v>4636</v>
      </c>
    </row>
    <row r="2267" spans="1:21" ht="63" hidden="1" thickBot="1" x14ac:dyDescent="0.6">
      <c r="A2267" s="10" t="s">
        <v>3148</v>
      </c>
      <c r="B2267" s="10" t="s">
        <v>3149</v>
      </c>
      <c r="C2267" s="12"/>
      <c r="D2267" s="10" t="s">
        <v>44</v>
      </c>
      <c r="E2267" s="10" t="s">
        <v>44</v>
      </c>
      <c r="F2267" s="10">
        <v>4080</v>
      </c>
      <c r="G2267" s="10" t="s">
        <v>15</v>
      </c>
      <c r="H2267" s="10" t="s">
        <v>2917</v>
      </c>
      <c r="I2267" s="10" t="s">
        <v>43</v>
      </c>
      <c r="J2267" s="10" t="s">
        <v>143</v>
      </c>
      <c r="K2267" s="10" t="s">
        <v>2895</v>
      </c>
      <c r="L2267" s="10" t="s">
        <v>2292</v>
      </c>
      <c r="M2267" s="12">
        <v>45400</v>
      </c>
      <c r="N2267" s="10"/>
      <c r="O2267" s="10" t="s">
        <v>2057</v>
      </c>
      <c r="P2267" s="25" t="str">
        <f>IFERROR(
IF(OR(O2267="anulado",O2267="stand by"),CONCATENATE(O2267,": ",H2267),
IF(OR(YEAR(M2267)=2022,YEAR(M2267)=2023),CONCATENATE("Se activó en ",YEAR(M2267)),
IF(AND(OR(O2267="En proceso",O2267="facturando"),AND(J2267="-",M2267="")),"Por revisar",
IF(M2267="",IF(J2267="NUEVAS",CONCATENATE("Estado: ",O2267,", ",J2267),
IF(L2267=Meses!$A$3,"Por revisar",
IF(H2267="","Sin registro","En programación Frcst."))),"En programación")))),
"Error")</f>
        <v>En programación</v>
      </c>
      <c r="Q2267" s="9" t="str">
        <f t="shared" si="109"/>
        <v/>
      </c>
      <c r="R2267" s="25">
        <f>IF(P2267="En programación Frcst.",VLOOKUP(L2267,Meses!$A$1:$H$14,3+HLOOKUP(Cronograma!J2267,Meses!$D$1:$G$2,2,FALSE),FALSE),
IF(P2267="En programación",M2267,""))</f>
        <v>45400</v>
      </c>
      <c r="S2267" s="25" t="str">
        <f t="shared" si="111"/>
        <v>2024/4</v>
      </c>
      <c r="T2267" s="21">
        <f>IFERROR(
(VLOOKUP(MONTH(R2267),Meses!$B$3:$C$14,2,FALSE)-DAY(R2267))/VLOOKUP(MONTH(R2267),Meses!$B$3:$C$14,2,FALSE)*U2267,
"")</f>
        <v>1632</v>
      </c>
      <c r="U2267" s="22">
        <f t="shared" si="112"/>
        <v>4080</v>
      </c>
    </row>
    <row r="2268" spans="1:21" ht="31.8" hidden="1" thickBot="1" x14ac:dyDescent="0.6">
      <c r="A2268" s="10" t="s">
        <v>3150</v>
      </c>
      <c r="B2268" s="10" t="s">
        <v>3151</v>
      </c>
      <c r="C2268" s="12"/>
      <c r="D2268" s="10" t="s">
        <v>14</v>
      </c>
      <c r="E2268" s="10" t="s">
        <v>14</v>
      </c>
      <c r="F2268" s="10">
        <v>7142</v>
      </c>
      <c r="G2268" s="10" t="s">
        <v>15</v>
      </c>
      <c r="H2268" s="10" t="s">
        <v>2917</v>
      </c>
      <c r="I2268" s="10" t="s">
        <v>18</v>
      </c>
      <c r="J2268" s="10" t="s">
        <v>277</v>
      </c>
      <c r="K2268" s="10" t="s">
        <v>3327</v>
      </c>
      <c r="L2268" s="10" t="s">
        <v>2292</v>
      </c>
      <c r="M2268" s="12">
        <v>45400</v>
      </c>
      <c r="N2268" s="10"/>
      <c r="O2268" s="10" t="s">
        <v>2057</v>
      </c>
      <c r="P2268" s="25" t="str">
        <f>IFERROR(
IF(OR(O2268="anulado",O2268="stand by"),CONCATENATE(O2268,": ",H2268),
IF(OR(YEAR(M2268)=2022,YEAR(M2268)=2023),CONCATENATE("Se activó en ",YEAR(M2268)),
IF(AND(OR(O2268="En proceso",O2268="facturando"),AND(J2268="-",M2268="")),"Por revisar",
IF(M2268="",IF(J2268="NUEVAS",CONCATENATE("Estado: ",O2268,", ",J2268),
IF(L2268=Meses!$A$3,"Por revisar",
IF(H2268="","Sin registro","En programación Frcst."))),"En programación")))),
"Error")</f>
        <v>En programación</v>
      </c>
      <c r="Q2268" s="9" t="str">
        <f t="shared" si="109"/>
        <v/>
      </c>
      <c r="R2268" s="25">
        <f>IF(P2268="En programación Frcst.",VLOOKUP(L2268,Meses!$A$1:$H$14,3+HLOOKUP(Cronograma!J2268,Meses!$D$1:$G$2,2,FALSE),FALSE),
IF(P2268="En programación",M2268,""))</f>
        <v>45400</v>
      </c>
      <c r="S2268" s="25" t="str">
        <f t="shared" si="111"/>
        <v>2024/4</v>
      </c>
      <c r="T2268" s="21">
        <f>IFERROR(
(VLOOKUP(MONTH(R2268),Meses!$B$3:$C$14,2,FALSE)-DAY(R2268))/VLOOKUP(MONTH(R2268),Meses!$B$3:$C$14,2,FALSE)*U2268,
"")</f>
        <v>2856.8</v>
      </c>
      <c r="U2268" s="22">
        <f t="shared" si="112"/>
        <v>7142</v>
      </c>
    </row>
    <row r="2269" spans="1:21" ht="63" hidden="1" thickBot="1" x14ac:dyDescent="0.6">
      <c r="A2269" s="10" t="s">
        <v>3152</v>
      </c>
      <c r="B2269" s="10" t="s">
        <v>3153</v>
      </c>
      <c r="C2269" s="12"/>
      <c r="D2269" s="10" t="s">
        <v>44</v>
      </c>
      <c r="E2269" s="10" t="s">
        <v>44</v>
      </c>
      <c r="F2269" s="10">
        <v>203999</v>
      </c>
      <c r="G2269" s="10" t="s">
        <v>15</v>
      </c>
      <c r="H2269" s="10" t="s">
        <v>2917</v>
      </c>
      <c r="I2269" s="10" t="s">
        <v>43</v>
      </c>
      <c r="J2269" s="10" t="s">
        <v>143</v>
      </c>
      <c r="K2269" s="10" t="s">
        <v>2895</v>
      </c>
      <c r="L2269" s="10" t="s">
        <v>2292</v>
      </c>
      <c r="M2269" s="12">
        <v>45400</v>
      </c>
      <c r="N2269" s="10"/>
      <c r="O2269" s="10" t="s">
        <v>2057</v>
      </c>
      <c r="P2269" s="25" t="str">
        <f>IFERROR(
IF(OR(O2269="anulado",O2269="stand by"),CONCATENATE(O2269,": ",H2269),
IF(OR(YEAR(M2269)=2022,YEAR(M2269)=2023),CONCATENATE("Se activó en ",YEAR(M2269)),
IF(AND(OR(O2269="En proceso",O2269="facturando"),AND(J2269="-",M2269="")),"Por revisar",
IF(M2269="",IF(J2269="NUEVAS",CONCATENATE("Estado: ",O2269,", ",J2269),
IF(L2269=Meses!$A$3,"Por revisar",
IF(H2269="","Sin registro","En programación Frcst."))),"En programación")))),
"Error")</f>
        <v>En programación</v>
      </c>
      <c r="Q2269" s="9" t="str">
        <f t="shared" si="109"/>
        <v/>
      </c>
      <c r="R2269" s="25">
        <f>IF(P2269="En programación Frcst.",VLOOKUP(L2269,Meses!$A$1:$H$14,3+HLOOKUP(Cronograma!J2269,Meses!$D$1:$G$2,2,FALSE),FALSE),
IF(P2269="En programación",M2269,""))</f>
        <v>45400</v>
      </c>
      <c r="S2269" s="25" t="str">
        <f t="shared" si="111"/>
        <v>2024/4</v>
      </c>
      <c r="T2269" s="21">
        <f>IFERROR(
(VLOOKUP(MONTH(R2269),Meses!$B$3:$C$14,2,FALSE)-DAY(R2269))/VLOOKUP(MONTH(R2269),Meses!$B$3:$C$14,2,FALSE)*U2269,
"")</f>
        <v>81599.600000000006</v>
      </c>
      <c r="U2269" s="22">
        <f t="shared" si="112"/>
        <v>203999</v>
      </c>
    </row>
    <row r="2270" spans="1:21" ht="31.8" hidden="1" thickBot="1" x14ac:dyDescent="0.6">
      <c r="A2270" s="10" t="s">
        <v>3150</v>
      </c>
      <c r="B2270" s="10" t="s">
        <v>3154</v>
      </c>
      <c r="C2270" s="12"/>
      <c r="D2270" s="10" t="s">
        <v>14</v>
      </c>
      <c r="E2270" s="10" t="s">
        <v>14</v>
      </c>
      <c r="F2270" s="10">
        <v>6805</v>
      </c>
      <c r="G2270" s="10" t="s">
        <v>15</v>
      </c>
      <c r="H2270" s="10" t="s">
        <v>2917</v>
      </c>
      <c r="I2270" s="10" t="s">
        <v>18</v>
      </c>
      <c r="J2270" s="10" t="s">
        <v>277</v>
      </c>
      <c r="K2270" s="10" t="s">
        <v>3327</v>
      </c>
      <c r="L2270" s="10" t="s">
        <v>2292</v>
      </c>
      <c r="M2270" s="12">
        <v>45400</v>
      </c>
      <c r="N2270" s="10"/>
      <c r="O2270" s="10" t="s">
        <v>2057</v>
      </c>
      <c r="P2270" s="25" t="str">
        <f>IFERROR(
IF(OR(O2270="anulado",O2270="stand by"),CONCATENATE(O2270,": ",H2270),
IF(OR(YEAR(M2270)=2022,YEAR(M2270)=2023),CONCATENATE("Se activó en ",YEAR(M2270)),
IF(AND(OR(O2270="En proceso",O2270="facturando"),AND(J2270="-",M2270="")),"Por revisar",
IF(M2270="",IF(J2270="NUEVAS",CONCATENATE("Estado: ",O2270,", ",J2270),
IF(L2270=Meses!$A$3,"Por revisar",
IF(H2270="","Sin registro","En programación Frcst."))),"En programación")))),
"Error")</f>
        <v>En programación</v>
      </c>
      <c r="Q2270" s="9" t="str">
        <f t="shared" si="109"/>
        <v/>
      </c>
      <c r="R2270" s="25">
        <f>IF(P2270="En programación Frcst.",VLOOKUP(L2270,Meses!$A$1:$H$14,3+HLOOKUP(Cronograma!J2270,Meses!$D$1:$G$2,2,FALSE),FALSE),
IF(P2270="En programación",M2270,""))</f>
        <v>45400</v>
      </c>
      <c r="S2270" s="25" t="str">
        <f t="shared" si="111"/>
        <v>2024/4</v>
      </c>
      <c r="T2270" s="21">
        <f>IFERROR(
(VLOOKUP(MONTH(R2270),Meses!$B$3:$C$14,2,FALSE)-DAY(R2270))/VLOOKUP(MONTH(R2270),Meses!$B$3:$C$14,2,FALSE)*U2270,
"")</f>
        <v>2722</v>
      </c>
      <c r="U2270" s="22">
        <f t="shared" si="112"/>
        <v>6805</v>
      </c>
    </row>
    <row r="2271" spans="1:21" ht="63" hidden="1" thickBot="1" x14ac:dyDescent="0.6">
      <c r="A2271" s="10" t="s">
        <v>3155</v>
      </c>
      <c r="B2271" s="10" t="s">
        <v>3156</v>
      </c>
      <c r="C2271" s="12"/>
      <c r="D2271" s="10" t="s">
        <v>44</v>
      </c>
      <c r="E2271" s="10" t="s">
        <v>44</v>
      </c>
      <c r="F2271" s="10">
        <v>91960</v>
      </c>
      <c r="G2271" s="10" t="s">
        <v>15</v>
      </c>
      <c r="H2271" s="10" t="s">
        <v>2917</v>
      </c>
      <c r="I2271" s="10" t="s">
        <v>43</v>
      </c>
      <c r="J2271" s="10" t="s">
        <v>143</v>
      </c>
      <c r="K2271" s="10" t="s">
        <v>2895</v>
      </c>
      <c r="L2271" s="10" t="s">
        <v>2292</v>
      </c>
      <c r="M2271" s="12">
        <v>45400</v>
      </c>
      <c r="N2271" s="10"/>
      <c r="O2271" s="10" t="s">
        <v>2057</v>
      </c>
      <c r="P2271" s="25" t="str">
        <f>IFERROR(
IF(OR(O2271="anulado",O2271="stand by"),CONCATENATE(O2271,": ",H2271),
IF(OR(YEAR(M2271)=2022,YEAR(M2271)=2023),CONCATENATE("Se activó en ",YEAR(M2271)),
IF(AND(OR(O2271="En proceso",O2271="facturando"),AND(J2271="-",M2271="")),"Por revisar",
IF(M2271="",IF(J2271="NUEVAS",CONCATENATE("Estado: ",O2271,", ",J2271),
IF(L2271=Meses!$A$3,"Por revisar",
IF(H2271="","Sin registro","En programación Frcst."))),"En programación")))),
"Error")</f>
        <v>En programación</v>
      </c>
      <c r="Q2271" s="9" t="str">
        <f t="shared" si="109"/>
        <v/>
      </c>
      <c r="R2271" s="25">
        <f>IF(P2271="En programación Frcst.",VLOOKUP(L2271,Meses!$A$1:$H$14,3+HLOOKUP(Cronograma!J2271,Meses!$D$1:$G$2,2,FALSE),FALSE),
IF(P2271="En programación",M2271,""))</f>
        <v>45400</v>
      </c>
      <c r="S2271" s="25" t="str">
        <f t="shared" si="111"/>
        <v>2024/4</v>
      </c>
      <c r="T2271" s="21">
        <f>IFERROR(
(VLOOKUP(MONTH(R2271),Meses!$B$3:$C$14,2,FALSE)-DAY(R2271))/VLOOKUP(MONTH(R2271),Meses!$B$3:$C$14,2,FALSE)*U2271,
"")</f>
        <v>36784</v>
      </c>
      <c r="U2271" s="22">
        <f t="shared" si="112"/>
        <v>91960</v>
      </c>
    </row>
    <row r="2272" spans="1:21" ht="31.8" hidden="1" thickBot="1" x14ac:dyDescent="0.6">
      <c r="A2272" s="10" t="s">
        <v>3146</v>
      </c>
      <c r="B2272" s="10" t="s">
        <v>3157</v>
      </c>
      <c r="C2272" s="12"/>
      <c r="D2272" s="10" t="s">
        <v>74</v>
      </c>
      <c r="E2272" s="10" t="s">
        <v>74</v>
      </c>
      <c r="F2272" s="10">
        <v>3433</v>
      </c>
      <c r="G2272" s="10" t="s">
        <v>15</v>
      </c>
      <c r="H2272" s="10" t="s">
        <v>2917</v>
      </c>
      <c r="I2272" s="10" t="s">
        <v>43</v>
      </c>
      <c r="J2272" s="10" t="s">
        <v>143</v>
      </c>
      <c r="K2272" s="10" t="s">
        <v>2895</v>
      </c>
      <c r="L2272" s="10" t="s">
        <v>2292</v>
      </c>
      <c r="M2272" s="12">
        <v>45400</v>
      </c>
      <c r="N2272" s="10"/>
      <c r="O2272" s="10" t="s">
        <v>2057</v>
      </c>
      <c r="P2272" s="25" t="str">
        <f>IFERROR(
IF(OR(O2272="anulado",O2272="stand by"),CONCATENATE(O2272,": ",H2272),
IF(OR(YEAR(M2272)=2022,YEAR(M2272)=2023),CONCATENATE("Se activó en ",YEAR(M2272)),
IF(AND(OR(O2272="En proceso",O2272="facturando"),AND(J2272="-",M2272="")),"Por revisar",
IF(M2272="",IF(J2272="NUEVAS",CONCATENATE("Estado: ",O2272,", ",J2272),
IF(L2272=Meses!$A$3,"Por revisar",
IF(H2272="","Sin registro","En programación Frcst."))),"En programación")))),
"Error")</f>
        <v>En programación</v>
      </c>
      <c r="Q2272" s="9" t="str">
        <f t="shared" si="109"/>
        <v/>
      </c>
      <c r="R2272" s="25">
        <f>IF(P2272="En programación Frcst.",VLOOKUP(L2272,Meses!$A$1:$H$14,3+HLOOKUP(Cronograma!J2272,Meses!$D$1:$G$2,2,FALSE),FALSE),
IF(P2272="En programación",M2272,""))</f>
        <v>45400</v>
      </c>
      <c r="S2272" s="25" t="str">
        <f t="shared" si="111"/>
        <v>2024/4</v>
      </c>
      <c r="T2272" s="21">
        <f>IFERROR(
(VLOOKUP(MONTH(R2272),Meses!$B$3:$C$14,2,FALSE)-DAY(R2272))/VLOOKUP(MONTH(R2272),Meses!$B$3:$C$14,2,FALSE)*U2272,
"")</f>
        <v>1373.2</v>
      </c>
      <c r="U2272" s="22">
        <f t="shared" si="112"/>
        <v>3433</v>
      </c>
    </row>
    <row r="2273" spans="1:21" ht="31.8" hidden="1" thickBot="1" x14ac:dyDescent="0.6">
      <c r="A2273" s="10" t="s">
        <v>3146</v>
      </c>
      <c r="B2273" s="10" t="s">
        <v>3158</v>
      </c>
      <c r="C2273" s="12"/>
      <c r="D2273" s="10" t="s">
        <v>74</v>
      </c>
      <c r="E2273" s="10" t="s">
        <v>74</v>
      </c>
      <c r="F2273" s="10">
        <v>3072</v>
      </c>
      <c r="G2273" s="10" t="s">
        <v>15</v>
      </c>
      <c r="H2273" s="10" t="s">
        <v>2917</v>
      </c>
      <c r="I2273" s="10" t="s">
        <v>43</v>
      </c>
      <c r="J2273" s="10" t="s">
        <v>143</v>
      </c>
      <c r="K2273" s="10" t="s">
        <v>2895</v>
      </c>
      <c r="L2273" s="10" t="s">
        <v>2292</v>
      </c>
      <c r="M2273" s="12">
        <v>45400</v>
      </c>
      <c r="N2273" s="10"/>
      <c r="O2273" s="10" t="s">
        <v>2057</v>
      </c>
      <c r="P2273" s="25" t="str">
        <f>IFERROR(
IF(OR(O2273="anulado",O2273="stand by"),CONCATENATE(O2273,": ",H2273),
IF(OR(YEAR(M2273)=2022,YEAR(M2273)=2023),CONCATENATE("Se activó en ",YEAR(M2273)),
IF(AND(OR(O2273="En proceso",O2273="facturando"),AND(J2273="-",M2273="")),"Por revisar",
IF(M2273="",IF(J2273="NUEVAS",CONCATENATE("Estado: ",O2273,", ",J2273),
IF(L2273=Meses!$A$3,"Por revisar",
IF(H2273="","Sin registro","En programación Frcst."))),"En programación")))),
"Error")</f>
        <v>En programación</v>
      </c>
      <c r="Q2273" s="9" t="str">
        <f t="shared" si="109"/>
        <v/>
      </c>
      <c r="R2273" s="25">
        <f>IF(P2273="En programación Frcst.",VLOOKUP(L2273,Meses!$A$1:$H$14,3+HLOOKUP(Cronograma!J2273,Meses!$D$1:$G$2,2,FALSE),FALSE),
IF(P2273="En programación",M2273,""))</f>
        <v>45400</v>
      </c>
      <c r="S2273" s="25" t="str">
        <f t="shared" si="111"/>
        <v>2024/4</v>
      </c>
      <c r="T2273" s="21">
        <f>IFERROR(
(VLOOKUP(MONTH(R2273),Meses!$B$3:$C$14,2,FALSE)-DAY(R2273))/VLOOKUP(MONTH(R2273),Meses!$B$3:$C$14,2,FALSE)*U2273,
"")</f>
        <v>1228.8000000000002</v>
      </c>
      <c r="U2273" s="22">
        <f t="shared" si="112"/>
        <v>3072</v>
      </c>
    </row>
    <row r="2274" spans="1:21" ht="31.8" hidden="1" thickBot="1" x14ac:dyDescent="0.6">
      <c r="A2274" s="10" t="s">
        <v>3146</v>
      </c>
      <c r="B2274" s="10" t="s">
        <v>3159</v>
      </c>
      <c r="C2274" s="12"/>
      <c r="D2274" s="10" t="s">
        <v>74</v>
      </c>
      <c r="E2274" s="10" t="s">
        <v>74</v>
      </c>
      <c r="F2274" s="10">
        <v>5877</v>
      </c>
      <c r="G2274" s="10" t="s">
        <v>15</v>
      </c>
      <c r="H2274" s="10" t="s">
        <v>2917</v>
      </c>
      <c r="I2274" s="10" t="s">
        <v>43</v>
      </c>
      <c r="J2274" s="10" t="s">
        <v>143</v>
      </c>
      <c r="K2274" s="10" t="s">
        <v>2895</v>
      </c>
      <c r="L2274" s="10" t="s">
        <v>2292</v>
      </c>
      <c r="M2274" s="12">
        <v>45400</v>
      </c>
      <c r="N2274" s="10"/>
      <c r="O2274" s="10" t="s">
        <v>2057</v>
      </c>
      <c r="P2274" s="25" t="str">
        <f>IFERROR(
IF(OR(O2274="anulado",O2274="stand by"),CONCATENATE(O2274,": ",H2274),
IF(OR(YEAR(M2274)=2022,YEAR(M2274)=2023),CONCATENATE("Se activó en ",YEAR(M2274)),
IF(AND(OR(O2274="En proceso",O2274="facturando"),AND(J2274="-",M2274="")),"Por revisar",
IF(M2274="",IF(J2274="NUEVAS",CONCATENATE("Estado: ",O2274,", ",J2274),
IF(L2274=Meses!$A$3,"Por revisar",
IF(H2274="","Sin registro","En programación Frcst."))),"En programación")))),
"Error")</f>
        <v>En programación</v>
      </c>
      <c r="Q2274" s="9" t="str">
        <f t="shared" si="109"/>
        <v/>
      </c>
      <c r="R2274" s="25">
        <f>IF(P2274="En programación Frcst.",VLOOKUP(L2274,Meses!$A$1:$H$14,3+HLOOKUP(Cronograma!J2274,Meses!$D$1:$G$2,2,FALSE),FALSE),
IF(P2274="En programación",M2274,""))</f>
        <v>45400</v>
      </c>
      <c r="S2274" s="25" t="str">
        <f t="shared" si="111"/>
        <v>2024/4</v>
      </c>
      <c r="T2274" s="21">
        <f>IFERROR(
(VLOOKUP(MONTH(R2274),Meses!$B$3:$C$14,2,FALSE)-DAY(R2274))/VLOOKUP(MONTH(R2274),Meses!$B$3:$C$14,2,FALSE)*U2274,
"")</f>
        <v>2350.8000000000002</v>
      </c>
      <c r="U2274" s="22">
        <f t="shared" si="112"/>
        <v>5877</v>
      </c>
    </row>
    <row r="2275" spans="1:21" ht="31.8" hidden="1" thickBot="1" x14ac:dyDescent="0.6">
      <c r="A2275" s="10" t="s">
        <v>3146</v>
      </c>
      <c r="B2275" s="10" t="s">
        <v>3160</v>
      </c>
      <c r="C2275" s="12"/>
      <c r="D2275" s="10" t="s">
        <v>74</v>
      </c>
      <c r="E2275" s="10" t="s">
        <v>74</v>
      </c>
      <c r="F2275" s="10">
        <v>10334</v>
      </c>
      <c r="G2275" s="10" t="s">
        <v>15</v>
      </c>
      <c r="H2275" s="10" t="s">
        <v>2917</v>
      </c>
      <c r="I2275" s="10" t="s">
        <v>43</v>
      </c>
      <c r="J2275" s="10" t="s">
        <v>143</v>
      </c>
      <c r="K2275" s="10" t="s">
        <v>2895</v>
      </c>
      <c r="L2275" s="10" t="s">
        <v>2292</v>
      </c>
      <c r="M2275" s="12">
        <v>45400</v>
      </c>
      <c r="N2275" s="10"/>
      <c r="O2275" s="10" t="s">
        <v>2057</v>
      </c>
      <c r="P2275" s="25" t="str">
        <f>IFERROR(
IF(OR(O2275="anulado",O2275="stand by"),CONCATENATE(O2275,": ",H2275),
IF(OR(YEAR(M2275)=2022,YEAR(M2275)=2023),CONCATENATE("Se activó en ",YEAR(M2275)),
IF(AND(OR(O2275="En proceso",O2275="facturando"),AND(J2275="-",M2275="")),"Por revisar",
IF(M2275="",IF(J2275="NUEVAS",CONCATENATE("Estado: ",O2275,", ",J2275),
IF(L2275=Meses!$A$3,"Por revisar",
IF(H2275="","Sin registro","En programación Frcst."))),"En programación")))),
"Error")</f>
        <v>En programación</v>
      </c>
      <c r="Q2275" s="9" t="str">
        <f t="shared" si="109"/>
        <v/>
      </c>
      <c r="R2275" s="25">
        <f>IF(P2275="En programación Frcst.",VLOOKUP(L2275,Meses!$A$1:$H$14,3+HLOOKUP(Cronograma!J2275,Meses!$D$1:$G$2,2,FALSE),FALSE),
IF(P2275="En programación",M2275,""))</f>
        <v>45400</v>
      </c>
      <c r="S2275" s="25" t="str">
        <f t="shared" si="111"/>
        <v>2024/4</v>
      </c>
      <c r="T2275" s="21">
        <f>IFERROR(
(VLOOKUP(MONTH(R2275),Meses!$B$3:$C$14,2,FALSE)-DAY(R2275))/VLOOKUP(MONTH(R2275),Meses!$B$3:$C$14,2,FALSE)*U2275,
"")</f>
        <v>4133.6000000000004</v>
      </c>
      <c r="U2275" s="22">
        <f t="shared" si="112"/>
        <v>10334</v>
      </c>
    </row>
    <row r="2276" spans="1:21" ht="31.8" hidden="1" thickBot="1" x14ac:dyDescent="0.6">
      <c r="A2276" s="10" t="s">
        <v>3161</v>
      </c>
      <c r="B2276" s="10" t="s">
        <v>3162</v>
      </c>
      <c r="C2276" s="12"/>
      <c r="D2276" s="10" t="s">
        <v>14</v>
      </c>
      <c r="E2276" s="10" t="s">
        <v>14</v>
      </c>
      <c r="F2276" s="10">
        <v>2773</v>
      </c>
      <c r="G2276" s="10" t="s">
        <v>15</v>
      </c>
      <c r="H2276" s="10" t="s">
        <v>3311</v>
      </c>
      <c r="I2276" s="10" t="s">
        <v>18</v>
      </c>
      <c r="J2276" s="10"/>
      <c r="K2276" s="10"/>
      <c r="L2276" s="10"/>
      <c r="M2276" s="12"/>
      <c r="N2276" s="10"/>
      <c r="O2276" s="10"/>
      <c r="P2276" s="25" t="str">
        <f>IFERROR(
IF(OR(O2276="anulado",O2276="stand by"),CONCATENATE(O2276,": ",H2276),
IF(OR(YEAR(M2276)=2022,YEAR(M2276)=2023),CONCATENATE("Se activó en ",YEAR(M2276)),
IF(AND(OR(O2276="En proceso",O2276="facturando"),AND(J2276="-",M2276="")),"Por revisar",
IF(M2276="",IF(J2276="NUEVAS",CONCATENATE("Estado: ",O2276,", ",J2276),
IF(L2276=Meses!$A$3,"Por revisar",
IF(H2276="","Sin registro","En programación Frcst."))),"En programación")))),
"Error")</f>
        <v>En programación Frcst.</v>
      </c>
      <c r="Q2276" s="9" t="str">
        <f t="shared" si="109"/>
        <v/>
      </c>
      <c r="R2276" s="25" t="e">
        <f>IF(P2276="En programación Frcst.",VLOOKUP(L2276,Meses!$A$1:$H$14,3+HLOOKUP(Cronograma!J2276,Meses!$D$1:$G$2,2,FALSE),FALSE),
IF(P2276="En programación",M2276,""))</f>
        <v>#N/A</v>
      </c>
      <c r="S2276" s="25" t="str">
        <f t="shared" si="111"/>
        <v/>
      </c>
      <c r="T2276" s="21" t="str">
        <f>IFERROR(
(VLOOKUP(MONTH(R2276),Meses!$B$3:$C$14,2,FALSE)-DAY(R2276))/VLOOKUP(MONTH(R2276),Meses!$B$3:$C$14,2,FALSE)*U2276,
"")</f>
        <v/>
      </c>
      <c r="U2276" s="22">
        <f t="shared" si="112"/>
        <v>2773</v>
      </c>
    </row>
    <row r="2277" spans="1:21" ht="63" hidden="1" thickBot="1" x14ac:dyDescent="0.6">
      <c r="A2277" s="10" t="s">
        <v>3163</v>
      </c>
      <c r="B2277" s="10" t="s">
        <v>3164</v>
      </c>
      <c r="C2277" s="12"/>
      <c r="D2277" s="10" t="s">
        <v>657</v>
      </c>
      <c r="E2277" s="10" t="s">
        <v>657</v>
      </c>
      <c r="F2277" s="10">
        <v>16935</v>
      </c>
      <c r="G2277" s="10" t="s">
        <v>15</v>
      </c>
      <c r="H2277" s="10" t="s">
        <v>17</v>
      </c>
      <c r="I2277" s="10" t="s">
        <v>18</v>
      </c>
      <c r="J2277" s="10" t="s">
        <v>143</v>
      </c>
      <c r="K2277" s="10" t="s">
        <v>2895</v>
      </c>
      <c r="L2277" s="10" t="s">
        <v>2292</v>
      </c>
      <c r="M2277" s="12">
        <v>45400</v>
      </c>
      <c r="N2277" s="10"/>
      <c r="O2277" s="10"/>
      <c r="P2277" s="25" t="str">
        <f>IFERROR(
IF(OR(O2277="anulado",O2277="stand by"),CONCATENATE(O2277,": ",H2277),
IF(OR(YEAR(M2277)=2022,YEAR(M2277)=2023),CONCATENATE("Se activó en ",YEAR(M2277)),
IF(AND(OR(O2277="En proceso",O2277="facturando"),AND(J2277="-",M2277="")),"Por revisar",
IF(M2277="",IF(J2277="NUEVAS",CONCATENATE("Estado: ",O2277,", ",J2277),
IF(L2277=Meses!$A$3,"Por revisar",
IF(H2277="","Sin registro","En programación Frcst."))),"En programación")))),
"Error")</f>
        <v>En programación</v>
      </c>
      <c r="Q2277" s="9" t="str">
        <f t="shared" si="109"/>
        <v/>
      </c>
      <c r="R2277" s="25">
        <f>IF(P2277="En programación Frcst.",VLOOKUP(L2277,Meses!$A$1:$H$14,3+HLOOKUP(Cronograma!J2277,Meses!$D$1:$G$2,2,FALSE),FALSE),
IF(P2277="En programación",M2277,""))</f>
        <v>45400</v>
      </c>
      <c r="S2277" s="25" t="str">
        <f t="shared" si="111"/>
        <v>2024/4</v>
      </c>
      <c r="T2277" s="21">
        <f>IFERROR(
(VLOOKUP(MONTH(R2277),Meses!$B$3:$C$14,2,FALSE)-DAY(R2277))/VLOOKUP(MONTH(R2277),Meses!$B$3:$C$14,2,FALSE)*U2277,
"")</f>
        <v>6774</v>
      </c>
      <c r="U2277" s="22">
        <f t="shared" si="112"/>
        <v>16935</v>
      </c>
    </row>
    <row r="2278" spans="1:21" ht="31.8" hidden="1" thickBot="1" x14ac:dyDescent="0.6">
      <c r="A2278" s="10" t="s">
        <v>2066</v>
      </c>
      <c r="B2278" s="10" t="s">
        <v>3165</v>
      </c>
      <c r="C2278" s="12">
        <v>45029</v>
      </c>
      <c r="D2278" s="10" t="s">
        <v>323</v>
      </c>
      <c r="E2278" s="10" t="s">
        <v>677</v>
      </c>
      <c r="F2278" s="10">
        <v>1</v>
      </c>
      <c r="G2278" s="10" t="s">
        <v>15</v>
      </c>
      <c r="H2278" s="10" t="s">
        <v>1050</v>
      </c>
      <c r="I2278" s="10" t="s">
        <v>66</v>
      </c>
      <c r="J2278" s="10" t="s">
        <v>292</v>
      </c>
      <c r="K2278" s="10" t="s">
        <v>1697</v>
      </c>
      <c r="L2278" s="10" t="s">
        <v>1120</v>
      </c>
      <c r="M2278" s="12">
        <v>45379</v>
      </c>
      <c r="N2278" s="10"/>
      <c r="O2278" s="10"/>
      <c r="P2278" s="25" t="str">
        <f>IFERROR(
IF(OR(O2278="anulado",O2278="stand by"),CONCATENATE(O2278,": ",H2278),
IF(OR(YEAR(M2278)=2022,YEAR(M2278)=2023),CONCATENATE("Se activó en ",YEAR(M2278)),
IF(AND(OR(O2278="En proceso",O2278="facturando"),AND(J2278="-",M2278="")),"Por revisar",
IF(M2278="",IF(J2278="NUEVAS",CONCATENATE("Estado: ",O2278,", ",J2278),
IF(L2278=Meses!$A$3,"Por revisar",
IF(H2278="","Sin registro","En programación Frcst."))),"En programación")))),
"Error")</f>
        <v>En programación</v>
      </c>
      <c r="Q2278" s="9" t="str">
        <f t="shared" si="109"/>
        <v/>
      </c>
      <c r="R2278" s="25">
        <f>IF(P2278="En programación Frcst.",VLOOKUP(L2278,Meses!$A$1:$H$14,3+HLOOKUP(Cronograma!J2278,Meses!$D$1:$G$2,2,FALSE),FALSE),
IF(P2278="En programación",M2278,""))</f>
        <v>45379</v>
      </c>
      <c r="S2278" s="25" t="str">
        <f t="shared" si="111"/>
        <v>2024/3</v>
      </c>
      <c r="T2278" s="21">
        <f>IFERROR(
(VLOOKUP(MONTH(R2278),Meses!$B$3:$C$14,2,FALSE)-DAY(R2278))/VLOOKUP(MONTH(R2278),Meses!$B$3:$C$14,2,FALSE)*U2278,
"")</f>
        <v>9.6774193548387094E-2</v>
      </c>
      <c r="U2278" s="22">
        <f t="shared" si="112"/>
        <v>1</v>
      </c>
    </row>
    <row r="2279" spans="1:21" ht="47.4" hidden="1" thickBot="1" x14ac:dyDescent="0.6">
      <c r="A2279" s="10" t="s">
        <v>3166</v>
      </c>
      <c r="B2279" s="10" t="s">
        <v>3167</v>
      </c>
      <c r="C2279" s="12">
        <v>45029</v>
      </c>
      <c r="D2279" s="10" t="s">
        <v>323</v>
      </c>
      <c r="E2279" s="10" t="s">
        <v>291</v>
      </c>
      <c r="F2279" s="10">
        <v>12293</v>
      </c>
      <c r="G2279" s="10" t="s">
        <v>15</v>
      </c>
      <c r="H2279" s="10" t="s">
        <v>1050</v>
      </c>
      <c r="I2279" s="10" t="s">
        <v>66</v>
      </c>
      <c r="J2279" s="10" t="s">
        <v>292</v>
      </c>
      <c r="K2279" s="10" t="s">
        <v>1697</v>
      </c>
      <c r="L2279" s="10" t="s">
        <v>1120</v>
      </c>
      <c r="M2279" s="12">
        <v>45379</v>
      </c>
      <c r="N2279" s="10"/>
      <c r="O2279" s="10"/>
      <c r="P2279" s="25" t="str">
        <f>IFERROR(
IF(OR(O2279="anulado",O2279="stand by"),CONCATENATE(O2279,": ",H2279),
IF(OR(YEAR(M2279)=2022,YEAR(M2279)=2023),CONCATENATE("Se activó en ",YEAR(M2279)),
IF(AND(OR(O2279="En proceso",O2279="facturando"),AND(J2279="-",M2279="")),"Por revisar",
IF(M2279="",IF(J2279="NUEVAS",CONCATENATE("Estado: ",O2279,", ",J2279),
IF(L2279=Meses!$A$3,"Por revisar",
IF(H2279="","Sin registro","En programación Frcst."))),"En programación")))),
"Error")</f>
        <v>En programación</v>
      </c>
      <c r="Q2279" s="9" t="str">
        <f t="shared" si="109"/>
        <v/>
      </c>
      <c r="R2279" s="25">
        <f>IF(P2279="En programación Frcst.",VLOOKUP(L2279,Meses!$A$1:$H$14,3+HLOOKUP(Cronograma!J2279,Meses!$D$1:$G$2,2,FALSE),FALSE),
IF(P2279="En programación",M2279,""))</f>
        <v>45379</v>
      </c>
      <c r="S2279" s="25" t="str">
        <f t="shared" si="111"/>
        <v>2024/3</v>
      </c>
      <c r="T2279" s="21">
        <f>IFERROR(
(VLOOKUP(MONTH(R2279),Meses!$B$3:$C$14,2,FALSE)-DAY(R2279))/VLOOKUP(MONTH(R2279),Meses!$B$3:$C$14,2,FALSE)*U2279,
"")</f>
        <v>1189.6451612903224</v>
      </c>
      <c r="U2279" s="22">
        <f t="shared" si="112"/>
        <v>12293</v>
      </c>
    </row>
    <row r="2280" spans="1:21" ht="47.4" hidden="1" thickBot="1" x14ac:dyDescent="0.6">
      <c r="A2280" s="10" t="s">
        <v>3168</v>
      </c>
      <c r="B2280" s="10" t="s">
        <v>3169</v>
      </c>
      <c r="C2280" s="12"/>
      <c r="D2280" s="10" t="s">
        <v>74</v>
      </c>
      <c r="E2280" s="10" t="s">
        <v>74</v>
      </c>
      <c r="F2280" s="10">
        <v>1</v>
      </c>
      <c r="G2280" s="10" t="s">
        <v>15</v>
      </c>
      <c r="H2280" s="10" t="s">
        <v>1050</v>
      </c>
      <c r="I2280" s="10" t="s">
        <v>43</v>
      </c>
      <c r="J2280" s="10" t="s">
        <v>292</v>
      </c>
      <c r="K2280" s="10" t="s">
        <v>3325</v>
      </c>
      <c r="L2280" s="10" t="s">
        <v>2292</v>
      </c>
      <c r="M2280" s="12">
        <v>45407</v>
      </c>
      <c r="N2280" s="10"/>
      <c r="O2280" s="10"/>
      <c r="P2280" s="25" t="str">
        <f>IFERROR(
IF(OR(O2280="anulado",O2280="stand by"),CONCATENATE(O2280,": ",H2280),
IF(OR(YEAR(M2280)=2022,YEAR(M2280)=2023),CONCATENATE("Se activó en ",YEAR(M2280)),
IF(AND(OR(O2280="En proceso",O2280="facturando"),AND(J2280="-",M2280="")),"Por revisar",
IF(M2280="",IF(J2280="NUEVAS",CONCATENATE("Estado: ",O2280,", ",J2280),
IF(L2280=Meses!$A$3,"Por revisar",
IF(H2280="","Sin registro","En programación Frcst."))),"En programación")))),
"Error")</f>
        <v>En programación</v>
      </c>
      <c r="Q2280" s="9" t="str">
        <f t="shared" si="109"/>
        <v/>
      </c>
      <c r="R2280" s="25">
        <f>IF(P2280="En programación Frcst.",VLOOKUP(L2280,Meses!$A$1:$H$14,3+HLOOKUP(Cronograma!J2280,Meses!$D$1:$G$2,2,FALSE),FALSE),
IF(P2280="En programación",M2280,""))</f>
        <v>45407</v>
      </c>
      <c r="S2280" s="25" t="str">
        <f t="shared" si="111"/>
        <v>2024/4</v>
      </c>
      <c r="T2280" s="21">
        <f>IFERROR(
(VLOOKUP(MONTH(R2280),Meses!$B$3:$C$14,2,FALSE)-DAY(R2280))/VLOOKUP(MONTH(R2280),Meses!$B$3:$C$14,2,FALSE)*U2280,
"")</f>
        <v>0.16666666666666666</v>
      </c>
      <c r="U2280" s="22">
        <f t="shared" si="112"/>
        <v>1</v>
      </c>
    </row>
    <row r="2281" spans="1:21" ht="47.4" hidden="1" thickBot="1" x14ac:dyDescent="0.6">
      <c r="A2281" s="10" t="s">
        <v>3170</v>
      </c>
      <c r="B2281" s="10" t="s">
        <v>3171</v>
      </c>
      <c r="C2281" s="12">
        <v>45029</v>
      </c>
      <c r="D2281" s="10" t="s">
        <v>323</v>
      </c>
      <c r="E2281" s="10" t="s">
        <v>289</v>
      </c>
      <c r="F2281" s="10">
        <v>13572</v>
      </c>
      <c r="G2281" s="10" t="s">
        <v>15</v>
      </c>
      <c r="H2281" s="10" t="s">
        <v>1050</v>
      </c>
      <c r="I2281" s="10" t="s">
        <v>66</v>
      </c>
      <c r="J2281" s="10" t="s">
        <v>292</v>
      </c>
      <c r="K2281" s="10" t="s">
        <v>1697</v>
      </c>
      <c r="L2281" s="10" t="s">
        <v>1120</v>
      </c>
      <c r="M2281" s="12">
        <v>45379</v>
      </c>
      <c r="N2281" s="10"/>
      <c r="O2281" s="10"/>
      <c r="P2281" s="25" t="str">
        <f>IFERROR(
IF(OR(O2281="anulado",O2281="stand by"),CONCATENATE(O2281,": ",H2281),
IF(OR(YEAR(M2281)=2022,YEAR(M2281)=2023),CONCATENATE("Se activó en ",YEAR(M2281)),
IF(AND(OR(O2281="En proceso",O2281="facturando"),AND(J2281="-",M2281="")),"Por revisar",
IF(M2281="",IF(J2281="NUEVAS",CONCATENATE("Estado: ",O2281,", ",J2281),
IF(L2281=Meses!$A$3,"Por revisar",
IF(H2281="","Sin registro","En programación Frcst."))),"En programación")))),
"Error")</f>
        <v>En programación</v>
      </c>
      <c r="Q2281" s="9" t="str">
        <f t="shared" si="109"/>
        <v/>
      </c>
      <c r="R2281" s="25">
        <f>IF(P2281="En programación Frcst.",VLOOKUP(L2281,Meses!$A$1:$H$14,3+HLOOKUP(Cronograma!J2281,Meses!$D$1:$G$2,2,FALSE),FALSE),
IF(P2281="En programación",M2281,""))</f>
        <v>45379</v>
      </c>
      <c r="S2281" s="25" t="str">
        <f t="shared" si="111"/>
        <v>2024/3</v>
      </c>
      <c r="T2281" s="21">
        <f>IFERROR(
(VLOOKUP(MONTH(R2281),Meses!$B$3:$C$14,2,FALSE)-DAY(R2281))/VLOOKUP(MONTH(R2281),Meses!$B$3:$C$14,2,FALSE)*U2281,
"")</f>
        <v>1313.4193548387098</v>
      </c>
      <c r="U2281" s="22">
        <f t="shared" si="112"/>
        <v>13572</v>
      </c>
    </row>
    <row r="2282" spans="1:21" ht="47.4" hidden="1" thickBot="1" x14ac:dyDescent="0.6">
      <c r="A2282" s="10" t="s">
        <v>3172</v>
      </c>
      <c r="B2282" s="10" t="s">
        <v>3173</v>
      </c>
      <c r="C2282" s="12">
        <v>45029</v>
      </c>
      <c r="D2282" s="10" t="s">
        <v>323</v>
      </c>
      <c r="E2282" s="10" t="s">
        <v>959</v>
      </c>
      <c r="F2282" s="10">
        <v>6262</v>
      </c>
      <c r="G2282" s="10" t="s">
        <v>15</v>
      </c>
      <c r="H2282" s="10" t="s">
        <v>1050</v>
      </c>
      <c r="I2282" s="10" t="s">
        <v>66</v>
      </c>
      <c r="J2282" s="10" t="s">
        <v>292</v>
      </c>
      <c r="K2282" s="10" t="s">
        <v>1697</v>
      </c>
      <c r="L2282" s="10" t="s">
        <v>1120</v>
      </c>
      <c r="M2282" s="12">
        <v>45379</v>
      </c>
      <c r="N2282" s="10"/>
      <c r="O2282" s="10"/>
      <c r="P2282" s="25" t="str">
        <f>IFERROR(
IF(OR(O2282="anulado",O2282="stand by"),CONCATENATE(O2282,": ",H2282),
IF(OR(YEAR(M2282)=2022,YEAR(M2282)=2023),CONCATENATE("Se activó en ",YEAR(M2282)),
IF(AND(OR(O2282="En proceso",O2282="facturando"),AND(J2282="-",M2282="")),"Por revisar",
IF(M2282="",IF(J2282="NUEVAS",CONCATENATE("Estado: ",O2282,", ",J2282),
IF(L2282=Meses!$A$3,"Por revisar",
IF(H2282="","Sin registro","En programación Frcst."))),"En programación")))),
"Error")</f>
        <v>En programación</v>
      </c>
      <c r="Q2282" s="9" t="str">
        <f t="shared" si="109"/>
        <v/>
      </c>
      <c r="R2282" s="25">
        <f>IF(P2282="En programación Frcst.",VLOOKUP(L2282,Meses!$A$1:$H$14,3+HLOOKUP(Cronograma!J2282,Meses!$D$1:$G$2,2,FALSE),FALSE),
IF(P2282="En programación",M2282,""))</f>
        <v>45379</v>
      </c>
      <c r="S2282" s="25" t="str">
        <f t="shared" si="111"/>
        <v>2024/3</v>
      </c>
      <c r="T2282" s="21">
        <f>IFERROR(
(VLOOKUP(MONTH(R2282),Meses!$B$3:$C$14,2,FALSE)-DAY(R2282))/VLOOKUP(MONTH(R2282),Meses!$B$3:$C$14,2,FALSE)*U2282,
"")</f>
        <v>606</v>
      </c>
      <c r="U2282" s="22">
        <f t="shared" si="112"/>
        <v>6262</v>
      </c>
    </row>
    <row r="2283" spans="1:21" ht="31.8" hidden="1" thickBot="1" x14ac:dyDescent="0.6">
      <c r="A2283" s="10" t="s">
        <v>3174</v>
      </c>
      <c r="B2283" s="10" t="s">
        <v>3175</v>
      </c>
      <c r="C2283" s="12"/>
      <c r="D2283" s="10" t="s">
        <v>74</v>
      </c>
      <c r="E2283" s="10" t="s">
        <v>74</v>
      </c>
      <c r="F2283" s="10"/>
      <c r="G2283" s="10" t="s">
        <v>15</v>
      </c>
      <c r="H2283" s="10" t="s">
        <v>1050</v>
      </c>
      <c r="I2283" s="10" t="s">
        <v>43</v>
      </c>
      <c r="J2283" s="10" t="s">
        <v>292</v>
      </c>
      <c r="K2283" s="10" t="s">
        <v>3325</v>
      </c>
      <c r="L2283" s="10" t="s">
        <v>2292</v>
      </c>
      <c r="M2283" s="12">
        <v>45407</v>
      </c>
      <c r="N2283" s="10"/>
      <c r="O2283" s="10"/>
      <c r="P2283" s="25" t="str">
        <f>IFERROR(
IF(OR(O2283="anulado",O2283="stand by"),CONCATENATE(O2283,": ",H2283),
IF(OR(YEAR(M2283)=2022,YEAR(M2283)=2023),CONCATENATE("Se activó en ",YEAR(M2283)),
IF(AND(OR(O2283="En proceso",O2283="facturando"),AND(J2283="-",M2283="")),"Por revisar",
IF(M2283="",IF(J2283="NUEVAS",CONCATENATE("Estado: ",O2283,", ",J2283),
IF(L2283=Meses!$A$3,"Por revisar",
IF(H2283="","Sin registro","En programación Frcst."))),"En programación")))),
"Error")</f>
        <v>En programación</v>
      </c>
      <c r="Q2283" s="9" t="str">
        <f t="shared" si="109"/>
        <v/>
      </c>
      <c r="R2283" s="25">
        <f>IF(P2283="En programación Frcst.",VLOOKUP(L2283,Meses!$A$1:$H$14,3+HLOOKUP(Cronograma!J2283,Meses!$D$1:$G$2,2,FALSE),FALSE),
IF(P2283="En programación",M2283,""))</f>
        <v>45407</v>
      </c>
      <c r="S2283" s="25" t="str">
        <f t="shared" si="111"/>
        <v>2024/4</v>
      </c>
      <c r="T2283" s="21">
        <f>IFERROR(
(VLOOKUP(MONTH(R2283),Meses!$B$3:$C$14,2,FALSE)-DAY(R2283))/VLOOKUP(MONTH(R2283),Meses!$B$3:$C$14,2,FALSE)*U2283,
"")</f>
        <v>0</v>
      </c>
      <c r="U2283" s="22">
        <f t="shared" si="112"/>
        <v>0</v>
      </c>
    </row>
    <row r="2284" spans="1:21" ht="63" hidden="1" thickBot="1" x14ac:dyDescent="0.6">
      <c r="A2284" s="10" t="s">
        <v>3176</v>
      </c>
      <c r="B2284" s="10" t="s">
        <v>3177</v>
      </c>
      <c r="C2284" s="12">
        <v>45029</v>
      </c>
      <c r="D2284" s="10" t="s">
        <v>323</v>
      </c>
      <c r="E2284" s="10" t="s">
        <v>959</v>
      </c>
      <c r="F2284" s="10">
        <v>4458</v>
      </c>
      <c r="G2284" s="10" t="s">
        <v>15</v>
      </c>
      <c r="H2284" s="10" t="s">
        <v>1050</v>
      </c>
      <c r="I2284" s="10" t="s">
        <v>66</v>
      </c>
      <c r="J2284" s="10" t="s">
        <v>292</v>
      </c>
      <c r="K2284" s="10" t="s">
        <v>1697</v>
      </c>
      <c r="L2284" s="10" t="s">
        <v>1120</v>
      </c>
      <c r="M2284" s="12">
        <v>45379</v>
      </c>
      <c r="N2284" s="10"/>
      <c r="O2284" s="10"/>
      <c r="P2284" s="25" t="str">
        <f>IFERROR(
IF(OR(O2284="anulado",O2284="stand by"),CONCATENATE(O2284,": ",H2284),
IF(OR(YEAR(M2284)=2022,YEAR(M2284)=2023),CONCATENATE("Se activó en ",YEAR(M2284)),
IF(AND(OR(O2284="En proceso",O2284="facturando"),AND(J2284="-",M2284="")),"Por revisar",
IF(M2284="",IF(J2284="NUEVAS",CONCATENATE("Estado: ",O2284,", ",J2284),
IF(L2284=Meses!$A$3,"Por revisar",
IF(H2284="","Sin registro","En programación Frcst."))),"En programación")))),
"Error")</f>
        <v>En programación</v>
      </c>
      <c r="Q2284" s="9" t="str">
        <f t="shared" si="109"/>
        <v/>
      </c>
      <c r="R2284" s="25">
        <f>IF(P2284="En programación Frcst.",VLOOKUP(L2284,Meses!$A$1:$H$14,3+HLOOKUP(Cronograma!J2284,Meses!$D$1:$G$2,2,FALSE),FALSE),
IF(P2284="En programación",M2284,""))</f>
        <v>45379</v>
      </c>
      <c r="S2284" s="25" t="str">
        <f t="shared" si="111"/>
        <v>2024/3</v>
      </c>
      <c r="T2284" s="21">
        <f>IFERROR(
(VLOOKUP(MONTH(R2284),Meses!$B$3:$C$14,2,FALSE)-DAY(R2284))/VLOOKUP(MONTH(R2284),Meses!$B$3:$C$14,2,FALSE)*U2284,
"")</f>
        <v>431.41935483870964</v>
      </c>
      <c r="U2284" s="22">
        <f t="shared" si="112"/>
        <v>4458</v>
      </c>
    </row>
    <row r="2285" spans="1:21" ht="31.8" hidden="1" thickBot="1" x14ac:dyDescent="0.6">
      <c r="A2285" s="10" t="s">
        <v>3178</v>
      </c>
      <c r="B2285" s="10" t="s">
        <v>3179</v>
      </c>
      <c r="C2285" s="12">
        <v>45029</v>
      </c>
      <c r="D2285" s="10" t="s">
        <v>323</v>
      </c>
      <c r="E2285" s="10" t="s">
        <v>959</v>
      </c>
      <c r="F2285" s="10">
        <v>5031</v>
      </c>
      <c r="G2285" s="10" t="s">
        <v>15</v>
      </c>
      <c r="H2285" s="10" t="s">
        <v>1050</v>
      </c>
      <c r="I2285" s="10" t="s">
        <v>66</v>
      </c>
      <c r="J2285" s="10" t="s">
        <v>292</v>
      </c>
      <c r="K2285" s="10" t="s">
        <v>1697</v>
      </c>
      <c r="L2285" s="10" t="s">
        <v>1120</v>
      </c>
      <c r="M2285" s="12">
        <v>45379</v>
      </c>
      <c r="N2285" s="10"/>
      <c r="O2285" s="10"/>
      <c r="P2285" s="25" t="str">
        <f>IFERROR(
IF(OR(O2285="anulado",O2285="stand by"),CONCATENATE(O2285,": ",H2285),
IF(OR(YEAR(M2285)=2022,YEAR(M2285)=2023),CONCATENATE("Se activó en ",YEAR(M2285)),
IF(AND(OR(O2285="En proceso",O2285="facturando"),AND(J2285="-",M2285="")),"Por revisar",
IF(M2285="",IF(J2285="NUEVAS",CONCATENATE("Estado: ",O2285,", ",J2285),
IF(L2285=Meses!$A$3,"Por revisar",
IF(H2285="","Sin registro","En programación Frcst."))),"En programación")))),
"Error")</f>
        <v>En programación</v>
      </c>
      <c r="Q2285" s="9" t="str">
        <f t="shared" si="109"/>
        <v/>
      </c>
      <c r="R2285" s="25">
        <f>IF(P2285="En programación Frcst.",VLOOKUP(L2285,Meses!$A$1:$H$14,3+HLOOKUP(Cronograma!J2285,Meses!$D$1:$G$2,2,FALSE),FALSE),
IF(P2285="En programación",M2285,""))</f>
        <v>45379</v>
      </c>
      <c r="S2285" s="25" t="str">
        <f t="shared" si="111"/>
        <v>2024/3</v>
      </c>
      <c r="T2285" s="21">
        <f>IFERROR(
(VLOOKUP(MONTH(R2285),Meses!$B$3:$C$14,2,FALSE)-DAY(R2285))/VLOOKUP(MONTH(R2285),Meses!$B$3:$C$14,2,FALSE)*U2285,
"")</f>
        <v>486.87096774193549</v>
      </c>
      <c r="U2285" s="22">
        <f t="shared" si="112"/>
        <v>5031</v>
      </c>
    </row>
    <row r="2286" spans="1:21" ht="47.4" hidden="1" thickBot="1" x14ac:dyDescent="0.6">
      <c r="A2286" s="10" t="s">
        <v>888</v>
      </c>
      <c r="B2286" s="10" t="s">
        <v>3180</v>
      </c>
      <c r="C2286" s="12">
        <v>45029</v>
      </c>
      <c r="D2286" s="10" t="s">
        <v>323</v>
      </c>
      <c r="E2286" s="10" t="s">
        <v>289</v>
      </c>
      <c r="F2286" s="10">
        <v>14435</v>
      </c>
      <c r="G2286" s="10" t="s">
        <v>15</v>
      </c>
      <c r="H2286" s="10" t="s">
        <v>1050</v>
      </c>
      <c r="I2286" s="10" t="s">
        <v>66</v>
      </c>
      <c r="J2286" s="10" t="s">
        <v>292</v>
      </c>
      <c r="K2286" s="10" t="s">
        <v>1697</v>
      </c>
      <c r="L2286" s="10" t="s">
        <v>1120</v>
      </c>
      <c r="M2286" s="12">
        <v>45379</v>
      </c>
      <c r="N2286" s="10"/>
      <c r="O2286" s="10"/>
      <c r="P2286" s="25" t="str">
        <f>IFERROR(
IF(OR(O2286="anulado",O2286="stand by"),CONCATENATE(O2286,": ",H2286),
IF(OR(YEAR(M2286)=2022,YEAR(M2286)=2023),CONCATENATE("Se activó en ",YEAR(M2286)),
IF(AND(OR(O2286="En proceso",O2286="facturando"),AND(J2286="-",M2286="")),"Por revisar",
IF(M2286="",IF(J2286="NUEVAS",CONCATENATE("Estado: ",O2286,", ",J2286),
IF(L2286=Meses!$A$3,"Por revisar",
IF(H2286="","Sin registro","En programación Frcst."))),"En programación")))),
"Error")</f>
        <v>En programación</v>
      </c>
      <c r="Q2286" s="9" t="str">
        <f t="shared" si="109"/>
        <v/>
      </c>
      <c r="R2286" s="25">
        <f>IF(P2286="En programación Frcst.",VLOOKUP(L2286,Meses!$A$1:$H$14,3+HLOOKUP(Cronograma!J2286,Meses!$D$1:$G$2,2,FALSE),FALSE),
IF(P2286="En programación",M2286,""))</f>
        <v>45379</v>
      </c>
      <c r="S2286" s="25" t="str">
        <f t="shared" si="111"/>
        <v>2024/3</v>
      </c>
      <c r="T2286" s="21">
        <f>IFERROR(
(VLOOKUP(MONTH(R2286),Meses!$B$3:$C$14,2,FALSE)-DAY(R2286))/VLOOKUP(MONTH(R2286),Meses!$B$3:$C$14,2,FALSE)*U2286,
"")</f>
        <v>1396.9354838709678</v>
      </c>
      <c r="U2286" s="22">
        <f t="shared" si="112"/>
        <v>14435</v>
      </c>
    </row>
    <row r="2287" spans="1:21" ht="31.8" hidden="1" thickBot="1" x14ac:dyDescent="0.6">
      <c r="A2287" s="10" t="s">
        <v>3146</v>
      </c>
      <c r="B2287" s="10" t="s">
        <v>3181</v>
      </c>
      <c r="C2287" s="12"/>
      <c r="D2287" s="10" t="s">
        <v>74</v>
      </c>
      <c r="E2287" s="10" t="s">
        <v>74</v>
      </c>
      <c r="F2287" s="10">
        <v>2103</v>
      </c>
      <c r="G2287" s="10" t="s">
        <v>15</v>
      </c>
      <c r="H2287" s="10" t="s">
        <v>2917</v>
      </c>
      <c r="I2287" s="10" t="s">
        <v>43</v>
      </c>
      <c r="J2287" s="10" t="s">
        <v>292</v>
      </c>
      <c r="K2287" s="10" t="s">
        <v>3325</v>
      </c>
      <c r="L2287" s="10" t="s">
        <v>2292</v>
      </c>
      <c r="M2287" s="12">
        <v>45407</v>
      </c>
      <c r="N2287" s="10"/>
      <c r="O2287" s="10"/>
      <c r="P2287" s="25" t="str">
        <f>IFERROR(
IF(OR(O2287="anulado",O2287="stand by"),CONCATENATE(O2287,": ",H2287),
IF(OR(YEAR(M2287)=2022,YEAR(M2287)=2023),CONCATENATE("Se activó en ",YEAR(M2287)),
IF(AND(OR(O2287="En proceso",O2287="facturando"),AND(J2287="-",M2287="")),"Por revisar",
IF(M2287="",IF(J2287="NUEVAS",CONCATENATE("Estado: ",O2287,", ",J2287),
IF(L2287=Meses!$A$3,"Por revisar",
IF(H2287="","Sin registro","En programación Frcst."))),"En programación")))),
"Error")</f>
        <v>En programación</v>
      </c>
      <c r="Q2287" s="9" t="str">
        <f t="shared" si="109"/>
        <v/>
      </c>
      <c r="R2287" s="25">
        <f>IF(P2287="En programación Frcst.",VLOOKUP(L2287,Meses!$A$1:$H$14,3+HLOOKUP(Cronograma!J2287,Meses!$D$1:$G$2,2,FALSE),FALSE),
IF(P2287="En programación",M2287,""))</f>
        <v>45407</v>
      </c>
      <c r="S2287" s="25" t="str">
        <f t="shared" si="111"/>
        <v>2024/4</v>
      </c>
      <c r="T2287" s="21">
        <f>IFERROR(
(VLOOKUP(MONTH(R2287),Meses!$B$3:$C$14,2,FALSE)-DAY(R2287))/VLOOKUP(MONTH(R2287),Meses!$B$3:$C$14,2,FALSE)*U2287,
"")</f>
        <v>350.5</v>
      </c>
      <c r="U2287" s="22">
        <f t="shared" si="112"/>
        <v>2103</v>
      </c>
    </row>
    <row r="2288" spans="1:21" ht="47.4" hidden="1" thickBot="1" x14ac:dyDescent="0.6">
      <c r="A2288" s="10" t="s">
        <v>3184</v>
      </c>
      <c r="B2288" s="10" t="s">
        <v>3186</v>
      </c>
      <c r="C2288" s="12"/>
      <c r="D2288" s="10" t="s">
        <v>44</v>
      </c>
      <c r="E2288" s="10" t="s">
        <v>44</v>
      </c>
      <c r="F2288" s="10">
        <v>2500</v>
      </c>
      <c r="G2288" s="10" t="s">
        <v>15</v>
      </c>
      <c r="H2288" s="10"/>
      <c r="I2288" s="10" t="s">
        <v>43</v>
      </c>
      <c r="J2288" s="10" t="s">
        <v>292</v>
      </c>
      <c r="K2288" s="10" t="s">
        <v>3325</v>
      </c>
      <c r="L2288" s="10" t="s">
        <v>2292</v>
      </c>
      <c r="M2288" s="12">
        <v>45407</v>
      </c>
      <c r="N2288" s="10"/>
      <c r="O2288" s="10"/>
      <c r="P2288" s="25" t="str">
        <f>IFERROR(
IF(OR(O2288="anulado",O2288="stand by"),CONCATENATE(O2288,": ",H2288),
IF(OR(YEAR(M2288)=2022,YEAR(M2288)=2023),CONCATENATE("Se activó en ",YEAR(M2288)),
IF(AND(OR(O2288="En proceso",O2288="facturando"),AND(J2288="-",M2288="")),"Por revisar",
IF(M2288="",IF(J2288="NUEVAS",CONCATENATE("Estado: ",O2288,", ",J2288),
IF(L2288=Meses!$A$3,"Por revisar",
IF(H2288="","Sin registro","En programación Frcst."))),"En programación")))),
"Error")</f>
        <v>En programación</v>
      </c>
      <c r="Q2288" s="9" t="str">
        <f t="shared" si="109"/>
        <v/>
      </c>
      <c r="R2288" s="25">
        <f>IF(P2288="En programación Frcst.",VLOOKUP(L2288,Meses!$A$1:$H$14,3+HLOOKUP(Cronograma!J2288,Meses!$D$1:$G$2,2,FALSE),FALSE),
IF(P2288="En programación",M2288,""))</f>
        <v>45407</v>
      </c>
      <c r="S2288" s="25" t="str">
        <f t="shared" si="111"/>
        <v>2024/4</v>
      </c>
      <c r="T2288" s="21">
        <f>IFERROR(
(VLOOKUP(MONTH(R2288),Meses!$B$3:$C$14,2,FALSE)-DAY(R2288))/VLOOKUP(MONTH(R2288),Meses!$B$3:$C$14,2,FALSE)*U2288,
"")</f>
        <v>416.66666666666663</v>
      </c>
      <c r="U2288" s="22">
        <f t="shared" si="112"/>
        <v>2500</v>
      </c>
    </row>
    <row r="2289" spans="1:21" ht="47.4" hidden="1" thickBot="1" x14ac:dyDescent="0.6">
      <c r="A2289" s="10" t="s">
        <v>3184</v>
      </c>
      <c r="B2289" s="10" t="s">
        <v>3187</v>
      </c>
      <c r="C2289" s="12"/>
      <c r="D2289" s="10" t="s">
        <v>44</v>
      </c>
      <c r="E2289" s="10" t="s">
        <v>44</v>
      </c>
      <c r="F2289" s="10">
        <v>1400</v>
      </c>
      <c r="G2289" s="10" t="s">
        <v>15</v>
      </c>
      <c r="H2289" s="10"/>
      <c r="I2289" s="10" t="s">
        <v>43</v>
      </c>
      <c r="J2289" s="10" t="s">
        <v>292</v>
      </c>
      <c r="K2289" s="10" t="s">
        <v>3325</v>
      </c>
      <c r="L2289" s="10" t="s">
        <v>2292</v>
      </c>
      <c r="M2289" s="12">
        <v>45407</v>
      </c>
      <c r="N2289" s="10"/>
      <c r="O2289" s="10"/>
      <c r="P2289" s="25" t="str">
        <f>IFERROR(
IF(OR(O2289="anulado",O2289="stand by"),CONCATENATE(O2289,": ",H2289),
IF(OR(YEAR(M2289)=2022,YEAR(M2289)=2023),CONCATENATE("Se activó en ",YEAR(M2289)),
IF(AND(OR(O2289="En proceso",O2289="facturando"),AND(J2289="-",M2289="")),"Por revisar",
IF(M2289="",IF(J2289="NUEVAS",CONCATENATE("Estado: ",O2289,", ",J2289),
IF(L2289=Meses!$A$3,"Por revisar",
IF(H2289="","Sin registro","En programación Frcst."))),"En programación")))),
"Error")</f>
        <v>En programación</v>
      </c>
      <c r="Q2289" s="9" t="str">
        <f t="shared" ref="Q2289:Q2352" si="113">IF(P2289="Por revisar",CONCATENATE("programación de act. ",N2289,", estado: ",O2289,", Comercializador: ",D2289,", Etapa: ",H2289),"")</f>
        <v/>
      </c>
      <c r="R2289" s="25">
        <f>IF(P2289="En programación Frcst.",VLOOKUP(L2289,Meses!$A$1:$H$14,3+HLOOKUP(Cronograma!J2289,Meses!$D$1:$G$2,2,FALSE),FALSE),
IF(P2289="En programación",M2289,""))</f>
        <v>45407</v>
      </c>
      <c r="S2289" s="25" t="str">
        <f t="shared" ref="S2289:S2352" si="114">IFERROR(CONCATENATE(YEAR(R2289),"/",MONTH(R2289)),"")</f>
        <v>2024/4</v>
      </c>
      <c r="T2289" s="21">
        <f>IFERROR(
(VLOOKUP(MONTH(R2289),Meses!$B$3:$C$14,2,FALSE)-DAY(R2289))/VLOOKUP(MONTH(R2289),Meses!$B$3:$C$14,2,FALSE)*U2289,
"")</f>
        <v>233.33333333333331</v>
      </c>
      <c r="U2289" s="22">
        <f t="shared" ref="U2289:U2352" si="115">F2289</f>
        <v>1400</v>
      </c>
    </row>
    <row r="2290" spans="1:21" ht="47.4" hidden="1" thickBot="1" x14ac:dyDescent="0.6">
      <c r="A2290" s="10" t="s">
        <v>3184</v>
      </c>
      <c r="B2290" s="10" t="s">
        <v>3188</v>
      </c>
      <c r="C2290" s="12"/>
      <c r="D2290" s="10" t="s">
        <v>44</v>
      </c>
      <c r="E2290" s="10" t="s">
        <v>44</v>
      </c>
      <c r="F2290" s="10">
        <v>160</v>
      </c>
      <c r="G2290" s="10" t="s">
        <v>15</v>
      </c>
      <c r="H2290" s="10"/>
      <c r="I2290" s="10" t="s">
        <v>43</v>
      </c>
      <c r="J2290" s="10" t="s">
        <v>292</v>
      </c>
      <c r="K2290" s="10" t="s">
        <v>3325</v>
      </c>
      <c r="L2290" s="10" t="s">
        <v>2292</v>
      </c>
      <c r="M2290" s="12">
        <v>45407</v>
      </c>
      <c r="N2290" s="10"/>
      <c r="O2290" s="10"/>
      <c r="P2290" s="25" t="str">
        <f>IFERROR(
IF(OR(O2290="anulado",O2290="stand by"),CONCATENATE(O2290,": ",H2290),
IF(OR(YEAR(M2290)=2022,YEAR(M2290)=2023),CONCATENATE("Se activó en ",YEAR(M2290)),
IF(AND(OR(O2290="En proceso",O2290="facturando"),AND(J2290="-",M2290="")),"Por revisar",
IF(M2290="",IF(J2290="NUEVAS",CONCATENATE("Estado: ",O2290,", ",J2290),
IF(L2290=Meses!$A$3,"Por revisar",
IF(H2290="","Sin registro","En programación Frcst."))),"En programación")))),
"Error")</f>
        <v>En programación</v>
      </c>
      <c r="Q2290" s="9" t="str">
        <f t="shared" si="113"/>
        <v/>
      </c>
      <c r="R2290" s="25">
        <f>IF(P2290="En programación Frcst.",VLOOKUP(L2290,Meses!$A$1:$H$14,3+HLOOKUP(Cronograma!J2290,Meses!$D$1:$G$2,2,FALSE),FALSE),
IF(P2290="En programación",M2290,""))</f>
        <v>45407</v>
      </c>
      <c r="S2290" s="25" t="str">
        <f t="shared" si="114"/>
        <v>2024/4</v>
      </c>
      <c r="T2290" s="21">
        <f>IFERROR(
(VLOOKUP(MONTH(R2290),Meses!$B$3:$C$14,2,FALSE)-DAY(R2290))/VLOOKUP(MONTH(R2290),Meses!$B$3:$C$14,2,FALSE)*U2290,
"")</f>
        <v>26.666666666666664</v>
      </c>
      <c r="U2290" s="22">
        <f t="shared" si="115"/>
        <v>160</v>
      </c>
    </row>
    <row r="2291" spans="1:21" ht="47.4" hidden="1" thickBot="1" x14ac:dyDescent="0.6">
      <c r="A2291" s="10" t="s">
        <v>3184</v>
      </c>
      <c r="B2291" s="10" t="s">
        <v>3189</v>
      </c>
      <c r="C2291" s="12"/>
      <c r="D2291" s="10" t="s">
        <v>44</v>
      </c>
      <c r="E2291" s="10" t="s">
        <v>44</v>
      </c>
      <c r="F2291" s="10">
        <v>10500</v>
      </c>
      <c r="G2291" s="10" t="s">
        <v>15</v>
      </c>
      <c r="H2291" s="10"/>
      <c r="I2291" s="10" t="s">
        <v>43</v>
      </c>
      <c r="J2291" s="10" t="s">
        <v>292</v>
      </c>
      <c r="K2291" s="10" t="s">
        <v>3325</v>
      </c>
      <c r="L2291" s="10" t="s">
        <v>2292</v>
      </c>
      <c r="M2291" s="12">
        <v>45407</v>
      </c>
      <c r="N2291" s="10"/>
      <c r="O2291" s="10"/>
      <c r="P2291" s="25" t="str">
        <f>IFERROR(
IF(OR(O2291="anulado",O2291="stand by"),CONCATENATE(O2291,": ",H2291),
IF(OR(YEAR(M2291)=2022,YEAR(M2291)=2023),CONCATENATE("Se activó en ",YEAR(M2291)),
IF(AND(OR(O2291="En proceso",O2291="facturando"),AND(J2291="-",M2291="")),"Por revisar",
IF(M2291="",IF(J2291="NUEVAS",CONCATENATE("Estado: ",O2291,", ",J2291),
IF(L2291=Meses!$A$3,"Por revisar",
IF(H2291="","Sin registro","En programación Frcst."))),"En programación")))),
"Error")</f>
        <v>En programación</v>
      </c>
      <c r="Q2291" s="9" t="str">
        <f t="shared" si="113"/>
        <v/>
      </c>
      <c r="R2291" s="25">
        <f>IF(P2291="En programación Frcst.",VLOOKUP(L2291,Meses!$A$1:$H$14,3+HLOOKUP(Cronograma!J2291,Meses!$D$1:$G$2,2,FALSE),FALSE),
IF(P2291="En programación",M2291,""))</f>
        <v>45407</v>
      </c>
      <c r="S2291" s="25" t="str">
        <f t="shared" si="114"/>
        <v>2024/4</v>
      </c>
      <c r="T2291" s="21">
        <f>IFERROR(
(VLOOKUP(MONTH(R2291),Meses!$B$3:$C$14,2,FALSE)-DAY(R2291))/VLOOKUP(MONTH(R2291),Meses!$B$3:$C$14,2,FALSE)*U2291,
"")</f>
        <v>1750</v>
      </c>
      <c r="U2291" s="22">
        <f t="shared" si="115"/>
        <v>10500</v>
      </c>
    </row>
    <row r="2292" spans="1:21" ht="47.4" hidden="1" thickBot="1" x14ac:dyDescent="0.6">
      <c r="A2292" s="10" t="s">
        <v>3184</v>
      </c>
      <c r="B2292" s="10" t="s">
        <v>3190</v>
      </c>
      <c r="C2292" s="12"/>
      <c r="D2292" s="10" t="s">
        <v>44</v>
      </c>
      <c r="E2292" s="10" t="s">
        <v>44</v>
      </c>
      <c r="F2292" s="10">
        <v>1500</v>
      </c>
      <c r="G2292" s="10" t="s">
        <v>15</v>
      </c>
      <c r="H2292" s="10"/>
      <c r="I2292" s="10" t="s">
        <v>43</v>
      </c>
      <c r="J2292" s="10" t="s">
        <v>292</v>
      </c>
      <c r="K2292" s="10" t="s">
        <v>3325</v>
      </c>
      <c r="L2292" s="10" t="s">
        <v>2292</v>
      </c>
      <c r="M2292" s="12">
        <v>45407</v>
      </c>
      <c r="N2292" s="10"/>
      <c r="O2292" s="10"/>
      <c r="P2292" s="25" t="str">
        <f>IFERROR(
IF(OR(O2292="anulado",O2292="stand by"),CONCATENATE(O2292,": ",H2292),
IF(OR(YEAR(M2292)=2022,YEAR(M2292)=2023),CONCATENATE("Se activó en ",YEAR(M2292)),
IF(AND(OR(O2292="En proceso",O2292="facturando"),AND(J2292="-",M2292="")),"Por revisar",
IF(M2292="",IF(J2292="NUEVAS",CONCATENATE("Estado: ",O2292,", ",J2292),
IF(L2292=Meses!$A$3,"Por revisar",
IF(H2292="","Sin registro","En programación Frcst."))),"En programación")))),
"Error")</f>
        <v>En programación</v>
      </c>
      <c r="Q2292" s="9" t="str">
        <f t="shared" si="113"/>
        <v/>
      </c>
      <c r="R2292" s="25">
        <f>IF(P2292="En programación Frcst.",VLOOKUP(L2292,Meses!$A$1:$H$14,3+HLOOKUP(Cronograma!J2292,Meses!$D$1:$G$2,2,FALSE),FALSE),
IF(P2292="En programación",M2292,""))</f>
        <v>45407</v>
      </c>
      <c r="S2292" s="25" t="str">
        <f t="shared" si="114"/>
        <v>2024/4</v>
      </c>
      <c r="T2292" s="21">
        <f>IFERROR(
(VLOOKUP(MONTH(R2292),Meses!$B$3:$C$14,2,FALSE)-DAY(R2292))/VLOOKUP(MONTH(R2292),Meses!$B$3:$C$14,2,FALSE)*U2292,
"")</f>
        <v>250</v>
      </c>
      <c r="U2292" s="22">
        <f t="shared" si="115"/>
        <v>1500</v>
      </c>
    </row>
    <row r="2293" spans="1:21" ht="47.4" hidden="1" thickBot="1" x14ac:dyDescent="0.6">
      <c r="A2293" s="10" t="s">
        <v>3191</v>
      </c>
      <c r="B2293" s="10" t="s">
        <v>3192</v>
      </c>
      <c r="C2293" s="12"/>
      <c r="D2293" s="10" t="s">
        <v>14</v>
      </c>
      <c r="E2293" s="10" t="s">
        <v>14</v>
      </c>
      <c r="F2293" s="10">
        <v>2099</v>
      </c>
      <c r="G2293" s="10" t="s">
        <v>15</v>
      </c>
      <c r="H2293" s="10"/>
      <c r="I2293" s="10" t="s">
        <v>18</v>
      </c>
      <c r="J2293" s="10" t="s">
        <v>277</v>
      </c>
      <c r="K2293" s="10" t="s">
        <v>3327</v>
      </c>
      <c r="L2293" s="10" t="s">
        <v>2292</v>
      </c>
      <c r="M2293" s="12">
        <v>45400</v>
      </c>
      <c r="N2293" s="10"/>
      <c r="O2293" s="10"/>
      <c r="P2293" s="25" t="str">
        <f>IFERROR(
IF(OR(O2293="anulado",O2293="stand by"),CONCATENATE(O2293,": ",H2293),
IF(OR(YEAR(M2293)=2022,YEAR(M2293)=2023),CONCATENATE("Se activó en ",YEAR(M2293)),
IF(AND(OR(O2293="En proceso",O2293="facturando"),AND(J2293="-",M2293="")),"Por revisar",
IF(M2293="",IF(J2293="NUEVAS",CONCATENATE("Estado: ",O2293,", ",J2293),
IF(L2293=Meses!$A$3,"Por revisar",
IF(H2293="","Sin registro","En programación Frcst."))),"En programación")))),
"Error")</f>
        <v>En programación</v>
      </c>
      <c r="Q2293" s="9" t="str">
        <f t="shared" si="113"/>
        <v/>
      </c>
      <c r="R2293" s="25">
        <f>IF(P2293="En programación Frcst.",VLOOKUP(L2293,Meses!$A$1:$H$14,3+HLOOKUP(Cronograma!J2293,Meses!$D$1:$G$2,2,FALSE),FALSE),
IF(P2293="En programación",M2293,""))</f>
        <v>45400</v>
      </c>
      <c r="S2293" s="25" t="str">
        <f t="shared" si="114"/>
        <v>2024/4</v>
      </c>
      <c r="T2293" s="21">
        <f>IFERROR(
(VLOOKUP(MONTH(R2293),Meses!$B$3:$C$14,2,FALSE)-DAY(R2293))/VLOOKUP(MONTH(R2293),Meses!$B$3:$C$14,2,FALSE)*U2293,
"")</f>
        <v>839.6</v>
      </c>
      <c r="U2293" s="22">
        <f t="shared" si="115"/>
        <v>2099</v>
      </c>
    </row>
    <row r="2294" spans="1:21" ht="47.4" hidden="1" thickBot="1" x14ac:dyDescent="0.6">
      <c r="A2294" s="10" t="s">
        <v>3191</v>
      </c>
      <c r="B2294" s="10" t="s">
        <v>3194</v>
      </c>
      <c r="C2294" s="12"/>
      <c r="D2294" s="10" t="s">
        <v>14</v>
      </c>
      <c r="E2294" s="10" t="s">
        <v>14</v>
      </c>
      <c r="F2294" s="10">
        <v>5103</v>
      </c>
      <c r="G2294" s="10" t="s">
        <v>15</v>
      </c>
      <c r="H2294" s="10"/>
      <c r="I2294" s="10" t="s">
        <v>18</v>
      </c>
      <c r="J2294" s="10" t="s">
        <v>277</v>
      </c>
      <c r="K2294" s="10" t="s">
        <v>3327</v>
      </c>
      <c r="L2294" s="10" t="s">
        <v>2292</v>
      </c>
      <c r="M2294" s="12">
        <v>45400</v>
      </c>
      <c r="N2294" s="10"/>
      <c r="O2294" s="10"/>
      <c r="P2294" s="25" t="str">
        <f>IFERROR(
IF(OR(O2294="anulado",O2294="stand by"),CONCATENATE(O2294,": ",H2294),
IF(OR(YEAR(M2294)=2022,YEAR(M2294)=2023),CONCATENATE("Se activó en ",YEAR(M2294)),
IF(AND(OR(O2294="En proceso",O2294="facturando"),AND(J2294="-",M2294="")),"Por revisar",
IF(M2294="",IF(J2294="NUEVAS",CONCATENATE("Estado: ",O2294,", ",J2294),
IF(L2294=Meses!$A$3,"Por revisar",
IF(H2294="","Sin registro","En programación Frcst."))),"En programación")))),
"Error")</f>
        <v>En programación</v>
      </c>
      <c r="Q2294" s="9" t="str">
        <f t="shared" si="113"/>
        <v/>
      </c>
      <c r="R2294" s="25">
        <f>IF(P2294="En programación Frcst.",VLOOKUP(L2294,Meses!$A$1:$H$14,3+HLOOKUP(Cronograma!J2294,Meses!$D$1:$G$2,2,FALSE),FALSE),
IF(P2294="En programación",M2294,""))</f>
        <v>45400</v>
      </c>
      <c r="S2294" s="25" t="str">
        <f t="shared" si="114"/>
        <v>2024/4</v>
      </c>
      <c r="T2294" s="21">
        <f>IFERROR(
(VLOOKUP(MONTH(R2294),Meses!$B$3:$C$14,2,FALSE)-DAY(R2294))/VLOOKUP(MONTH(R2294),Meses!$B$3:$C$14,2,FALSE)*U2294,
"")</f>
        <v>2041.2</v>
      </c>
      <c r="U2294" s="22">
        <f t="shared" si="115"/>
        <v>5103</v>
      </c>
    </row>
    <row r="2295" spans="1:21" ht="31.8" hidden="1" thickBot="1" x14ac:dyDescent="0.6">
      <c r="A2295" s="10" t="s">
        <v>3195</v>
      </c>
      <c r="B2295" s="10" t="s">
        <v>3196</v>
      </c>
      <c r="C2295" s="12"/>
      <c r="D2295" s="10" t="s">
        <v>14</v>
      </c>
      <c r="E2295" s="10" t="s">
        <v>14</v>
      </c>
      <c r="F2295" s="10">
        <v>6947</v>
      </c>
      <c r="G2295" s="10" t="s">
        <v>15</v>
      </c>
      <c r="H2295" s="10"/>
      <c r="I2295" s="10" t="s">
        <v>18</v>
      </c>
      <c r="J2295" s="10" t="s">
        <v>277</v>
      </c>
      <c r="K2295" s="10" t="s">
        <v>3327</v>
      </c>
      <c r="L2295" s="10" t="s">
        <v>2292</v>
      </c>
      <c r="M2295" s="12">
        <v>45400</v>
      </c>
      <c r="N2295" s="10"/>
      <c r="O2295" s="10"/>
      <c r="P2295" s="25" t="str">
        <f>IFERROR(
IF(OR(O2295="anulado",O2295="stand by"),CONCATENATE(O2295,": ",H2295),
IF(OR(YEAR(M2295)=2022,YEAR(M2295)=2023),CONCATENATE("Se activó en ",YEAR(M2295)),
IF(AND(OR(O2295="En proceso",O2295="facturando"),AND(J2295="-",M2295="")),"Por revisar",
IF(M2295="",IF(J2295="NUEVAS",CONCATENATE("Estado: ",O2295,", ",J2295),
IF(L2295=Meses!$A$3,"Por revisar",
IF(H2295="","Sin registro","En programación Frcst."))),"En programación")))),
"Error")</f>
        <v>En programación</v>
      </c>
      <c r="Q2295" s="9" t="str">
        <f t="shared" si="113"/>
        <v/>
      </c>
      <c r="R2295" s="25">
        <f>IF(P2295="En programación Frcst.",VLOOKUP(L2295,Meses!$A$1:$H$14,3+HLOOKUP(Cronograma!J2295,Meses!$D$1:$G$2,2,FALSE),FALSE),
IF(P2295="En programación",M2295,""))</f>
        <v>45400</v>
      </c>
      <c r="S2295" s="25" t="str">
        <f t="shared" si="114"/>
        <v>2024/4</v>
      </c>
      <c r="T2295" s="21">
        <f>IFERROR(
(VLOOKUP(MONTH(R2295),Meses!$B$3:$C$14,2,FALSE)-DAY(R2295))/VLOOKUP(MONTH(R2295),Meses!$B$3:$C$14,2,FALSE)*U2295,
"")</f>
        <v>2778.8</v>
      </c>
      <c r="U2295" s="22">
        <f t="shared" si="115"/>
        <v>6947</v>
      </c>
    </row>
    <row r="2296" spans="1:21" ht="31.8" hidden="1" thickBot="1" x14ac:dyDescent="0.6">
      <c r="A2296" s="10" t="s">
        <v>3197</v>
      </c>
      <c r="B2296" s="10" t="s">
        <v>3198</v>
      </c>
      <c r="C2296" s="12"/>
      <c r="D2296" s="10" t="s">
        <v>74</v>
      </c>
      <c r="E2296" s="10" t="s">
        <v>74</v>
      </c>
      <c r="F2296" s="10">
        <v>4518</v>
      </c>
      <c r="G2296" s="10" t="s">
        <v>15</v>
      </c>
      <c r="H2296" s="10"/>
      <c r="I2296" s="10" t="s">
        <v>43</v>
      </c>
      <c r="J2296" s="10" t="s">
        <v>292</v>
      </c>
      <c r="K2296" s="10" t="s">
        <v>3325</v>
      </c>
      <c r="L2296" s="10" t="s">
        <v>2292</v>
      </c>
      <c r="M2296" s="12">
        <v>45407</v>
      </c>
      <c r="N2296" s="10"/>
      <c r="O2296" s="10"/>
      <c r="P2296" s="25" t="str">
        <f>IFERROR(
IF(OR(O2296="anulado",O2296="stand by"),CONCATENATE(O2296,": ",H2296),
IF(OR(YEAR(M2296)=2022,YEAR(M2296)=2023),CONCATENATE("Se activó en ",YEAR(M2296)),
IF(AND(OR(O2296="En proceso",O2296="facturando"),AND(J2296="-",M2296="")),"Por revisar",
IF(M2296="",IF(J2296="NUEVAS",CONCATENATE("Estado: ",O2296,", ",J2296),
IF(L2296=Meses!$A$3,"Por revisar",
IF(H2296="","Sin registro","En programación Frcst."))),"En programación")))),
"Error")</f>
        <v>En programación</v>
      </c>
      <c r="Q2296" s="9" t="str">
        <f t="shared" si="113"/>
        <v/>
      </c>
      <c r="R2296" s="25">
        <f>IF(P2296="En programación Frcst.",VLOOKUP(L2296,Meses!$A$1:$H$14,3+HLOOKUP(Cronograma!J2296,Meses!$D$1:$G$2,2,FALSE),FALSE),
IF(P2296="En programación",M2296,""))</f>
        <v>45407</v>
      </c>
      <c r="S2296" s="25" t="str">
        <f t="shared" si="114"/>
        <v>2024/4</v>
      </c>
      <c r="T2296" s="21">
        <f>IFERROR(
(VLOOKUP(MONTH(R2296),Meses!$B$3:$C$14,2,FALSE)-DAY(R2296))/VLOOKUP(MONTH(R2296),Meses!$B$3:$C$14,2,FALSE)*U2296,
"")</f>
        <v>753</v>
      </c>
      <c r="U2296" s="22">
        <f t="shared" si="115"/>
        <v>4518</v>
      </c>
    </row>
    <row r="2297" spans="1:21" ht="31.8" hidden="1" thickBot="1" x14ac:dyDescent="0.6">
      <c r="A2297" s="10" t="s">
        <v>3197</v>
      </c>
      <c r="B2297" s="10" t="s">
        <v>3199</v>
      </c>
      <c r="C2297" s="12"/>
      <c r="D2297" s="10" t="s">
        <v>74</v>
      </c>
      <c r="E2297" s="10" t="s">
        <v>74</v>
      </c>
      <c r="F2297" s="10">
        <v>10149</v>
      </c>
      <c r="G2297" s="10" t="s">
        <v>15</v>
      </c>
      <c r="H2297" s="10"/>
      <c r="I2297" s="10" t="s">
        <v>43</v>
      </c>
      <c r="J2297" s="10" t="s">
        <v>292</v>
      </c>
      <c r="K2297" s="10" t="s">
        <v>3325</v>
      </c>
      <c r="L2297" s="10" t="s">
        <v>2292</v>
      </c>
      <c r="M2297" s="12">
        <v>45407</v>
      </c>
      <c r="N2297" s="10"/>
      <c r="O2297" s="10"/>
      <c r="P2297" s="25" t="str">
        <f>IFERROR(
IF(OR(O2297="anulado",O2297="stand by"),CONCATENATE(O2297,": ",H2297),
IF(OR(YEAR(M2297)=2022,YEAR(M2297)=2023),CONCATENATE("Se activó en ",YEAR(M2297)),
IF(AND(OR(O2297="En proceso",O2297="facturando"),AND(J2297="-",M2297="")),"Por revisar",
IF(M2297="",IF(J2297="NUEVAS",CONCATENATE("Estado: ",O2297,", ",J2297),
IF(L2297=Meses!$A$3,"Por revisar",
IF(H2297="","Sin registro","En programación Frcst."))),"En programación")))),
"Error")</f>
        <v>En programación</v>
      </c>
      <c r="Q2297" s="9" t="str">
        <f t="shared" si="113"/>
        <v/>
      </c>
      <c r="R2297" s="25">
        <f>IF(P2297="En programación Frcst.",VLOOKUP(L2297,Meses!$A$1:$H$14,3+HLOOKUP(Cronograma!J2297,Meses!$D$1:$G$2,2,FALSE),FALSE),
IF(P2297="En programación",M2297,""))</f>
        <v>45407</v>
      </c>
      <c r="S2297" s="25" t="str">
        <f t="shared" si="114"/>
        <v>2024/4</v>
      </c>
      <c r="T2297" s="21">
        <f>IFERROR(
(VLOOKUP(MONTH(R2297),Meses!$B$3:$C$14,2,FALSE)-DAY(R2297))/VLOOKUP(MONTH(R2297),Meses!$B$3:$C$14,2,FALSE)*U2297,
"")</f>
        <v>1691.5</v>
      </c>
      <c r="U2297" s="22">
        <f t="shared" si="115"/>
        <v>10149</v>
      </c>
    </row>
    <row r="2298" spans="1:21" ht="18" hidden="1" thickBot="1" x14ac:dyDescent="0.6">
      <c r="A2298" t="s">
        <v>3197</v>
      </c>
      <c r="B2298" t="s">
        <v>3200</v>
      </c>
      <c r="D2298" t="s">
        <v>74</v>
      </c>
      <c r="E2298" t="s">
        <v>74</v>
      </c>
      <c r="F2298" s="21">
        <v>14010</v>
      </c>
      <c r="G2298" t="s">
        <v>15</v>
      </c>
      <c r="I2298" t="s">
        <v>43</v>
      </c>
      <c r="J2298" s="10" t="s">
        <v>292</v>
      </c>
      <c r="K2298" t="s">
        <v>3325</v>
      </c>
      <c r="L2298" t="s">
        <v>2292</v>
      </c>
      <c r="M2298">
        <v>45407</v>
      </c>
      <c r="O2298" s="10"/>
      <c r="P2298" s="25" t="str">
        <f>IFERROR(
IF(OR(O2298="anulado",O2298="stand by"),CONCATENATE(O2298,": ",H2298),
IF(OR(YEAR(M2298)=2022,YEAR(M2298)=2023),CONCATENATE("Se activó en ",YEAR(M2298)),
IF(AND(OR(O2298="En proceso",O2298="facturando"),AND(J2298="-",M2298="")),"Por revisar",
IF(M2298="",IF(J2298="NUEVAS",CONCATENATE("Estado: ",O2298,", ",J2298),
IF(L2298=Meses!$A$3,"Por revisar",
IF(H2298="","Sin registro","En programación Frcst."))),"En programación")))),
"Error")</f>
        <v>En programación</v>
      </c>
      <c r="Q2298" s="9" t="str">
        <f t="shared" si="113"/>
        <v/>
      </c>
      <c r="R2298" s="25">
        <f>IF(P2298="En programación Frcst.",VLOOKUP(L2298,Meses!$A$1:$H$14,3+HLOOKUP(Cronograma!J2298,Meses!$D$1:$G$2,2,FALSE),FALSE),
IF(P2298="En programación",M2298,""))</f>
        <v>45407</v>
      </c>
      <c r="S2298" s="25" t="str">
        <f t="shared" si="114"/>
        <v>2024/4</v>
      </c>
      <c r="T2298" s="21">
        <f>IFERROR(
(VLOOKUP(MONTH(R2298),Meses!$B$3:$C$14,2,FALSE)-DAY(R2298))/VLOOKUP(MONTH(R2298),Meses!$B$3:$C$14,2,FALSE)*U2298,
"")</f>
        <v>2335</v>
      </c>
      <c r="U2298" s="22">
        <f t="shared" si="115"/>
        <v>14010</v>
      </c>
    </row>
    <row r="2299" spans="1:21" ht="18" hidden="1" thickBot="1" x14ac:dyDescent="0.6">
      <c r="A2299" t="s">
        <v>3197</v>
      </c>
      <c r="B2299" t="s">
        <v>3201</v>
      </c>
      <c r="D2299" t="s">
        <v>74</v>
      </c>
      <c r="E2299" t="s">
        <v>74</v>
      </c>
      <c r="F2299" s="21">
        <v>61676</v>
      </c>
      <c r="G2299" t="s">
        <v>15</v>
      </c>
      <c r="I2299" t="s">
        <v>43</v>
      </c>
      <c r="J2299" s="10" t="s">
        <v>292</v>
      </c>
      <c r="K2299" t="s">
        <v>3325</v>
      </c>
      <c r="L2299" t="s">
        <v>2292</v>
      </c>
      <c r="M2299">
        <v>45407</v>
      </c>
      <c r="O2299" s="10"/>
      <c r="P2299" s="25" t="str">
        <f>IFERROR(
IF(OR(O2299="anulado",O2299="stand by"),CONCATENATE(O2299,": ",H2299),
IF(OR(YEAR(M2299)=2022,YEAR(M2299)=2023),CONCATENATE("Se activó en ",YEAR(M2299)),
IF(AND(OR(O2299="En proceso",O2299="facturando"),AND(J2299="-",M2299="")),"Por revisar",
IF(M2299="",IF(J2299="NUEVAS",CONCATENATE("Estado: ",O2299,", ",J2299),
IF(L2299=Meses!$A$3,"Por revisar",
IF(H2299="","Sin registro","En programación Frcst."))),"En programación")))),
"Error")</f>
        <v>En programación</v>
      </c>
      <c r="Q2299" s="9" t="str">
        <f t="shared" si="113"/>
        <v/>
      </c>
      <c r="R2299" s="25">
        <f>IF(P2299="En programación Frcst.",VLOOKUP(L2299,Meses!$A$1:$H$14,3+HLOOKUP(Cronograma!J2299,Meses!$D$1:$G$2,2,FALSE),FALSE),
IF(P2299="En programación",M2299,""))</f>
        <v>45407</v>
      </c>
      <c r="S2299" s="25" t="str">
        <f t="shared" si="114"/>
        <v>2024/4</v>
      </c>
      <c r="T2299" s="21">
        <f>IFERROR(
(VLOOKUP(MONTH(R2299),Meses!$B$3:$C$14,2,FALSE)-DAY(R2299))/VLOOKUP(MONTH(R2299),Meses!$B$3:$C$14,2,FALSE)*U2299,
"")</f>
        <v>10279.333333333332</v>
      </c>
      <c r="U2299" s="22">
        <f t="shared" si="115"/>
        <v>61676</v>
      </c>
    </row>
    <row r="2300" spans="1:21" ht="18" hidden="1" thickBot="1" x14ac:dyDescent="0.6">
      <c r="A2300" t="s">
        <v>3202</v>
      </c>
      <c r="B2300" t="s">
        <v>3203</v>
      </c>
      <c r="D2300" t="s">
        <v>74</v>
      </c>
      <c r="E2300" t="s">
        <v>74</v>
      </c>
      <c r="F2300" s="21">
        <v>3175</v>
      </c>
      <c r="G2300" t="s">
        <v>15</v>
      </c>
      <c r="I2300" t="s">
        <v>43</v>
      </c>
      <c r="J2300" s="10" t="s">
        <v>292</v>
      </c>
      <c r="K2300" t="s">
        <v>3325</v>
      </c>
      <c r="L2300" t="s">
        <v>2292</v>
      </c>
      <c r="M2300">
        <v>45407</v>
      </c>
      <c r="O2300" s="10"/>
      <c r="P2300" s="25" t="str">
        <f>IFERROR(
IF(OR(O2300="anulado",O2300="stand by"),CONCATENATE(O2300,": ",H2300),
IF(OR(YEAR(M2300)=2022,YEAR(M2300)=2023),CONCATENATE("Se activó en ",YEAR(M2300)),
IF(AND(OR(O2300="En proceso",O2300="facturando"),AND(J2300="-",M2300="")),"Por revisar",
IF(M2300="",IF(J2300="NUEVAS",CONCATENATE("Estado: ",O2300,", ",J2300),
IF(L2300=Meses!$A$3,"Por revisar",
IF(H2300="","Sin registro","En programación Frcst."))),"En programación")))),
"Error")</f>
        <v>En programación</v>
      </c>
      <c r="Q2300" s="9" t="str">
        <f t="shared" si="113"/>
        <v/>
      </c>
      <c r="R2300" s="25">
        <f>IF(P2300="En programación Frcst.",VLOOKUP(L2300,Meses!$A$1:$H$14,3+HLOOKUP(Cronograma!J2300,Meses!$D$1:$G$2,2,FALSE),FALSE),
IF(P2300="En programación",M2300,""))</f>
        <v>45407</v>
      </c>
      <c r="S2300" s="25" t="str">
        <f t="shared" si="114"/>
        <v>2024/4</v>
      </c>
      <c r="T2300" s="21">
        <f>IFERROR(
(VLOOKUP(MONTH(R2300),Meses!$B$3:$C$14,2,FALSE)-DAY(R2300))/VLOOKUP(MONTH(R2300),Meses!$B$3:$C$14,2,FALSE)*U2300,
"")</f>
        <v>529.16666666666663</v>
      </c>
      <c r="U2300" s="22">
        <f t="shared" si="115"/>
        <v>3175</v>
      </c>
    </row>
    <row r="2301" spans="1:21" ht="18" hidden="1" thickBot="1" x14ac:dyDescent="0.6">
      <c r="A2301" t="s">
        <v>3204</v>
      </c>
      <c r="B2301" t="s">
        <v>3205</v>
      </c>
      <c r="D2301" t="s">
        <v>74</v>
      </c>
      <c r="E2301" t="s">
        <v>74</v>
      </c>
      <c r="F2301" s="21">
        <v>23000</v>
      </c>
      <c r="G2301" t="s">
        <v>15</v>
      </c>
      <c r="I2301" t="s">
        <v>43</v>
      </c>
      <c r="J2301" s="10" t="s">
        <v>292</v>
      </c>
      <c r="K2301" t="s">
        <v>3325</v>
      </c>
      <c r="L2301" t="s">
        <v>2292</v>
      </c>
      <c r="M2301">
        <v>45407</v>
      </c>
      <c r="O2301" s="10"/>
      <c r="P2301" s="25" t="str">
        <f>IFERROR(
IF(OR(O2301="anulado",O2301="stand by"),CONCATENATE(O2301,": ",H2301),
IF(OR(YEAR(M2301)=2022,YEAR(M2301)=2023),CONCATENATE("Se activó en ",YEAR(M2301)),
IF(AND(OR(O2301="En proceso",O2301="facturando"),AND(J2301="-",M2301="")),"Por revisar",
IF(M2301="",IF(J2301="NUEVAS",CONCATENATE("Estado: ",O2301,", ",J2301),
IF(L2301=Meses!$A$3,"Por revisar",
IF(H2301="","Sin registro","En programación Frcst."))),"En programación")))),
"Error")</f>
        <v>En programación</v>
      </c>
      <c r="Q2301" s="9" t="str">
        <f t="shared" si="113"/>
        <v/>
      </c>
      <c r="R2301" s="25">
        <f>IF(P2301="En programación Frcst.",VLOOKUP(L2301,Meses!$A$1:$H$14,3+HLOOKUP(Cronograma!J2301,Meses!$D$1:$G$2,2,FALSE),FALSE),
IF(P2301="En programación",M2301,""))</f>
        <v>45407</v>
      </c>
      <c r="S2301" s="25" t="str">
        <f t="shared" si="114"/>
        <v>2024/4</v>
      </c>
      <c r="T2301" s="21">
        <f>IFERROR(
(VLOOKUP(MONTH(R2301),Meses!$B$3:$C$14,2,FALSE)-DAY(R2301))/VLOOKUP(MONTH(R2301),Meses!$B$3:$C$14,2,FALSE)*U2301,
"")</f>
        <v>3833.333333333333</v>
      </c>
      <c r="U2301" s="22">
        <f t="shared" si="115"/>
        <v>23000</v>
      </c>
    </row>
    <row r="2302" spans="1:21" ht="18" hidden="1" thickBot="1" x14ac:dyDescent="0.6">
      <c r="A2302" t="s">
        <v>3206</v>
      </c>
      <c r="B2302" t="s">
        <v>3207</v>
      </c>
      <c r="D2302" t="s">
        <v>74</v>
      </c>
      <c r="E2302" t="s">
        <v>74</v>
      </c>
      <c r="F2302" s="21">
        <v>5862</v>
      </c>
      <c r="G2302" t="s">
        <v>15</v>
      </c>
      <c r="I2302" t="s">
        <v>43</v>
      </c>
      <c r="J2302" s="10" t="s">
        <v>292</v>
      </c>
      <c r="K2302" t="s">
        <v>3325</v>
      </c>
      <c r="L2302" t="s">
        <v>2292</v>
      </c>
      <c r="M2302">
        <v>45407</v>
      </c>
      <c r="O2302" s="10"/>
      <c r="P2302" s="25" t="str">
        <f>IFERROR(
IF(OR(O2302="anulado",O2302="stand by"),CONCATENATE(O2302,": ",H2302),
IF(OR(YEAR(M2302)=2022,YEAR(M2302)=2023),CONCATENATE("Se activó en ",YEAR(M2302)),
IF(AND(OR(O2302="En proceso",O2302="facturando"),AND(J2302="-",M2302="")),"Por revisar",
IF(M2302="",IF(J2302="NUEVAS",CONCATENATE("Estado: ",O2302,", ",J2302),
IF(L2302=Meses!$A$3,"Por revisar",
IF(H2302="","Sin registro","En programación Frcst."))),"En programación")))),
"Error")</f>
        <v>En programación</v>
      </c>
      <c r="Q2302" s="9" t="str">
        <f t="shared" si="113"/>
        <v/>
      </c>
      <c r="R2302" s="25">
        <f>IF(P2302="En programación Frcst.",VLOOKUP(L2302,Meses!$A$1:$H$14,3+HLOOKUP(Cronograma!J2302,Meses!$D$1:$G$2,2,FALSE),FALSE),
IF(P2302="En programación",M2302,""))</f>
        <v>45407</v>
      </c>
      <c r="S2302" s="25" t="str">
        <f t="shared" si="114"/>
        <v>2024/4</v>
      </c>
      <c r="T2302" s="21">
        <f>IFERROR(
(VLOOKUP(MONTH(R2302),Meses!$B$3:$C$14,2,FALSE)-DAY(R2302))/VLOOKUP(MONTH(R2302),Meses!$B$3:$C$14,2,FALSE)*U2302,
"")</f>
        <v>977</v>
      </c>
      <c r="U2302" s="22">
        <f t="shared" si="115"/>
        <v>5862</v>
      </c>
    </row>
    <row r="2303" spans="1:21" ht="18" hidden="1" thickBot="1" x14ac:dyDescent="0.6">
      <c r="A2303" t="s">
        <v>3206</v>
      </c>
      <c r="B2303" t="s">
        <v>3208</v>
      </c>
      <c r="D2303" t="s">
        <v>44</v>
      </c>
      <c r="E2303" t="s">
        <v>44</v>
      </c>
      <c r="F2303" s="21">
        <v>4125</v>
      </c>
      <c r="G2303" t="s">
        <v>15</v>
      </c>
      <c r="I2303" t="s">
        <v>43</v>
      </c>
      <c r="J2303" s="10" t="s">
        <v>292</v>
      </c>
      <c r="K2303" t="s">
        <v>3325</v>
      </c>
      <c r="L2303" t="s">
        <v>2292</v>
      </c>
      <c r="M2303">
        <v>45407</v>
      </c>
      <c r="O2303" s="10"/>
      <c r="P2303" s="25" t="str">
        <f>IFERROR(
IF(OR(O2303="anulado",O2303="stand by"),CONCATENATE(O2303,": ",H2303),
IF(OR(YEAR(M2303)=2022,YEAR(M2303)=2023),CONCATENATE("Se activó en ",YEAR(M2303)),
IF(AND(OR(O2303="En proceso",O2303="facturando"),AND(J2303="-",M2303="")),"Por revisar",
IF(M2303="",IF(J2303="NUEVAS",CONCATENATE("Estado: ",O2303,", ",J2303),
IF(L2303=Meses!$A$3,"Por revisar",
IF(H2303="","Sin registro","En programación Frcst."))),"En programación")))),
"Error")</f>
        <v>En programación</v>
      </c>
      <c r="Q2303" s="9" t="str">
        <f t="shared" si="113"/>
        <v/>
      </c>
      <c r="R2303" s="25">
        <f>IF(P2303="En programación Frcst.",VLOOKUP(L2303,Meses!$A$1:$H$14,3+HLOOKUP(Cronograma!J2303,Meses!$D$1:$G$2,2,FALSE),FALSE),
IF(P2303="En programación",M2303,""))</f>
        <v>45407</v>
      </c>
      <c r="S2303" s="25" t="str">
        <f t="shared" si="114"/>
        <v>2024/4</v>
      </c>
      <c r="T2303" s="21">
        <f>IFERROR(
(VLOOKUP(MONTH(R2303),Meses!$B$3:$C$14,2,FALSE)-DAY(R2303))/VLOOKUP(MONTH(R2303),Meses!$B$3:$C$14,2,FALSE)*U2303,
"")</f>
        <v>687.5</v>
      </c>
      <c r="U2303" s="22">
        <f t="shared" si="115"/>
        <v>4125</v>
      </c>
    </row>
    <row r="2304" spans="1:21" ht="18" hidden="1" thickBot="1" x14ac:dyDescent="0.6">
      <c r="A2304" t="s">
        <v>3206</v>
      </c>
      <c r="B2304" t="s">
        <v>3209</v>
      </c>
      <c r="D2304" t="s">
        <v>44</v>
      </c>
      <c r="E2304" t="s">
        <v>44</v>
      </c>
      <c r="F2304" s="21">
        <v>3165</v>
      </c>
      <c r="G2304" t="s">
        <v>15</v>
      </c>
      <c r="I2304" t="s">
        <v>43</v>
      </c>
      <c r="J2304" s="10" t="s">
        <v>292</v>
      </c>
      <c r="K2304" t="s">
        <v>3325</v>
      </c>
      <c r="L2304" t="s">
        <v>2292</v>
      </c>
      <c r="M2304">
        <v>45407</v>
      </c>
      <c r="O2304" s="10"/>
      <c r="P2304" s="25" t="str">
        <f>IFERROR(
IF(OR(O2304="anulado",O2304="stand by"),CONCATENATE(O2304,": ",H2304),
IF(OR(YEAR(M2304)=2022,YEAR(M2304)=2023),CONCATENATE("Se activó en ",YEAR(M2304)),
IF(AND(OR(O2304="En proceso",O2304="facturando"),AND(J2304="-",M2304="")),"Por revisar",
IF(M2304="",IF(J2304="NUEVAS",CONCATENATE("Estado: ",O2304,", ",J2304),
IF(L2304=Meses!$A$3,"Por revisar",
IF(H2304="","Sin registro","En programación Frcst."))),"En programación")))),
"Error")</f>
        <v>En programación</v>
      </c>
      <c r="Q2304" s="9" t="str">
        <f t="shared" si="113"/>
        <v/>
      </c>
      <c r="R2304" s="25">
        <f>IF(P2304="En programación Frcst.",VLOOKUP(L2304,Meses!$A$1:$H$14,3+HLOOKUP(Cronograma!J2304,Meses!$D$1:$G$2,2,FALSE),FALSE),
IF(P2304="En programación",M2304,""))</f>
        <v>45407</v>
      </c>
      <c r="S2304" s="25" t="str">
        <f t="shared" si="114"/>
        <v>2024/4</v>
      </c>
      <c r="T2304" s="21">
        <f>IFERROR(
(VLOOKUP(MONTH(R2304),Meses!$B$3:$C$14,2,FALSE)-DAY(R2304))/VLOOKUP(MONTH(R2304),Meses!$B$3:$C$14,2,FALSE)*U2304,
"")</f>
        <v>527.5</v>
      </c>
      <c r="U2304" s="22">
        <f t="shared" si="115"/>
        <v>3165</v>
      </c>
    </row>
    <row r="2305" spans="1:21" ht="18" hidden="1" thickBot="1" x14ac:dyDescent="0.6">
      <c r="A2305" t="s">
        <v>3206</v>
      </c>
      <c r="B2305" t="s">
        <v>3210</v>
      </c>
      <c r="D2305" t="s">
        <v>74</v>
      </c>
      <c r="E2305" t="s">
        <v>74</v>
      </c>
      <c r="F2305" s="21">
        <v>3452</v>
      </c>
      <c r="G2305" t="s">
        <v>15</v>
      </c>
      <c r="I2305" t="s">
        <v>43</v>
      </c>
      <c r="J2305" s="10" t="s">
        <v>292</v>
      </c>
      <c r="K2305" t="s">
        <v>3325</v>
      </c>
      <c r="L2305" t="s">
        <v>2292</v>
      </c>
      <c r="M2305">
        <v>45407</v>
      </c>
      <c r="O2305" s="10"/>
      <c r="P2305" s="25" t="str">
        <f>IFERROR(
IF(OR(O2305="anulado",O2305="stand by"),CONCATENATE(O2305,": ",H2305),
IF(OR(YEAR(M2305)=2022,YEAR(M2305)=2023),CONCATENATE("Se activó en ",YEAR(M2305)),
IF(AND(OR(O2305="En proceso",O2305="facturando"),AND(J2305="-",M2305="")),"Por revisar",
IF(M2305="",IF(J2305="NUEVAS",CONCATENATE("Estado: ",O2305,", ",J2305),
IF(L2305=Meses!$A$3,"Por revisar",
IF(H2305="","Sin registro","En programación Frcst."))),"En programación")))),
"Error")</f>
        <v>En programación</v>
      </c>
      <c r="Q2305" s="9" t="str">
        <f t="shared" si="113"/>
        <v/>
      </c>
      <c r="R2305" s="25">
        <f>IF(P2305="En programación Frcst.",VLOOKUP(L2305,Meses!$A$1:$H$14,3+HLOOKUP(Cronograma!J2305,Meses!$D$1:$G$2,2,FALSE),FALSE),
IF(P2305="En programación",M2305,""))</f>
        <v>45407</v>
      </c>
      <c r="S2305" s="25" t="str">
        <f t="shared" si="114"/>
        <v>2024/4</v>
      </c>
      <c r="T2305" s="21">
        <f>IFERROR(
(VLOOKUP(MONTH(R2305),Meses!$B$3:$C$14,2,FALSE)-DAY(R2305))/VLOOKUP(MONTH(R2305),Meses!$B$3:$C$14,2,FALSE)*U2305,
"")</f>
        <v>575.33333333333326</v>
      </c>
      <c r="U2305" s="22">
        <f t="shared" si="115"/>
        <v>3452</v>
      </c>
    </row>
    <row r="2306" spans="1:21" ht="18" hidden="1" thickBot="1" x14ac:dyDescent="0.6">
      <c r="A2306" t="s">
        <v>3206</v>
      </c>
      <c r="B2306" t="s">
        <v>3211</v>
      </c>
      <c r="D2306" t="s">
        <v>44</v>
      </c>
      <c r="E2306" t="s">
        <v>44</v>
      </c>
      <c r="F2306" s="21">
        <v>3201</v>
      </c>
      <c r="G2306" t="s">
        <v>15</v>
      </c>
      <c r="I2306" t="s">
        <v>43</v>
      </c>
      <c r="J2306" s="10" t="s">
        <v>292</v>
      </c>
      <c r="K2306" t="s">
        <v>3325</v>
      </c>
      <c r="L2306" t="s">
        <v>2292</v>
      </c>
      <c r="M2306">
        <v>45407</v>
      </c>
      <c r="O2306" s="10"/>
      <c r="P2306" s="25" t="str">
        <f>IFERROR(
IF(OR(O2306="anulado",O2306="stand by"),CONCATENATE(O2306,": ",H2306),
IF(OR(YEAR(M2306)=2022,YEAR(M2306)=2023),CONCATENATE("Se activó en ",YEAR(M2306)),
IF(AND(OR(O2306="En proceso",O2306="facturando"),AND(J2306="-",M2306="")),"Por revisar",
IF(M2306="",IF(J2306="NUEVAS",CONCATENATE("Estado: ",O2306,", ",J2306),
IF(L2306=Meses!$A$3,"Por revisar",
IF(H2306="","Sin registro","En programación Frcst."))),"En programación")))),
"Error")</f>
        <v>En programación</v>
      </c>
      <c r="Q2306" s="9" t="str">
        <f t="shared" si="113"/>
        <v/>
      </c>
      <c r="R2306" s="25">
        <f>IF(P2306="En programación Frcst.",VLOOKUP(L2306,Meses!$A$1:$H$14,3+HLOOKUP(Cronograma!J2306,Meses!$D$1:$G$2,2,FALSE),FALSE),
IF(P2306="En programación",M2306,""))</f>
        <v>45407</v>
      </c>
      <c r="S2306" s="25" t="str">
        <f t="shared" si="114"/>
        <v>2024/4</v>
      </c>
      <c r="T2306" s="21">
        <f>IFERROR(
(VLOOKUP(MONTH(R2306),Meses!$B$3:$C$14,2,FALSE)-DAY(R2306))/VLOOKUP(MONTH(R2306),Meses!$B$3:$C$14,2,FALSE)*U2306,
"")</f>
        <v>533.5</v>
      </c>
      <c r="U2306" s="22">
        <f t="shared" si="115"/>
        <v>3201</v>
      </c>
    </row>
    <row r="2307" spans="1:21" ht="18" hidden="1" thickBot="1" x14ac:dyDescent="0.6">
      <c r="A2307" t="s">
        <v>3206</v>
      </c>
      <c r="B2307" t="s">
        <v>3212</v>
      </c>
      <c r="D2307" t="s">
        <v>44</v>
      </c>
      <c r="E2307" t="s">
        <v>44</v>
      </c>
      <c r="F2307" s="21">
        <v>3882</v>
      </c>
      <c r="G2307" t="s">
        <v>15</v>
      </c>
      <c r="I2307" t="s">
        <v>43</v>
      </c>
      <c r="J2307" s="10" t="s">
        <v>292</v>
      </c>
      <c r="K2307" t="s">
        <v>3325</v>
      </c>
      <c r="L2307" t="s">
        <v>2292</v>
      </c>
      <c r="M2307">
        <v>45407</v>
      </c>
      <c r="O2307" s="10"/>
      <c r="P2307" s="25" t="str">
        <f>IFERROR(
IF(OR(O2307="anulado",O2307="stand by"),CONCATENATE(O2307,": ",H2307),
IF(OR(YEAR(M2307)=2022,YEAR(M2307)=2023),CONCATENATE("Se activó en ",YEAR(M2307)),
IF(AND(OR(O2307="En proceso",O2307="facturando"),AND(J2307="-",M2307="")),"Por revisar",
IF(M2307="",IF(J2307="NUEVAS",CONCATENATE("Estado: ",O2307,", ",J2307),
IF(L2307=Meses!$A$3,"Por revisar",
IF(H2307="","Sin registro","En programación Frcst."))),"En programación")))),
"Error")</f>
        <v>En programación</v>
      </c>
      <c r="Q2307" s="9" t="str">
        <f t="shared" si="113"/>
        <v/>
      </c>
      <c r="R2307" s="25">
        <f>IF(P2307="En programación Frcst.",VLOOKUP(L2307,Meses!$A$1:$H$14,3+HLOOKUP(Cronograma!J2307,Meses!$D$1:$G$2,2,FALSE),FALSE),
IF(P2307="En programación",M2307,""))</f>
        <v>45407</v>
      </c>
      <c r="S2307" s="25" t="str">
        <f t="shared" si="114"/>
        <v>2024/4</v>
      </c>
      <c r="T2307" s="21">
        <f>IFERROR(
(VLOOKUP(MONTH(R2307),Meses!$B$3:$C$14,2,FALSE)-DAY(R2307))/VLOOKUP(MONTH(R2307),Meses!$B$3:$C$14,2,FALSE)*U2307,
"")</f>
        <v>647</v>
      </c>
      <c r="U2307" s="22">
        <f t="shared" si="115"/>
        <v>3882</v>
      </c>
    </row>
    <row r="2308" spans="1:21" ht="18" hidden="1" thickBot="1" x14ac:dyDescent="0.6">
      <c r="A2308" t="s">
        <v>3206</v>
      </c>
      <c r="B2308" t="s">
        <v>3213</v>
      </c>
      <c r="D2308" t="s">
        <v>44</v>
      </c>
      <c r="E2308" t="s">
        <v>44</v>
      </c>
      <c r="F2308" s="21">
        <v>3930</v>
      </c>
      <c r="G2308" t="s">
        <v>15</v>
      </c>
      <c r="I2308" t="s">
        <v>43</v>
      </c>
      <c r="J2308" s="10" t="s">
        <v>292</v>
      </c>
      <c r="K2308" t="s">
        <v>3325</v>
      </c>
      <c r="L2308" t="s">
        <v>2292</v>
      </c>
      <c r="M2308">
        <v>45407</v>
      </c>
      <c r="O2308" s="10"/>
      <c r="P2308" s="25" t="str">
        <f>IFERROR(
IF(OR(O2308="anulado",O2308="stand by"),CONCATENATE(O2308,": ",H2308),
IF(OR(YEAR(M2308)=2022,YEAR(M2308)=2023),CONCATENATE("Se activó en ",YEAR(M2308)),
IF(AND(OR(O2308="En proceso",O2308="facturando"),AND(J2308="-",M2308="")),"Por revisar",
IF(M2308="",IF(J2308="NUEVAS",CONCATENATE("Estado: ",O2308,", ",J2308),
IF(L2308=Meses!$A$3,"Por revisar",
IF(H2308="","Sin registro","En programación Frcst."))),"En programación")))),
"Error")</f>
        <v>En programación</v>
      </c>
      <c r="Q2308" s="9" t="str">
        <f t="shared" si="113"/>
        <v/>
      </c>
      <c r="R2308" s="25">
        <f>IF(P2308="En programación Frcst.",VLOOKUP(L2308,Meses!$A$1:$H$14,3+HLOOKUP(Cronograma!J2308,Meses!$D$1:$G$2,2,FALSE),FALSE),
IF(P2308="En programación",M2308,""))</f>
        <v>45407</v>
      </c>
      <c r="S2308" s="25" t="str">
        <f t="shared" si="114"/>
        <v>2024/4</v>
      </c>
      <c r="T2308" s="21">
        <f>IFERROR(
(VLOOKUP(MONTH(R2308),Meses!$B$3:$C$14,2,FALSE)-DAY(R2308))/VLOOKUP(MONTH(R2308),Meses!$B$3:$C$14,2,FALSE)*U2308,
"")</f>
        <v>655</v>
      </c>
      <c r="U2308" s="22">
        <f t="shared" si="115"/>
        <v>3930</v>
      </c>
    </row>
    <row r="2309" spans="1:21" ht="18" hidden="1" thickBot="1" x14ac:dyDescent="0.6">
      <c r="A2309" t="s">
        <v>3206</v>
      </c>
      <c r="B2309" t="s">
        <v>3214</v>
      </c>
      <c r="D2309" t="s">
        <v>44</v>
      </c>
      <c r="E2309" t="s">
        <v>44</v>
      </c>
      <c r="F2309" s="21">
        <v>3430</v>
      </c>
      <c r="G2309" t="s">
        <v>15</v>
      </c>
      <c r="I2309" t="s">
        <v>43</v>
      </c>
      <c r="J2309" s="10" t="s">
        <v>292</v>
      </c>
      <c r="K2309" t="s">
        <v>3325</v>
      </c>
      <c r="L2309" t="s">
        <v>2292</v>
      </c>
      <c r="M2309">
        <v>45407</v>
      </c>
      <c r="O2309" s="10"/>
      <c r="P2309" s="25" t="str">
        <f>IFERROR(
IF(OR(O2309="anulado",O2309="stand by"),CONCATENATE(O2309,": ",H2309),
IF(OR(YEAR(M2309)=2022,YEAR(M2309)=2023),CONCATENATE("Se activó en ",YEAR(M2309)),
IF(AND(OR(O2309="En proceso",O2309="facturando"),AND(J2309="-",M2309="")),"Por revisar",
IF(M2309="",IF(J2309="NUEVAS",CONCATENATE("Estado: ",O2309,", ",J2309),
IF(L2309=Meses!$A$3,"Por revisar",
IF(H2309="","Sin registro","En programación Frcst."))),"En programación")))),
"Error")</f>
        <v>En programación</v>
      </c>
      <c r="Q2309" s="9" t="str">
        <f t="shared" si="113"/>
        <v/>
      </c>
      <c r="R2309" s="25">
        <f>IF(P2309="En programación Frcst.",VLOOKUP(L2309,Meses!$A$1:$H$14,3+HLOOKUP(Cronograma!J2309,Meses!$D$1:$G$2,2,FALSE),FALSE),
IF(P2309="En programación",M2309,""))</f>
        <v>45407</v>
      </c>
      <c r="S2309" s="25" t="str">
        <f t="shared" si="114"/>
        <v>2024/4</v>
      </c>
      <c r="T2309" s="21">
        <f>IFERROR(
(VLOOKUP(MONTH(R2309),Meses!$B$3:$C$14,2,FALSE)-DAY(R2309))/VLOOKUP(MONTH(R2309),Meses!$B$3:$C$14,2,FALSE)*U2309,
"")</f>
        <v>571.66666666666663</v>
      </c>
      <c r="U2309" s="22">
        <f t="shared" si="115"/>
        <v>3430</v>
      </c>
    </row>
    <row r="2310" spans="1:21" ht="18" hidden="1" thickBot="1" x14ac:dyDescent="0.6">
      <c r="A2310" t="s">
        <v>3206</v>
      </c>
      <c r="B2310" t="s">
        <v>3215</v>
      </c>
      <c r="D2310" t="s">
        <v>44</v>
      </c>
      <c r="E2310" t="s">
        <v>44</v>
      </c>
      <c r="F2310" s="21">
        <v>3623</v>
      </c>
      <c r="G2310" t="s">
        <v>15</v>
      </c>
      <c r="I2310" t="s">
        <v>43</v>
      </c>
      <c r="J2310" s="10" t="s">
        <v>292</v>
      </c>
      <c r="K2310" t="s">
        <v>3325</v>
      </c>
      <c r="L2310" t="s">
        <v>2292</v>
      </c>
      <c r="M2310">
        <v>45407</v>
      </c>
      <c r="O2310" s="10"/>
      <c r="P2310" s="25" t="str">
        <f>IFERROR(
IF(OR(O2310="anulado",O2310="stand by"),CONCATENATE(O2310,": ",H2310),
IF(OR(YEAR(M2310)=2022,YEAR(M2310)=2023),CONCATENATE("Se activó en ",YEAR(M2310)),
IF(AND(OR(O2310="En proceso",O2310="facturando"),AND(J2310="-",M2310="")),"Por revisar",
IF(M2310="",IF(J2310="NUEVAS",CONCATENATE("Estado: ",O2310,", ",J2310),
IF(L2310=Meses!$A$3,"Por revisar",
IF(H2310="","Sin registro","En programación Frcst."))),"En programación")))),
"Error")</f>
        <v>En programación</v>
      </c>
      <c r="Q2310" s="9" t="str">
        <f t="shared" si="113"/>
        <v/>
      </c>
      <c r="R2310" s="25">
        <f>IF(P2310="En programación Frcst.",VLOOKUP(L2310,Meses!$A$1:$H$14,3+HLOOKUP(Cronograma!J2310,Meses!$D$1:$G$2,2,FALSE),FALSE),
IF(P2310="En programación",M2310,""))</f>
        <v>45407</v>
      </c>
      <c r="S2310" s="25" t="str">
        <f t="shared" si="114"/>
        <v>2024/4</v>
      </c>
      <c r="T2310" s="21">
        <f>IFERROR(
(VLOOKUP(MONTH(R2310),Meses!$B$3:$C$14,2,FALSE)-DAY(R2310))/VLOOKUP(MONTH(R2310),Meses!$B$3:$C$14,2,FALSE)*U2310,
"")</f>
        <v>603.83333333333326</v>
      </c>
      <c r="U2310" s="22">
        <f t="shared" si="115"/>
        <v>3623</v>
      </c>
    </row>
    <row r="2311" spans="1:21" ht="18" hidden="1" thickBot="1" x14ac:dyDescent="0.6">
      <c r="A2311" t="s">
        <v>3206</v>
      </c>
      <c r="B2311" t="s">
        <v>3216</v>
      </c>
      <c r="D2311" t="s">
        <v>74</v>
      </c>
      <c r="E2311" t="s">
        <v>74</v>
      </c>
      <c r="F2311" s="21">
        <v>3684</v>
      </c>
      <c r="G2311" t="s">
        <v>15</v>
      </c>
      <c r="I2311" t="s">
        <v>43</v>
      </c>
      <c r="J2311" s="10" t="s">
        <v>292</v>
      </c>
      <c r="K2311" t="s">
        <v>3325</v>
      </c>
      <c r="L2311" t="s">
        <v>2292</v>
      </c>
      <c r="M2311">
        <v>45407</v>
      </c>
      <c r="O2311" s="10"/>
      <c r="P2311" s="25" t="str">
        <f>IFERROR(
IF(OR(O2311="anulado",O2311="stand by"),CONCATENATE(O2311,": ",H2311),
IF(OR(YEAR(M2311)=2022,YEAR(M2311)=2023),CONCATENATE("Se activó en ",YEAR(M2311)),
IF(AND(OR(O2311="En proceso",O2311="facturando"),AND(J2311="-",M2311="")),"Por revisar",
IF(M2311="",IF(J2311="NUEVAS",CONCATENATE("Estado: ",O2311,", ",J2311),
IF(L2311=Meses!$A$3,"Por revisar",
IF(H2311="","Sin registro","En programación Frcst."))),"En programación")))),
"Error")</f>
        <v>En programación</v>
      </c>
      <c r="Q2311" s="9" t="str">
        <f t="shared" si="113"/>
        <v/>
      </c>
      <c r="R2311" s="25">
        <f>IF(P2311="En programación Frcst.",VLOOKUP(L2311,Meses!$A$1:$H$14,3+HLOOKUP(Cronograma!J2311,Meses!$D$1:$G$2,2,FALSE),FALSE),
IF(P2311="En programación",M2311,""))</f>
        <v>45407</v>
      </c>
      <c r="S2311" s="25" t="str">
        <f t="shared" si="114"/>
        <v>2024/4</v>
      </c>
      <c r="T2311" s="21">
        <f>IFERROR(
(VLOOKUP(MONTH(R2311),Meses!$B$3:$C$14,2,FALSE)-DAY(R2311))/VLOOKUP(MONTH(R2311),Meses!$B$3:$C$14,2,FALSE)*U2311,
"")</f>
        <v>614</v>
      </c>
      <c r="U2311" s="22">
        <f t="shared" si="115"/>
        <v>3684</v>
      </c>
    </row>
    <row r="2312" spans="1:21" ht="18" hidden="1" thickBot="1" x14ac:dyDescent="0.6">
      <c r="A2312" t="s">
        <v>3206</v>
      </c>
      <c r="B2312" t="s">
        <v>3217</v>
      </c>
      <c r="D2312" t="s">
        <v>44</v>
      </c>
      <c r="E2312" t="s">
        <v>44</v>
      </c>
      <c r="F2312" s="21">
        <v>3519</v>
      </c>
      <c r="G2312" t="s">
        <v>15</v>
      </c>
      <c r="I2312" t="s">
        <v>43</v>
      </c>
      <c r="J2312" s="10" t="s">
        <v>292</v>
      </c>
      <c r="K2312" t="s">
        <v>3325</v>
      </c>
      <c r="L2312" t="s">
        <v>2292</v>
      </c>
      <c r="M2312">
        <v>45407</v>
      </c>
      <c r="O2312" s="10"/>
      <c r="P2312" s="25" t="str">
        <f>IFERROR(
IF(OR(O2312="anulado",O2312="stand by"),CONCATENATE(O2312,": ",H2312),
IF(OR(YEAR(M2312)=2022,YEAR(M2312)=2023),CONCATENATE("Se activó en ",YEAR(M2312)),
IF(AND(OR(O2312="En proceso",O2312="facturando"),AND(J2312="-",M2312="")),"Por revisar",
IF(M2312="",IF(J2312="NUEVAS",CONCATENATE("Estado: ",O2312,", ",J2312),
IF(L2312=Meses!$A$3,"Por revisar",
IF(H2312="","Sin registro","En programación Frcst."))),"En programación")))),
"Error")</f>
        <v>En programación</v>
      </c>
      <c r="Q2312" s="9" t="str">
        <f t="shared" si="113"/>
        <v/>
      </c>
      <c r="R2312" s="25">
        <f>IF(P2312="En programación Frcst.",VLOOKUP(L2312,Meses!$A$1:$H$14,3+HLOOKUP(Cronograma!J2312,Meses!$D$1:$G$2,2,FALSE),FALSE),
IF(P2312="En programación",M2312,""))</f>
        <v>45407</v>
      </c>
      <c r="S2312" s="25" t="str">
        <f t="shared" si="114"/>
        <v>2024/4</v>
      </c>
      <c r="T2312" s="21">
        <f>IFERROR(
(VLOOKUP(MONTH(R2312),Meses!$B$3:$C$14,2,FALSE)-DAY(R2312))/VLOOKUP(MONTH(R2312),Meses!$B$3:$C$14,2,FALSE)*U2312,
"")</f>
        <v>586.5</v>
      </c>
      <c r="U2312" s="22">
        <f t="shared" si="115"/>
        <v>3519</v>
      </c>
    </row>
    <row r="2313" spans="1:21" ht="18" hidden="1" thickBot="1" x14ac:dyDescent="0.6">
      <c r="A2313" t="s">
        <v>3206</v>
      </c>
      <c r="B2313" t="s">
        <v>3218</v>
      </c>
      <c r="D2313" t="s">
        <v>44</v>
      </c>
      <c r="E2313" t="s">
        <v>44</v>
      </c>
      <c r="F2313" s="21">
        <v>3393</v>
      </c>
      <c r="G2313" t="s">
        <v>15</v>
      </c>
      <c r="I2313" t="s">
        <v>43</v>
      </c>
      <c r="J2313" s="10" t="s">
        <v>292</v>
      </c>
      <c r="K2313" t="s">
        <v>3325</v>
      </c>
      <c r="L2313" t="s">
        <v>2292</v>
      </c>
      <c r="M2313">
        <v>45407</v>
      </c>
      <c r="O2313" s="10"/>
      <c r="P2313" s="25" t="str">
        <f>IFERROR(
IF(OR(O2313="anulado",O2313="stand by"),CONCATENATE(O2313,": ",H2313),
IF(OR(YEAR(M2313)=2022,YEAR(M2313)=2023),CONCATENATE("Se activó en ",YEAR(M2313)),
IF(AND(OR(O2313="En proceso",O2313="facturando"),AND(J2313="-",M2313="")),"Por revisar",
IF(M2313="",IF(J2313="NUEVAS",CONCATENATE("Estado: ",O2313,", ",J2313),
IF(L2313=Meses!$A$3,"Por revisar",
IF(H2313="","Sin registro","En programación Frcst."))),"En programación")))),
"Error")</f>
        <v>En programación</v>
      </c>
      <c r="Q2313" s="9" t="str">
        <f t="shared" si="113"/>
        <v/>
      </c>
      <c r="R2313" s="25">
        <f>IF(P2313="En programación Frcst.",VLOOKUP(L2313,Meses!$A$1:$H$14,3+HLOOKUP(Cronograma!J2313,Meses!$D$1:$G$2,2,FALSE),FALSE),
IF(P2313="En programación",M2313,""))</f>
        <v>45407</v>
      </c>
      <c r="S2313" s="25" t="str">
        <f t="shared" si="114"/>
        <v>2024/4</v>
      </c>
      <c r="T2313" s="21">
        <f>IFERROR(
(VLOOKUP(MONTH(R2313),Meses!$B$3:$C$14,2,FALSE)-DAY(R2313))/VLOOKUP(MONTH(R2313),Meses!$B$3:$C$14,2,FALSE)*U2313,
"")</f>
        <v>565.5</v>
      </c>
      <c r="U2313" s="22">
        <f t="shared" si="115"/>
        <v>3393</v>
      </c>
    </row>
    <row r="2314" spans="1:21" ht="18" hidden="1" thickBot="1" x14ac:dyDescent="0.6">
      <c r="A2314" t="s">
        <v>3206</v>
      </c>
      <c r="B2314" t="s">
        <v>3219</v>
      </c>
      <c r="D2314" t="s">
        <v>44</v>
      </c>
      <c r="E2314" t="s">
        <v>44</v>
      </c>
      <c r="F2314" s="21">
        <v>3645</v>
      </c>
      <c r="G2314" t="s">
        <v>15</v>
      </c>
      <c r="I2314" t="s">
        <v>43</v>
      </c>
      <c r="J2314" s="10" t="s">
        <v>292</v>
      </c>
      <c r="K2314" t="s">
        <v>3325</v>
      </c>
      <c r="L2314" t="s">
        <v>2292</v>
      </c>
      <c r="M2314">
        <v>45407</v>
      </c>
      <c r="O2314" s="10"/>
      <c r="P2314" s="25" t="str">
        <f>IFERROR(
IF(OR(O2314="anulado",O2314="stand by"),CONCATENATE(O2314,": ",H2314),
IF(OR(YEAR(M2314)=2022,YEAR(M2314)=2023),CONCATENATE("Se activó en ",YEAR(M2314)),
IF(AND(OR(O2314="En proceso",O2314="facturando"),AND(J2314="-",M2314="")),"Por revisar",
IF(M2314="",IF(J2314="NUEVAS",CONCATENATE("Estado: ",O2314,", ",J2314),
IF(L2314=Meses!$A$3,"Por revisar",
IF(H2314="","Sin registro","En programación Frcst."))),"En programación")))),
"Error")</f>
        <v>En programación</v>
      </c>
      <c r="Q2314" s="9" t="str">
        <f t="shared" si="113"/>
        <v/>
      </c>
      <c r="R2314" s="25">
        <f>IF(P2314="En programación Frcst.",VLOOKUP(L2314,Meses!$A$1:$H$14,3+HLOOKUP(Cronograma!J2314,Meses!$D$1:$G$2,2,FALSE),FALSE),
IF(P2314="En programación",M2314,""))</f>
        <v>45407</v>
      </c>
      <c r="S2314" s="25" t="str">
        <f t="shared" si="114"/>
        <v>2024/4</v>
      </c>
      <c r="T2314" s="21">
        <f>IFERROR(
(VLOOKUP(MONTH(R2314),Meses!$B$3:$C$14,2,FALSE)-DAY(R2314))/VLOOKUP(MONTH(R2314),Meses!$B$3:$C$14,2,FALSE)*U2314,
"")</f>
        <v>607.5</v>
      </c>
      <c r="U2314" s="22">
        <f t="shared" si="115"/>
        <v>3645</v>
      </c>
    </row>
    <row r="2315" spans="1:21" ht="18" hidden="1" thickBot="1" x14ac:dyDescent="0.6">
      <c r="A2315" t="s">
        <v>3206</v>
      </c>
      <c r="B2315" t="s">
        <v>3220</v>
      </c>
      <c r="D2315" t="s">
        <v>74</v>
      </c>
      <c r="E2315" t="s">
        <v>74</v>
      </c>
      <c r="F2315" s="21">
        <v>3341</v>
      </c>
      <c r="G2315" t="s">
        <v>15</v>
      </c>
      <c r="I2315" t="s">
        <v>43</v>
      </c>
      <c r="J2315" s="10" t="s">
        <v>292</v>
      </c>
      <c r="K2315" t="s">
        <v>3325</v>
      </c>
      <c r="L2315" t="s">
        <v>2292</v>
      </c>
      <c r="M2315">
        <v>45407</v>
      </c>
      <c r="O2315" s="10"/>
      <c r="P2315" s="25" t="str">
        <f>IFERROR(
IF(OR(O2315="anulado",O2315="stand by"),CONCATENATE(O2315,": ",H2315),
IF(OR(YEAR(M2315)=2022,YEAR(M2315)=2023),CONCATENATE("Se activó en ",YEAR(M2315)),
IF(AND(OR(O2315="En proceso",O2315="facturando"),AND(J2315="-",M2315="")),"Por revisar",
IF(M2315="",IF(J2315="NUEVAS",CONCATENATE("Estado: ",O2315,", ",J2315),
IF(L2315=Meses!$A$3,"Por revisar",
IF(H2315="","Sin registro","En programación Frcst."))),"En programación")))),
"Error")</f>
        <v>En programación</v>
      </c>
      <c r="Q2315" s="9" t="str">
        <f t="shared" si="113"/>
        <v/>
      </c>
      <c r="R2315" s="25">
        <f>IF(P2315="En programación Frcst.",VLOOKUP(L2315,Meses!$A$1:$H$14,3+HLOOKUP(Cronograma!J2315,Meses!$D$1:$G$2,2,FALSE),FALSE),
IF(P2315="En programación",M2315,""))</f>
        <v>45407</v>
      </c>
      <c r="S2315" s="25" t="str">
        <f t="shared" si="114"/>
        <v>2024/4</v>
      </c>
      <c r="T2315" s="21">
        <f>IFERROR(
(VLOOKUP(MONTH(R2315),Meses!$B$3:$C$14,2,FALSE)-DAY(R2315))/VLOOKUP(MONTH(R2315),Meses!$B$3:$C$14,2,FALSE)*U2315,
"")</f>
        <v>556.83333333333326</v>
      </c>
      <c r="U2315" s="22">
        <f t="shared" si="115"/>
        <v>3341</v>
      </c>
    </row>
    <row r="2316" spans="1:21" ht="18" hidden="1" thickBot="1" x14ac:dyDescent="0.6">
      <c r="A2316" t="s">
        <v>3206</v>
      </c>
      <c r="B2316" t="s">
        <v>3221</v>
      </c>
      <c r="D2316" t="s">
        <v>44</v>
      </c>
      <c r="E2316" t="s">
        <v>44</v>
      </c>
      <c r="F2316" s="21">
        <v>3682</v>
      </c>
      <c r="G2316" t="s">
        <v>15</v>
      </c>
      <c r="I2316" t="s">
        <v>43</v>
      </c>
      <c r="J2316" s="10" t="s">
        <v>292</v>
      </c>
      <c r="K2316" t="s">
        <v>3325</v>
      </c>
      <c r="L2316" t="s">
        <v>2292</v>
      </c>
      <c r="M2316">
        <v>45407</v>
      </c>
      <c r="O2316" s="10"/>
      <c r="P2316" s="25" t="str">
        <f>IFERROR(
IF(OR(O2316="anulado",O2316="stand by"),CONCATENATE(O2316,": ",H2316),
IF(OR(YEAR(M2316)=2022,YEAR(M2316)=2023),CONCATENATE("Se activó en ",YEAR(M2316)),
IF(AND(OR(O2316="En proceso",O2316="facturando"),AND(J2316="-",M2316="")),"Por revisar",
IF(M2316="",IF(J2316="NUEVAS",CONCATENATE("Estado: ",O2316,", ",J2316),
IF(L2316=Meses!$A$3,"Por revisar",
IF(H2316="","Sin registro","En programación Frcst."))),"En programación")))),
"Error")</f>
        <v>En programación</v>
      </c>
      <c r="Q2316" s="59" t="str">
        <f t="shared" si="113"/>
        <v/>
      </c>
      <c r="R2316" s="25">
        <f>IF(P2316="En programación Frcst.",VLOOKUP(L2316,Meses!$A$1:$H$14,3+HLOOKUP(Cronograma!J2316,Meses!$D$1:$G$2,2,FALSE),FALSE),
IF(P2316="En programación",M2316,""))</f>
        <v>45407</v>
      </c>
      <c r="S2316" s="25" t="str">
        <f t="shared" si="114"/>
        <v>2024/4</v>
      </c>
      <c r="T2316" s="21">
        <f>IFERROR(
(VLOOKUP(MONTH(R2316),Meses!$B$3:$C$14,2,FALSE)-DAY(R2316))/VLOOKUP(MONTH(R2316),Meses!$B$3:$C$14,2,FALSE)*U2316,
"")</f>
        <v>613.66666666666663</v>
      </c>
      <c r="U2316" s="22">
        <f t="shared" si="115"/>
        <v>3682</v>
      </c>
    </row>
    <row r="2317" spans="1:21" ht="18" hidden="1" thickBot="1" x14ac:dyDescent="0.6">
      <c r="A2317" t="s">
        <v>3206</v>
      </c>
      <c r="B2317" t="s">
        <v>3222</v>
      </c>
      <c r="D2317" t="s">
        <v>74</v>
      </c>
      <c r="E2317" t="s">
        <v>74</v>
      </c>
      <c r="F2317" s="21">
        <v>3927</v>
      </c>
      <c r="G2317" t="s">
        <v>15</v>
      </c>
      <c r="I2317" t="s">
        <v>43</v>
      </c>
      <c r="J2317" s="10" t="s">
        <v>292</v>
      </c>
      <c r="K2317" t="s">
        <v>3325</v>
      </c>
      <c r="L2317" t="s">
        <v>2292</v>
      </c>
      <c r="M2317">
        <v>45407</v>
      </c>
      <c r="O2317" s="10"/>
      <c r="P2317" s="25" t="str">
        <f>IFERROR(
IF(OR(O2317="anulado",O2317="stand by"),CONCATENATE(O2317,": ",H2317),
IF(OR(YEAR(M2317)=2022,YEAR(M2317)=2023),CONCATENATE("Se activó en ",YEAR(M2317)),
IF(AND(OR(O2317="En proceso",O2317="facturando"),AND(J2317="-",M2317="")),"Por revisar",
IF(M2317="",IF(J2317="NUEVAS",CONCATENATE("Estado: ",O2317,", ",J2317),
IF(L2317=Meses!$A$3,"Por revisar",
IF(H2317="","Sin registro","En programación Frcst."))),"En programación")))),
"Error")</f>
        <v>En programación</v>
      </c>
      <c r="Q2317" s="9" t="str">
        <f t="shared" si="113"/>
        <v/>
      </c>
      <c r="R2317" s="25">
        <f>IF(P2317="En programación Frcst.",VLOOKUP(L2317,Meses!$A$1:$H$14,3+HLOOKUP(Cronograma!J2317,Meses!$D$1:$G$2,2,FALSE),FALSE),
IF(P2317="En programación",M2317,""))</f>
        <v>45407</v>
      </c>
      <c r="S2317" s="25" t="str">
        <f t="shared" si="114"/>
        <v>2024/4</v>
      </c>
      <c r="T2317" s="21">
        <f>IFERROR(
(VLOOKUP(MONTH(R2317),Meses!$B$3:$C$14,2,FALSE)-DAY(R2317))/VLOOKUP(MONTH(R2317),Meses!$B$3:$C$14,2,FALSE)*U2317,
"")</f>
        <v>654.5</v>
      </c>
      <c r="U2317" s="22">
        <f t="shared" si="115"/>
        <v>3927</v>
      </c>
    </row>
    <row r="2318" spans="1:21" ht="18" hidden="1" thickBot="1" x14ac:dyDescent="0.6">
      <c r="A2318" t="s">
        <v>3206</v>
      </c>
      <c r="B2318" t="s">
        <v>3223</v>
      </c>
      <c r="D2318" t="s">
        <v>74</v>
      </c>
      <c r="E2318" t="s">
        <v>74</v>
      </c>
      <c r="F2318" s="21">
        <v>3370</v>
      </c>
      <c r="G2318" t="s">
        <v>15</v>
      </c>
      <c r="I2318" t="s">
        <v>43</v>
      </c>
      <c r="J2318" s="10" t="s">
        <v>292</v>
      </c>
      <c r="K2318" t="s">
        <v>3325</v>
      </c>
      <c r="L2318" t="s">
        <v>2292</v>
      </c>
      <c r="M2318">
        <v>45407</v>
      </c>
      <c r="O2318" s="10"/>
      <c r="P2318" s="25" t="str">
        <f>IFERROR(
IF(OR(O2318="anulado",O2318="stand by"),CONCATENATE(O2318,": ",H2318),
IF(OR(YEAR(M2318)=2022,YEAR(M2318)=2023),CONCATENATE("Se activó en ",YEAR(M2318)),
IF(AND(OR(O2318="En proceso",O2318="facturando"),AND(J2318="-",M2318="")),"Por revisar",
IF(M2318="",IF(J2318="NUEVAS",CONCATENATE("Estado: ",O2318,", ",J2318),
IF(L2318=Meses!$A$3,"Por revisar",
IF(H2318="","Sin registro","En programación Frcst."))),"En programación")))),
"Error")</f>
        <v>En programación</v>
      </c>
      <c r="Q2318" s="9" t="str">
        <f t="shared" si="113"/>
        <v/>
      </c>
      <c r="R2318" s="25">
        <f>IF(P2318="En programación Frcst.",VLOOKUP(L2318,Meses!$A$1:$H$14,3+HLOOKUP(Cronograma!J2318,Meses!$D$1:$G$2,2,FALSE),FALSE),
IF(P2318="En programación",M2318,""))</f>
        <v>45407</v>
      </c>
      <c r="S2318" s="25" t="str">
        <f t="shared" si="114"/>
        <v>2024/4</v>
      </c>
      <c r="T2318" s="21">
        <f>IFERROR(
(VLOOKUP(MONTH(R2318),Meses!$B$3:$C$14,2,FALSE)-DAY(R2318))/VLOOKUP(MONTH(R2318),Meses!$B$3:$C$14,2,FALSE)*U2318,
"")</f>
        <v>561.66666666666663</v>
      </c>
      <c r="U2318" s="22">
        <f t="shared" si="115"/>
        <v>3370</v>
      </c>
    </row>
    <row r="2319" spans="1:21" ht="18" hidden="1" thickBot="1" x14ac:dyDescent="0.6">
      <c r="A2319" t="s">
        <v>3206</v>
      </c>
      <c r="B2319" t="s">
        <v>3224</v>
      </c>
      <c r="D2319" t="s">
        <v>44</v>
      </c>
      <c r="E2319" t="s">
        <v>44</v>
      </c>
      <c r="F2319" s="21">
        <v>3829</v>
      </c>
      <c r="G2319" t="s">
        <v>15</v>
      </c>
      <c r="I2319" t="s">
        <v>43</v>
      </c>
      <c r="J2319" s="10" t="s">
        <v>292</v>
      </c>
      <c r="K2319" t="s">
        <v>3325</v>
      </c>
      <c r="L2319" t="s">
        <v>2292</v>
      </c>
      <c r="M2319">
        <v>45407</v>
      </c>
      <c r="O2319" s="10"/>
      <c r="P2319" s="25" t="str">
        <f>IFERROR(
IF(OR(O2319="anulado",O2319="stand by"),CONCATENATE(O2319,": ",H2319),
IF(OR(YEAR(M2319)=2022,YEAR(M2319)=2023),CONCATENATE("Se activó en ",YEAR(M2319)),
IF(AND(OR(O2319="En proceso",O2319="facturando"),AND(J2319="-",M2319="")),"Por revisar",
IF(M2319="",IF(J2319="NUEVAS",CONCATENATE("Estado: ",O2319,", ",J2319),
IF(L2319=Meses!$A$3,"Por revisar",
IF(H2319="","Sin registro","En programación Frcst."))),"En programación")))),
"Error")</f>
        <v>En programación</v>
      </c>
      <c r="Q2319" s="9" t="str">
        <f t="shared" si="113"/>
        <v/>
      </c>
      <c r="R2319" s="25">
        <f>IF(P2319="En programación Frcst.",VLOOKUP(L2319,Meses!$A$1:$H$14,3+HLOOKUP(Cronograma!J2319,Meses!$D$1:$G$2,2,FALSE),FALSE),
IF(P2319="En programación",M2319,""))</f>
        <v>45407</v>
      </c>
      <c r="S2319" s="25" t="str">
        <f t="shared" si="114"/>
        <v>2024/4</v>
      </c>
      <c r="T2319" s="21">
        <f>IFERROR(
(VLOOKUP(MONTH(R2319),Meses!$B$3:$C$14,2,FALSE)-DAY(R2319))/VLOOKUP(MONTH(R2319),Meses!$B$3:$C$14,2,FALSE)*U2319,
"")</f>
        <v>638.16666666666663</v>
      </c>
      <c r="U2319" s="22">
        <f t="shared" si="115"/>
        <v>3829</v>
      </c>
    </row>
    <row r="2320" spans="1:21" ht="18" hidden="1" thickBot="1" x14ac:dyDescent="0.6">
      <c r="A2320" t="s">
        <v>3206</v>
      </c>
      <c r="B2320" t="s">
        <v>3225</v>
      </c>
      <c r="D2320" t="s">
        <v>44</v>
      </c>
      <c r="E2320" t="s">
        <v>44</v>
      </c>
      <c r="F2320" s="21">
        <v>3575</v>
      </c>
      <c r="G2320" t="s">
        <v>15</v>
      </c>
      <c r="I2320" t="s">
        <v>43</v>
      </c>
      <c r="J2320" s="10" t="s">
        <v>292</v>
      </c>
      <c r="K2320" t="s">
        <v>3325</v>
      </c>
      <c r="L2320" t="s">
        <v>2292</v>
      </c>
      <c r="M2320">
        <v>45407</v>
      </c>
      <c r="O2320" s="10"/>
      <c r="P2320" s="25" t="str">
        <f>IFERROR(
IF(OR(O2320="anulado",O2320="stand by"),CONCATENATE(O2320,": ",H2320),
IF(OR(YEAR(M2320)=2022,YEAR(M2320)=2023),CONCATENATE("Se activó en ",YEAR(M2320)),
IF(AND(OR(O2320="En proceso",O2320="facturando"),AND(J2320="-",M2320="")),"Por revisar",
IF(M2320="",IF(J2320="NUEVAS",CONCATENATE("Estado: ",O2320,", ",J2320),
IF(L2320=Meses!$A$3,"Por revisar",
IF(H2320="","Sin registro","En programación Frcst."))),"En programación")))),
"Error")</f>
        <v>En programación</v>
      </c>
      <c r="Q2320" s="9" t="str">
        <f t="shared" si="113"/>
        <v/>
      </c>
      <c r="R2320" s="25">
        <f>IF(P2320="En programación Frcst.",VLOOKUP(L2320,Meses!$A$1:$H$14,3+HLOOKUP(Cronograma!J2320,Meses!$D$1:$G$2,2,FALSE),FALSE),
IF(P2320="En programación",M2320,""))</f>
        <v>45407</v>
      </c>
      <c r="S2320" s="25" t="str">
        <f t="shared" si="114"/>
        <v>2024/4</v>
      </c>
      <c r="T2320" s="21">
        <f>IFERROR(
(VLOOKUP(MONTH(R2320),Meses!$B$3:$C$14,2,FALSE)-DAY(R2320))/VLOOKUP(MONTH(R2320),Meses!$B$3:$C$14,2,FALSE)*U2320,
"")</f>
        <v>595.83333333333326</v>
      </c>
      <c r="U2320" s="22">
        <f t="shared" si="115"/>
        <v>3575</v>
      </c>
    </row>
    <row r="2321" spans="1:21" ht="18" hidden="1" thickBot="1" x14ac:dyDescent="0.6">
      <c r="A2321" t="s">
        <v>3206</v>
      </c>
      <c r="B2321" t="s">
        <v>3226</v>
      </c>
      <c r="D2321" t="s">
        <v>74</v>
      </c>
      <c r="E2321" t="s">
        <v>74</v>
      </c>
      <c r="F2321" s="21">
        <v>4106</v>
      </c>
      <c r="G2321" t="s">
        <v>15</v>
      </c>
      <c r="I2321" t="s">
        <v>43</v>
      </c>
      <c r="J2321" s="10" t="s">
        <v>292</v>
      </c>
      <c r="K2321" t="s">
        <v>3325</v>
      </c>
      <c r="L2321" t="s">
        <v>2292</v>
      </c>
      <c r="M2321">
        <v>45407</v>
      </c>
      <c r="O2321" s="10"/>
      <c r="P2321" s="25" t="str">
        <f>IFERROR(
IF(OR(O2321="anulado",O2321="stand by"),CONCATENATE(O2321,": ",H2321),
IF(OR(YEAR(M2321)=2022,YEAR(M2321)=2023),CONCATENATE("Se activó en ",YEAR(M2321)),
IF(AND(OR(O2321="En proceso",O2321="facturando"),AND(J2321="-",M2321="")),"Por revisar",
IF(M2321="",IF(J2321="NUEVAS",CONCATENATE("Estado: ",O2321,", ",J2321),
IF(L2321=Meses!$A$3,"Por revisar",
IF(H2321="","Sin registro","En programación Frcst."))),"En programación")))),
"Error")</f>
        <v>En programación</v>
      </c>
      <c r="Q2321" s="9" t="str">
        <f t="shared" si="113"/>
        <v/>
      </c>
      <c r="R2321" s="25">
        <f>IF(P2321="En programación Frcst.",VLOOKUP(L2321,Meses!$A$1:$H$14,3+HLOOKUP(Cronograma!J2321,Meses!$D$1:$G$2,2,FALSE),FALSE),
IF(P2321="En programación",M2321,""))</f>
        <v>45407</v>
      </c>
      <c r="S2321" s="25" t="str">
        <f t="shared" si="114"/>
        <v>2024/4</v>
      </c>
      <c r="T2321" s="21">
        <f>IFERROR(
(VLOOKUP(MONTH(R2321),Meses!$B$3:$C$14,2,FALSE)-DAY(R2321))/VLOOKUP(MONTH(R2321),Meses!$B$3:$C$14,2,FALSE)*U2321,
"")</f>
        <v>684.33333333333326</v>
      </c>
      <c r="U2321" s="22">
        <f t="shared" si="115"/>
        <v>4106</v>
      </c>
    </row>
    <row r="2322" spans="1:21" ht="18" hidden="1" thickBot="1" x14ac:dyDescent="0.6">
      <c r="A2322" t="s">
        <v>3206</v>
      </c>
      <c r="B2322" t="s">
        <v>3227</v>
      </c>
      <c r="D2322" t="s">
        <v>44</v>
      </c>
      <c r="E2322" t="s">
        <v>44</v>
      </c>
      <c r="F2322" s="21">
        <v>3995</v>
      </c>
      <c r="G2322" t="s">
        <v>15</v>
      </c>
      <c r="I2322" t="s">
        <v>43</v>
      </c>
      <c r="J2322" s="10" t="s">
        <v>292</v>
      </c>
      <c r="K2322" t="s">
        <v>3325</v>
      </c>
      <c r="L2322" t="s">
        <v>2292</v>
      </c>
      <c r="M2322">
        <v>45407</v>
      </c>
      <c r="O2322" s="10"/>
      <c r="P2322" s="25" t="str">
        <f>IFERROR(
IF(OR(O2322="anulado",O2322="stand by"),CONCATENATE(O2322,": ",H2322),
IF(OR(YEAR(M2322)=2022,YEAR(M2322)=2023),CONCATENATE("Se activó en ",YEAR(M2322)),
IF(AND(OR(O2322="En proceso",O2322="facturando"),AND(J2322="-",M2322="")),"Por revisar",
IF(M2322="",IF(J2322="NUEVAS",CONCATENATE("Estado: ",O2322,", ",J2322),
IF(L2322=Meses!$A$3,"Por revisar",
IF(H2322="","Sin registro","En programación Frcst."))),"En programación")))),
"Error")</f>
        <v>En programación</v>
      </c>
      <c r="Q2322" s="9" t="str">
        <f t="shared" si="113"/>
        <v/>
      </c>
      <c r="R2322" s="25">
        <f>IF(P2322="En programación Frcst.",VLOOKUP(L2322,Meses!$A$1:$H$14,3+HLOOKUP(Cronograma!J2322,Meses!$D$1:$G$2,2,FALSE),FALSE),
IF(P2322="En programación",M2322,""))</f>
        <v>45407</v>
      </c>
      <c r="S2322" s="25" t="str">
        <f t="shared" si="114"/>
        <v>2024/4</v>
      </c>
      <c r="T2322" s="21">
        <f>IFERROR(
(VLOOKUP(MONTH(R2322),Meses!$B$3:$C$14,2,FALSE)-DAY(R2322))/VLOOKUP(MONTH(R2322),Meses!$B$3:$C$14,2,FALSE)*U2322,
"")</f>
        <v>665.83333333333326</v>
      </c>
      <c r="U2322" s="22">
        <f t="shared" si="115"/>
        <v>3995</v>
      </c>
    </row>
    <row r="2323" spans="1:21" ht="18" hidden="1" thickBot="1" x14ac:dyDescent="0.6">
      <c r="A2323" t="s">
        <v>3206</v>
      </c>
      <c r="B2323" t="s">
        <v>3228</v>
      </c>
      <c r="D2323" t="s">
        <v>44</v>
      </c>
      <c r="E2323" t="s">
        <v>44</v>
      </c>
      <c r="F2323" s="21">
        <v>3720</v>
      </c>
      <c r="G2323" t="s">
        <v>15</v>
      </c>
      <c r="I2323" t="s">
        <v>43</v>
      </c>
      <c r="J2323" s="10" t="s">
        <v>292</v>
      </c>
      <c r="K2323" t="s">
        <v>3325</v>
      </c>
      <c r="L2323" t="s">
        <v>2292</v>
      </c>
      <c r="M2323">
        <v>45407</v>
      </c>
      <c r="O2323" s="10"/>
      <c r="P2323" s="25" t="str">
        <f>IFERROR(
IF(OR(O2323="anulado",O2323="stand by"),CONCATENATE(O2323,": ",H2323),
IF(OR(YEAR(M2323)=2022,YEAR(M2323)=2023),CONCATENATE("Se activó en ",YEAR(M2323)),
IF(AND(OR(O2323="En proceso",O2323="facturando"),AND(J2323="-",M2323="")),"Por revisar",
IF(M2323="",IF(J2323="NUEVAS",CONCATENATE("Estado: ",O2323,", ",J2323),
IF(L2323=Meses!$A$3,"Por revisar",
IF(H2323="","Sin registro","En programación Frcst."))),"En programación")))),
"Error")</f>
        <v>En programación</v>
      </c>
      <c r="Q2323" s="9" t="str">
        <f t="shared" si="113"/>
        <v/>
      </c>
      <c r="R2323" s="25">
        <f>IF(P2323="En programación Frcst.",VLOOKUP(L2323,Meses!$A$1:$H$14,3+HLOOKUP(Cronograma!J2323,Meses!$D$1:$G$2,2,FALSE),FALSE),
IF(P2323="En programación",M2323,""))</f>
        <v>45407</v>
      </c>
      <c r="S2323" s="25" t="str">
        <f t="shared" si="114"/>
        <v>2024/4</v>
      </c>
      <c r="T2323" s="21">
        <f>IFERROR(
(VLOOKUP(MONTH(R2323),Meses!$B$3:$C$14,2,FALSE)-DAY(R2323))/VLOOKUP(MONTH(R2323),Meses!$B$3:$C$14,2,FALSE)*U2323,
"")</f>
        <v>620</v>
      </c>
      <c r="U2323" s="22">
        <f t="shared" si="115"/>
        <v>3720</v>
      </c>
    </row>
    <row r="2324" spans="1:21" ht="18" hidden="1" thickBot="1" x14ac:dyDescent="0.6">
      <c r="A2324" t="s">
        <v>3206</v>
      </c>
      <c r="B2324" t="s">
        <v>3229</v>
      </c>
      <c r="D2324" t="s">
        <v>74</v>
      </c>
      <c r="E2324" t="s">
        <v>74</v>
      </c>
      <c r="F2324" s="21">
        <v>4482</v>
      </c>
      <c r="G2324" t="s">
        <v>15</v>
      </c>
      <c r="I2324" t="s">
        <v>43</v>
      </c>
      <c r="J2324" s="10" t="s">
        <v>292</v>
      </c>
      <c r="K2324" t="s">
        <v>3325</v>
      </c>
      <c r="L2324" t="s">
        <v>2292</v>
      </c>
      <c r="M2324">
        <v>45407</v>
      </c>
      <c r="O2324" s="10"/>
      <c r="P2324" s="25" t="str">
        <f>IFERROR(
IF(OR(O2324="anulado",O2324="stand by"),CONCATENATE(O2324,": ",H2324),
IF(OR(YEAR(M2324)=2022,YEAR(M2324)=2023),CONCATENATE("Se activó en ",YEAR(M2324)),
IF(AND(OR(O2324="En proceso",O2324="facturando"),AND(J2324="-",M2324="")),"Por revisar",
IF(M2324="",IF(J2324="NUEVAS",CONCATENATE("Estado: ",O2324,", ",J2324),
IF(L2324=Meses!$A$3,"Por revisar",
IF(H2324="","Sin registro","En programación Frcst."))),"En programación")))),
"Error")</f>
        <v>En programación</v>
      </c>
      <c r="Q2324" s="9" t="str">
        <f t="shared" si="113"/>
        <v/>
      </c>
      <c r="R2324" s="25">
        <f>IF(P2324="En programación Frcst.",VLOOKUP(L2324,Meses!$A$1:$H$14,3+HLOOKUP(Cronograma!J2324,Meses!$D$1:$G$2,2,FALSE),FALSE),
IF(P2324="En programación",M2324,""))</f>
        <v>45407</v>
      </c>
      <c r="S2324" s="25" t="str">
        <f t="shared" si="114"/>
        <v>2024/4</v>
      </c>
      <c r="T2324" s="21">
        <f>IFERROR(
(VLOOKUP(MONTH(R2324),Meses!$B$3:$C$14,2,FALSE)-DAY(R2324))/VLOOKUP(MONTH(R2324),Meses!$B$3:$C$14,2,FALSE)*U2324,
"")</f>
        <v>747</v>
      </c>
      <c r="U2324" s="22">
        <f t="shared" si="115"/>
        <v>4482</v>
      </c>
    </row>
    <row r="2325" spans="1:21" ht="18" hidden="1" thickBot="1" x14ac:dyDescent="0.6">
      <c r="A2325" t="s">
        <v>3206</v>
      </c>
      <c r="B2325" t="s">
        <v>3230</v>
      </c>
      <c r="D2325" t="s">
        <v>74</v>
      </c>
      <c r="E2325" t="s">
        <v>74</v>
      </c>
      <c r="F2325" s="21">
        <v>4296</v>
      </c>
      <c r="G2325" t="s">
        <v>15</v>
      </c>
      <c r="I2325" t="s">
        <v>43</v>
      </c>
      <c r="J2325" s="10" t="s">
        <v>292</v>
      </c>
      <c r="K2325" t="s">
        <v>3325</v>
      </c>
      <c r="L2325" t="s">
        <v>2292</v>
      </c>
      <c r="M2325">
        <v>45407</v>
      </c>
      <c r="O2325" s="10"/>
      <c r="P2325" s="25" t="str">
        <f>IFERROR(
IF(OR(O2325="anulado",O2325="stand by"),CONCATENATE(O2325,": ",H2325),
IF(OR(YEAR(M2325)=2022,YEAR(M2325)=2023),CONCATENATE("Se activó en ",YEAR(M2325)),
IF(AND(OR(O2325="En proceso",O2325="facturando"),AND(J2325="-",M2325="")),"Por revisar",
IF(M2325="",IF(J2325="NUEVAS",CONCATENATE("Estado: ",O2325,", ",J2325),
IF(L2325=Meses!$A$3,"Por revisar",
IF(H2325="","Sin registro","En programación Frcst."))),"En programación")))),
"Error")</f>
        <v>En programación</v>
      </c>
      <c r="Q2325" s="9" t="str">
        <f t="shared" si="113"/>
        <v/>
      </c>
      <c r="R2325" s="25">
        <f>IF(P2325="En programación Frcst.",VLOOKUP(L2325,Meses!$A$1:$H$14,3+HLOOKUP(Cronograma!J2325,Meses!$D$1:$G$2,2,FALSE),FALSE),
IF(P2325="En programación",M2325,""))</f>
        <v>45407</v>
      </c>
      <c r="S2325" s="25" t="str">
        <f t="shared" si="114"/>
        <v>2024/4</v>
      </c>
      <c r="T2325" s="21">
        <f>IFERROR(
(VLOOKUP(MONTH(R2325),Meses!$B$3:$C$14,2,FALSE)-DAY(R2325))/VLOOKUP(MONTH(R2325),Meses!$B$3:$C$14,2,FALSE)*U2325,
"")</f>
        <v>716</v>
      </c>
      <c r="U2325" s="22">
        <f t="shared" si="115"/>
        <v>4296</v>
      </c>
    </row>
    <row r="2326" spans="1:21" ht="18" hidden="1" thickBot="1" x14ac:dyDescent="0.6">
      <c r="A2326" t="s">
        <v>3206</v>
      </c>
      <c r="B2326" t="s">
        <v>3231</v>
      </c>
      <c r="D2326" t="s">
        <v>44</v>
      </c>
      <c r="E2326" t="s">
        <v>44</v>
      </c>
      <c r="F2326" s="21">
        <v>4259</v>
      </c>
      <c r="G2326" t="s">
        <v>15</v>
      </c>
      <c r="I2326" t="s">
        <v>43</v>
      </c>
      <c r="J2326" s="10" t="s">
        <v>292</v>
      </c>
      <c r="K2326" t="s">
        <v>3325</v>
      </c>
      <c r="L2326" t="s">
        <v>2292</v>
      </c>
      <c r="M2326">
        <v>45407</v>
      </c>
      <c r="O2326" s="10"/>
      <c r="P2326" s="25" t="str">
        <f>IFERROR(
IF(OR(O2326="anulado",O2326="stand by"),CONCATENATE(O2326,": ",H2326),
IF(OR(YEAR(M2326)=2022,YEAR(M2326)=2023),CONCATENATE("Se activó en ",YEAR(M2326)),
IF(AND(OR(O2326="En proceso",O2326="facturando"),AND(J2326="-",M2326="")),"Por revisar",
IF(M2326="",IF(J2326="NUEVAS",CONCATENATE("Estado: ",O2326,", ",J2326),
IF(L2326=Meses!$A$3,"Por revisar",
IF(H2326="","Sin registro","En programación Frcst."))),"En programación")))),
"Error")</f>
        <v>En programación</v>
      </c>
      <c r="Q2326" s="9" t="str">
        <f t="shared" si="113"/>
        <v/>
      </c>
      <c r="R2326" s="25">
        <f>IF(P2326="En programación Frcst.",VLOOKUP(L2326,Meses!$A$1:$H$14,3+HLOOKUP(Cronograma!J2326,Meses!$D$1:$G$2,2,FALSE),FALSE),
IF(P2326="En programación",M2326,""))</f>
        <v>45407</v>
      </c>
      <c r="S2326" s="25" t="str">
        <f t="shared" si="114"/>
        <v>2024/4</v>
      </c>
      <c r="T2326" s="21">
        <f>IFERROR(
(VLOOKUP(MONTH(R2326),Meses!$B$3:$C$14,2,FALSE)-DAY(R2326))/VLOOKUP(MONTH(R2326),Meses!$B$3:$C$14,2,FALSE)*U2326,
"")</f>
        <v>709.83333333333326</v>
      </c>
      <c r="U2326" s="22">
        <f t="shared" si="115"/>
        <v>4259</v>
      </c>
    </row>
    <row r="2327" spans="1:21" ht="18" hidden="1" thickBot="1" x14ac:dyDescent="0.6">
      <c r="A2327" t="s">
        <v>3206</v>
      </c>
      <c r="B2327" t="s">
        <v>3232</v>
      </c>
      <c r="D2327" t="s">
        <v>74</v>
      </c>
      <c r="E2327" t="s">
        <v>74</v>
      </c>
      <c r="F2327" s="21">
        <v>4623</v>
      </c>
      <c r="G2327" t="s">
        <v>15</v>
      </c>
      <c r="I2327" t="s">
        <v>43</v>
      </c>
      <c r="J2327" s="10" t="s">
        <v>292</v>
      </c>
      <c r="K2327" t="s">
        <v>3325</v>
      </c>
      <c r="L2327" t="s">
        <v>2292</v>
      </c>
      <c r="M2327">
        <v>45407</v>
      </c>
      <c r="O2327" s="10"/>
      <c r="P2327" s="25" t="str">
        <f>IFERROR(
IF(OR(O2327="anulado",O2327="stand by"),CONCATENATE(O2327,": ",H2327),
IF(OR(YEAR(M2327)=2022,YEAR(M2327)=2023),CONCATENATE("Se activó en ",YEAR(M2327)),
IF(AND(OR(O2327="En proceso",O2327="facturando"),AND(J2327="-",M2327="")),"Por revisar",
IF(M2327="",IF(J2327="NUEVAS",CONCATENATE("Estado: ",O2327,", ",J2327),
IF(L2327=Meses!$A$3,"Por revisar",
IF(H2327="","Sin registro","En programación Frcst."))),"En programación")))),
"Error")</f>
        <v>En programación</v>
      </c>
      <c r="Q2327" s="9" t="str">
        <f t="shared" si="113"/>
        <v/>
      </c>
      <c r="R2327" s="25">
        <f>IF(P2327="En programación Frcst.",VLOOKUP(L2327,Meses!$A$1:$H$14,3+HLOOKUP(Cronograma!J2327,Meses!$D$1:$G$2,2,FALSE),FALSE),
IF(P2327="En programación",M2327,""))</f>
        <v>45407</v>
      </c>
      <c r="S2327" s="25" t="str">
        <f t="shared" si="114"/>
        <v>2024/4</v>
      </c>
      <c r="T2327" s="21">
        <f>IFERROR(
(VLOOKUP(MONTH(R2327),Meses!$B$3:$C$14,2,FALSE)-DAY(R2327))/VLOOKUP(MONTH(R2327),Meses!$B$3:$C$14,2,FALSE)*U2327,
"")</f>
        <v>770.5</v>
      </c>
      <c r="U2327" s="22">
        <f t="shared" si="115"/>
        <v>4623</v>
      </c>
    </row>
    <row r="2328" spans="1:21" ht="18" hidden="1" thickBot="1" x14ac:dyDescent="0.6">
      <c r="A2328" t="s">
        <v>3206</v>
      </c>
      <c r="B2328" t="s">
        <v>3233</v>
      </c>
      <c r="D2328" t="s">
        <v>44</v>
      </c>
      <c r="E2328" t="s">
        <v>44</v>
      </c>
      <c r="F2328" s="21">
        <v>4157</v>
      </c>
      <c r="G2328" t="s">
        <v>15</v>
      </c>
      <c r="I2328" t="s">
        <v>43</v>
      </c>
      <c r="J2328" s="10" t="s">
        <v>292</v>
      </c>
      <c r="K2328" t="s">
        <v>3325</v>
      </c>
      <c r="L2328" t="s">
        <v>2292</v>
      </c>
      <c r="M2328">
        <v>45407</v>
      </c>
      <c r="O2328" s="10"/>
      <c r="P2328" s="25" t="str">
        <f>IFERROR(
IF(OR(O2328="anulado",O2328="stand by"),CONCATENATE(O2328,": ",H2328),
IF(OR(YEAR(M2328)=2022,YEAR(M2328)=2023),CONCATENATE("Se activó en ",YEAR(M2328)),
IF(AND(OR(O2328="En proceso",O2328="facturando"),AND(J2328="-",M2328="")),"Por revisar",
IF(M2328="",IF(J2328="NUEVAS",CONCATENATE("Estado: ",O2328,", ",J2328),
IF(L2328=Meses!$A$3,"Por revisar",
IF(H2328="","Sin registro","En programación Frcst."))),"En programación")))),
"Error")</f>
        <v>En programación</v>
      </c>
      <c r="Q2328" s="9" t="str">
        <f t="shared" si="113"/>
        <v/>
      </c>
      <c r="R2328" s="25">
        <f>IF(P2328="En programación Frcst.",VLOOKUP(L2328,Meses!$A$1:$H$14,3+HLOOKUP(Cronograma!J2328,Meses!$D$1:$G$2,2,FALSE),FALSE),
IF(P2328="En programación",M2328,""))</f>
        <v>45407</v>
      </c>
      <c r="S2328" s="25" t="str">
        <f t="shared" si="114"/>
        <v>2024/4</v>
      </c>
      <c r="T2328" s="21">
        <f>IFERROR(
(VLOOKUP(MONTH(R2328),Meses!$B$3:$C$14,2,FALSE)-DAY(R2328))/VLOOKUP(MONTH(R2328),Meses!$B$3:$C$14,2,FALSE)*U2328,
"")</f>
        <v>692.83333333333326</v>
      </c>
      <c r="U2328" s="22">
        <f t="shared" si="115"/>
        <v>4157</v>
      </c>
    </row>
    <row r="2329" spans="1:21" ht="18" hidden="1" thickBot="1" x14ac:dyDescent="0.6">
      <c r="A2329" t="s">
        <v>3206</v>
      </c>
      <c r="B2329" t="s">
        <v>3234</v>
      </c>
      <c r="D2329" t="s">
        <v>44</v>
      </c>
      <c r="E2329" t="s">
        <v>44</v>
      </c>
      <c r="F2329" s="21">
        <v>3844</v>
      </c>
      <c r="G2329" t="s">
        <v>15</v>
      </c>
      <c r="I2329" t="s">
        <v>43</v>
      </c>
      <c r="J2329" s="10" t="s">
        <v>292</v>
      </c>
      <c r="K2329" t="s">
        <v>3325</v>
      </c>
      <c r="L2329" t="s">
        <v>2292</v>
      </c>
      <c r="M2329">
        <v>45407</v>
      </c>
      <c r="O2329" s="10"/>
      <c r="P2329" s="25" t="str">
        <f>IFERROR(
IF(OR(O2329="anulado",O2329="stand by"),CONCATENATE(O2329,": ",H2329),
IF(OR(YEAR(M2329)=2022,YEAR(M2329)=2023),CONCATENATE("Se activó en ",YEAR(M2329)),
IF(AND(OR(O2329="En proceso",O2329="facturando"),AND(J2329="-",M2329="")),"Por revisar",
IF(M2329="",IF(J2329="NUEVAS",CONCATENATE("Estado: ",O2329,", ",J2329),
IF(L2329=Meses!$A$3,"Por revisar",
IF(H2329="","Sin registro","En programación Frcst."))),"En programación")))),
"Error")</f>
        <v>En programación</v>
      </c>
      <c r="Q2329" s="9" t="str">
        <f t="shared" si="113"/>
        <v/>
      </c>
      <c r="R2329" s="25">
        <f>IF(P2329="En programación Frcst.",VLOOKUP(L2329,Meses!$A$1:$H$14,3+HLOOKUP(Cronograma!J2329,Meses!$D$1:$G$2,2,FALSE),FALSE),
IF(P2329="En programación",M2329,""))</f>
        <v>45407</v>
      </c>
      <c r="S2329" s="25" t="str">
        <f t="shared" si="114"/>
        <v>2024/4</v>
      </c>
      <c r="T2329" s="21">
        <f>IFERROR(
(VLOOKUP(MONTH(R2329),Meses!$B$3:$C$14,2,FALSE)-DAY(R2329))/VLOOKUP(MONTH(R2329),Meses!$B$3:$C$14,2,FALSE)*U2329,
"")</f>
        <v>640.66666666666663</v>
      </c>
      <c r="U2329" s="22">
        <f t="shared" si="115"/>
        <v>3844</v>
      </c>
    </row>
    <row r="2330" spans="1:21" ht="18" hidden="1" thickBot="1" x14ac:dyDescent="0.6">
      <c r="A2330" t="s">
        <v>3206</v>
      </c>
      <c r="B2330" t="s">
        <v>3235</v>
      </c>
      <c r="D2330" t="s">
        <v>44</v>
      </c>
      <c r="E2330" t="s">
        <v>44</v>
      </c>
      <c r="F2330" s="21">
        <v>3963</v>
      </c>
      <c r="G2330" t="s">
        <v>15</v>
      </c>
      <c r="I2330" t="s">
        <v>43</v>
      </c>
      <c r="J2330" s="10" t="s">
        <v>292</v>
      </c>
      <c r="K2330" t="s">
        <v>3325</v>
      </c>
      <c r="L2330" t="s">
        <v>2292</v>
      </c>
      <c r="M2330">
        <v>45407</v>
      </c>
      <c r="O2330" s="10"/>
      <c r="P2330" s="25" t="str">
        <f>IFERROR(
IF(OR(O2330="anulado",O2330="stand by"),CONCATENATE(O2330,": ",H2330),
IF(OR(YEAR(M2330)=2022,YEAR(M2330)=2023),CONCATENATE("Se activó en ",YEAR(M2330)),
IF(AND(OR(O2330="En proceso",O2330="facturando"),AND(J2330="-",M2330="")),"Por revisar",
IF(M2330="",IF(J2330="NUEVAS",CONCATENATE("Estado: ",O2330,", ",J2330),
IF(L2330=Meses!$A$3,"Por revisar",
IF(H2330="","Sin registro","En programación Frcst."))),"En programación")))),
"Error")</f>
        <v>En programación</v>
      </c>
      <c r="Q2330" s="9" t="str">
        <f t="shared" si="113"/>
        <v/>
      </c>
      <c r="R2330" s="25">
        <f>IF(P2330="En programación Frcst.",VLOOKUP(L2330,Meses!$A$1:$H$14,3+HLOOKUP(Cronograma!J2330,Meses!$D$1:$G$2,2,FALSE),FALSE),
IF(P2330="En programación",M2330,""))</f>
        <v>45407</v>
      </c>
      <c r="S2330" s="25" t="str">
        <f t="shared" si="114"/>
        <v>2024/4</v>
      </c>
      <c r="T2330" s="21">
        <f>IFERROR(
(VLOOKUP(MONTH(R2330),Meses!$B$3:$C$14,2,FALSE)-DAY(R2330))/VLOOKUP(MONTH(R2330),Meses!$B$3:$C$14,2,FALSE)*U2330,
"")</f>
        <v>660.5</v>
      </c>
      <c r="U2330" s="22">
        <f t="shared" si="115"/>
        <v>3963</v>
      </c>
    </row>
    <row r="2331" spans="1:21" ht="18" hidden="1" thickBot="1" x14ac:dyDescent="0.6">
      <c r="A2331" t="s">
        <v>3206</v>
      </c>
      <c r="B2331" t="s">
        <v>3236</v>
      </c>
      <c r="D2331" t="s">
        <v>44</v>
      </c>
      <c r="E2331" t="s">
        <v>44</v>
      </c>
      <c r="F2331" s="21">
        <v>3820</v>
      </c>
      <c r="G2331" t="s">
        <v>15</v>
      </c>
      <c r="I2331" t="s">
        <v>43</v>
      </c>
      <c r="J2331" s="10" t="s">
        <v>292</v>
      </c>
      <c r="K2331" t="s">
        <v>3325</v>
      </c>
      <c r="L2331" t="s">
        <v>2292</v>
      </c>
      <c r="M2331">
        <v>45407</v>
      </c>
      <c r="O2331" s="10"/>
      <c r="P2331" s="25" t="str">
        <f>IFERROR(
IF(OR(O2331="anulado",O2331="stand by"),CONCATENATE(O2331,": ",H2331),
IF(OR(YEAR(M2331)=2022,YEAR(M2331)=2023),CONCATENATE("Se activó en ",YEAR(M2331)),
IF(AND(OR(O2331="En proceso",O2331="facturando"),AND(J2331="-",M2331="")),"Por revisar",
IF(M2331="",IF(J2331="NUEVAS",CONCATENATE("Estado: ",O2331,", ",J2331),
IF(L2331=Meses!$A$3,"Por revisar",
IF(H2331="","Sin registro","En programación Frcst."))),"En programación")))),
"Error")</f>
        <v>En programación</v>
      </c>
      <c r="Q2331" s="9" t="str">
        <f t="shared" si="113"/>
        <v/>
      </c>
      <c r="R2331" s="25">
        <f>IF(P2331="En programación Frcst.",VLOOKUP(L2331,Meses!$A$1:$H$14,3+HLOOKUP(Cronograma!J2331,Meses!$D$1:$G$2,2,FALSE),FALSE),
IF(P2331="En programación",M2331,""))</f>
        <v>45407</v>
      </c>
      <c r="S2331" s="25" t="str">
        <f t="shared" si="114"/>
        <v>2024/4</v>
      </c>
      <c r="T2331" s="21">
        <f>IFERROR(
(VLOOKUP(MONTH(R2331),Meses!$B$3:$C$14,2,FALSE)-DAY(R2331))/VLOOKUP(MONTH(R2331),Meses!$B$3:$C$14,2,FALSE)*U2331,
"")</f>
        <v>636.66666666666663</v>
      </c>
      <c r="U2331" s="22">
        <f t="shared" si="115"/>
        <v>3820</v>
      </c>
    </row>
    <row r="2332" spans="1:21" ht="18" hidden="1" thickBot="1" x14ac:dyDescent="0.6">
      <c r="A2332" t="s">
        <v>3206</v>
      </c>
      <c r="B2332" t="s">
        <v>3237</v>
      </c>
      <c r="D2332" t="s">
        <v>44</v>
      </c>
      <c r="E2332" t="s">
        <v>44</v>
      </c>
      <c r="F2332" s="21">
        <v>4366</v>
      </c>
      <c r="G2332" t="s">
        <v>15</v>
      </c>
      <c r="I2332" t="s">
        <v>43</v>
      </c>
      <c r="J2332" s="10" t="s">
        <v>292</v>
      </c>
      <c r="K2332" t="s">
        <v>3325</v>
      </c>
      <c r="L2332" t="s">
        <v>2292</v>
      </c>
      <c r="M2332">
        <v>45407</v>
      </c>
      <c r="O2332" s="10"/>
      <c r="P2332" s="25" t="str">
        <f>IFERROR(
IF(OR(O2332="anulado",O2332="stand by"),CONCATENATE(O2332,": ",H2332),
IF(OR(YEAR(M2332)=2022,YEAR(M2332)=2023),CONCATENATE("Se activó en ",YEAR(M2332)),
IF(AND(OR(O2332="En proceso",O2332="facturando"),AND(J2332="-",M2332="")),"Por revisar",
IF(M2332="",IF(J2332="NUEVAS",CONCATENATE("Estado: ",O2332,", ",J2332),
IF(L2332=Meses!$A$3,"Por revisar",
IF(H2332="","Sin registro","En programación Frcst."))),"En programación")))),
"Error")</f>
        <v>En programación</v>
      </c>
      <c r="Q2332" s="9" t="str">
        <f t="shared" si="113"/>
        <v/>
      </c>
      <c r="R2332" s="25">
        <f>IF(P2332="En programación Frcst.",VLOOKUP(L2332,Meses!$A$1:$H$14,3+HLOOKUP(Cronograma!J2332,Meses!$D$1:$G$2,2,FALSE),FALSE),
IF(P2332="En programación",M2332,""))</f>
        <v>45407</v>
      </c>
      <c r="S2332" s="25" t="str">
        <f t="shared" si="114"/>
        <v>2024/4</v>
      </c>
      <c r="T2332" s="21">
        <f>IFERROR(
(VLOOKUP(MONTH(R2332),Meses!$B$3:$C$14,2,FALSE)-DAY(R2332))/VLOOKUP(MONTH(R2332),Meses!$B$3:$C$14,2,FALSE)*U2332,
"")</f>
        <v>727.66666666666663</v>
      </c>
      <c r="U2332" s="22">
        <f t="shared" si="115"/>
        <v>4366</v>
      </c>
    </row>
    <row r="2333" spans="1:21" ht="18" hidden="1" thickBot="1" x14ac:dyDescent="0.6">
      <c r="A2333" t="s">
        <v>3206</v>
      </c>
      <c r="B2333" t="s">
        <v>3238</v>
      </c>
      <c r="D2333" t="s">
        <v>74</v>
      </c>
      <c r="E2333" t="s">
        <v>74</v>
      </c>
      <c r="F2333" s="21">
        <v>4738</v>
      </c>
      <c r="G2333" t="s">
        <v>15</v>
      </c>
      <c r="I2333" t="s">
        <v>43</v>
      </c>
      <c r="J2333" s="10" t="s">
        <v>292</v>
      </c>
      <c r="K2333" t="s">
        <v>3325</v>
      </c>
      <c r="L2333" t="s">
        <v>2292</v>
      </c>
      <c r="M2333">
        <v>45407</v>
      </c>
      <c r="O2333" s="10"/>
      <c r="P2333" s="25" t="str">
        <f>IFERROR(
IF(OR(O2333="anulado",O2333="stand by"),CONCATENATE(O2333,": ",H2333),
IF(OR(YEAR(M2333)=2022,YEAR(M2333)=2023),CONCATENATE("Se activó en ",YEAR(M2333)),
IF(AND(OR(O2333="En proceso",O2333="facturando"),AND(J2333="-",M2333="")),"Por revisar",
IF(M2333="",IF(J2333="NUEVAS",CONCATENATE("Estado: ",O2333,", ",J2333),
IF(L2333=Meses!$A$3,"Por revisar",
IF(H2333="","Sin registro","En programación Frcst."))),"En programación")))),
"Error")</f>
        <v>En programación</v>
      </c>
      <c r="Q2333" s="9" t="str">
        <f t="shared" si="113"/>
        <v/>
      </c>
      <c r="R2333" s="25">
        <f>IF(P2333="En programación Frcst.",VLOOKUP(L2333,Meses!$A$1:$H$14,3+HLOOKUP(Cronograma!J2333,Meses!$D$1:$G$2,2,FALSE),FALSE),
IF(P2333="En programación",M2333,""))</f>
        <v>45407</v>
      </c>
      <c r="S2333" s="25" t="str">
        <f t="shared" si="114"/>
        <v>2024/4</v>
      </c>
      <c r="T2333" s="21">
        <f>IFERROR(
(VLOOKUP(MONTH(R2333),Meses!$B$3:$C$14,2,FALSE)-DAY(R2333))/VLOOKUP(MONTH(R2333),Meses!$B$3:$C$14,2,FALSE)*U2333,
"")</f>
        <v>789.66666666666663</v>
      </c>
      <c r="U2333" s="22">
        <f t="shared" si="115"/>
        <v>4738</v>
      </c>
    </row>
    <row r="2334" spans="1:21" ht="18" hidden="1" thickBot="1" x14ac:dyDescent="0.6">
      <c r="A2334" t="s">
        <v>3206</v>
      </c>
      <c r="B2334" t="s">
        <v>3239</v>
      </c>
      <c r="D2334" t="s">
        <v>44</v>
      </c>
      <c r="E2334" t="s">
        <v>44</v>
      </c>
      <c r="F2334" s="21">
        <v>4229</v>
      </c>
      <c r="G2334" t="s">
        <v>15</v>
      </c>
      <c r="I2334" t="s">
        <v>43</v>
      </c>
      <c r="J2334" s="10" t="s">
        <v>292</v>
      </c>
      <c r="K2334" t="s">
        <v>3325</v>
      </c>
      <c r="L2334" t="s">
        <v>2292</v>
      </c>
      <c r="M2334">
        <v>45407</v>
      </c>
      <c r="O2334" s="10"/>
      <c r="P2334" s="25" t="str">
        <f>IFERROR(
IF(OR(O2334="anulado",O2334="stand by"),CONCATENATE(O2334,": ",H2334),
IF(OR(YEAR(M2334)=2022,YEAR(M2334)=2023),CONCATENATE("Se activó en ",YEAR(M2334)),
IF(AND(OR(O2334="En proceso",O2334="facturando"),AND(J2334="-",M2334="")),"Por revisar",
IF(M2334="",IF(J2334="NUEVAS",CONCATENATE("Estado: ",O2334,", ",J2334),
IF(L2334=Meses!$A$3,"Por revisar",
IF(H2334="","Sin registro","En programación Frcst."))),"En programación")))),
"Error")</f>
        <v>En programación</v>
      </c>
      <c r="Q2334" s="9" t="str">
        <f t="shared" si="113"/>
        <v/>
      </c>
      <c r="R2334" s="25">
        <f>IF(P2334="En programación Frcst.",VLOOKUP(L2334,Meses!$A$1:$H$14,3+HLOOKUP(Cronograma!J2334,Meses!$D$1:$G$2,2,FALSE),FALSE),
IF(P2334="En programación",M2334,""))</f>
        <v>45407</v>
      </c>
      <c r="S2334" s="25" t="str">
        <f t="shared" si="114"/>
        <v>2024/4</v>
      </c>
      <c r="T2334" s="21">
        <f>IFERROR(
(VLOOKUP(MONTH(R2334),Meses!$B$3:$C$14,2,FALSE)-DAY(R2334))/VLOOKUP(MONTH(R2334),Meses!$B$3:$C$14,2,FALSE)*U2334,
"")</f>
        <v>704.83333333333326</v>
      </c>
      <c r="U2334" s="22">
        <f t="shared" si="115"/>
        <v>4229</v>
      </c>
    </row>
    <row r="2335" spans="1:21" ht="18" hidden="1" thickBot="1" x14ac:dyDescent="0.6">
      <c r="A2335" t="s">
        <v>3206</v>
      </c>
      <c r="B2335" t="s">
        <v>3240</v>
      </c>
      <c r="D2335" t="s">
        <v>74</v>
      </c>
      <c r="E2335" t="s">
        <v>74</v>
      </c>
      <c r="F2335" s="21">
        <v>3436</v>
      </c>
      <c r="G2335" t="s">
        <v>15</v>
      </c>
      <c r="I2335" t="s">
        <v>43</v>
      </c>
      <c r="J2335" s="10" t="s">
        <v>292</v>
      </c>
      <c r="K2335" t="s">
        <v>3325</v>
      </c>
      <c r="L2335" t="s">
        <v>2292</v>
      </c>
      <c r="M2335">
        <v>45407</v>
      </c>
      <c r="O2335" s="10"/>
      <c r="P2335" s="25" t="str">
        <f>IFERROR(
IF(OR(O2335="anulado",O2335="stand by"),CONCATENATE(O2335,": ",H2335),
IF(OR(YEAR(M2335)=2022,YEAR(M2335)=2023),CONCATENATE("Se activó en ",YEAR(M2335)),
IF(AND(OR(O2335="En proceso",O2335="facturando"),AND(J2335="-",M2335="")),"Por revisar",
IF(M2335="",IF(J2335="NUEVAS",CONCATENATE("Estado: ",O2335,", ",J2335),
IF(L2335=Meses!$A$3,"Por revisar",
IF(H2335="","Sin registro","En programación Frcst."))),"En programación")))),
"Error")</f>
        <v>En programación</v>
      </c>
      <c r="Q2335" s="9" t="str">
        <f t="shared" si="113"/>
        <v/>
      </c>
      <c r="R2335" s="25">
        <f>IF(P2335="En programación Frcst.",VLOOKUP(L2335,Meses!$A$1:$H$14,3+HLOOKUP(Cronograma!J2335,Meses!$D$1:$G$2,2,FALSE),FALSE),
IF(P2335="En programación",M2335,""))</f>
        <v>45407</v>
      </c>
      <c r="S2335" s="25" t="str">
        <f t="shared" si="114"/>
        <v>2024/4</v>
      </c>
      <c r="T2335" s="21">
        <f>IFERROR(
(VLOOKUP(MONTH(R2335),Meses!$B$3:$C$14,2,FALSE)-DAY(R2335))/VLOOKUP(MONTH(R2335),Meses!$B$3:$C$14,2,FALSE)*U2335,
"")</f>
        <v>572.66666666666663</v>
      </c>
      <c r="U2335" s="22">
        <f t="shared" si="115"/>
        <v>3436</v>
      </c>
    </row>
    <row r="2336" spans="1:21" ht="18" hidden="1" thickBot="1" x14ac:dyDescent="0.6">
      <c r="A2336" t="s">
        <v>3206</v>
      </c>
      <c r="B2336" t="s">
        <v>3241</v>
      </c>
      <c r="D2336" t="s">
        <v>74</v>
      </c>
      <c r="E2336" t="s">
        <v>74</v>
      </c>
      <c r="F2336" s="21">
        <v>5213</v>
      </c>
      <c r="G2336" t="s">
        <v>15</v>
      </c>
      <c r="I2336" t="s">
        <v>43</v>
      </c>
      <c r="J2336" s="10" t="s">
        <v>292</v>
      </c>
      <c r="K2336" t="s">
        <v>3325</v>
      </c>
      <c r="L2336" t="s">
        <v>2292</v>
      </c>
      <c r="M2336">
        <v>45407</v>
      </c>
      <c r="O2336" s="10"/>
      <c r="P2336" s="25" t="str">
        <f>IFERROR(
IF(OR(O2336="anulado",O2336="stand by"),CONCATENATE(O2336,": ",H2336),
IF(OR(YEAR(M2336)=2022,YEAR(M2336)=2023),CONCATENATE("Se activó en ",YEAR(M2336)),
IF(AND(OR(O2336="En proceso",O2336="facturando"),AND(J2336="-",M2336="")),"Por revisar",
IF(M2336="",IF(J2336="NUEVAS",CONCATENATE("Estado: ",O2336,", ",J2336),
IF(L2336=Meses!$A$3,"Por revisar",
IF(H2336="","Sin registro","En programación Frcst."))),"En programación")))),
"Error")</f>
        <v>En programación</v>
      </c>
      <c r="Q2336" s="9" t="str">
        <f t="shared" si="113"/>
        <v/>
      </c>
      <c r="R2336" s="25">
        <f>IF(P2336="En programación Frcst.",VLOOKUP(L2336,Meses!$A$1:$H$14,3+HLOOKUP(Cronograma!J2336,Meses!$D$1:$G$2,2,FALSE),FALSE),
IF(P2336="En programación",M2336,""))</f>
        <v>45407</v>
      </c>
      <c r="S2336" s="25" t="str">
        <f t="shared" si="114"/>
        <v>2024/4</v>
      </c>
      <c r="T2336" s="21">
        <f>IFERROR(
(VLOOKUP(MONTH(R2336),Meses!$B$3:$C$14,2,FALSE)-DAY(R2336))/VLOOKUP(MONTH(R2336),Meses!$B$3:$C$14,2,FALSE)*U2336,
"")</f>
        <v>868.83333333333326</v>
      </c>
      <c r="U2336" s="22">
        <f t="shared" si="115"/>
        <v>5213</v>
      </c>
    </row>
    <row r="2337" spans="1:21" ht="18" hidden="1" thickBot="1" x14ac:dyDescent="0.6">
      <c r="A2337" t="s">
        <v>3206</v>
      </c>
      <c r="B2337" t="s">
        <v>3242</v>
      </c>
      <c r="D2337" t="s">
        <v>44</v>
      </c>
      <c r="E2337" t="s">
        <v>44</v>
      </c>
      <c r="F2337" s="21">
        <v>4329</v>
      </c>
      <c r="G2337" t="s">
        <v>15</v>
      </c>
      <c r="I2337" t="s">
        <v>43</v>
      </c>
      <c r="J2337" s="10" t="s">
        <v>292</v>
      </c>
      <c r="K2337" t="s">
        <v>3325</v>
      </c>
      <c r="L2337" t="s">
        <v>2292</v>
      </c>
      <c r="M2337">
        <v>45407</v>
      </c>
      <c r="O2337" s="10"/>
      <c r="P2337" s="25" t="str">
        <f>IFERROR(
IF(OR(O2337="anulado",O2337="stand by"),CONCATENATE(O2337,": ",H2337),
IF(OR(YEAR(M2337)=2022,YEAR(M2337)=2023),CONCATENATE("Se activó en ",YEAR(M2337)),
IF(AND(OR(O2337="En proceso",O2337="facturando"),AND(J2337="-",M2337="")),"Por revisar",
IF(M2337="",IF(J2337="NUEVAS",CONCATENATE("Estado: ",O2337,", ",J2337),
IF(L2337=Meses!$A$3,"Por revisar",
IF(H2337="","Sin registro","En programación Frcst."))),"En programación")))),
"Error")</f>
        <v>En programación</v>
      </c>
      <c r="Q2337" s="9" t="str">
        <f t="shared" si="113"/>
        <v/>
      </c>
      <c r="R2337" s="25">
        <f>IF(P2337="En programación Frcst.",VLOOKUP(L2337,Meses!$A$1:$H$14,3+HLOOKUP(Cronograma!J2337,Meses!$D$1:$G$2,2,FALSE),FALSE),
IF(P2337="En programación",M2337,""))</f>
        <v>45407</v>
      </c>
      <c r="S2337" s="25" t="str">
        <f t="shared" si="114"/>
        <v>2024/4</v>
      </c>
      <c r="T2337" s="21">
        <f>IFERROR(
(VLOOKUP(MONTH(R2337),Meses!$B$3:$C$14,2,FALSE)-DAY(R2337))/VLOOKUP(MONTH(R2337),Meses!$B$3:$C$14,2,FALSE)*U2337,
"")</f>
        <v>721.5</v>
      </c>
      <c r="U2337" s="22">
        <f t="shared" si="115"/>
        <v>4329</v>
      </c>
    </row>
    <row r="2338" spans="1:21" ht="18" hidden="1" thickBot="1" x14ac:dyDescent="0.6">
      <c r="A2338" t="s">
        <v>3206</v>
      </c>
      <c r="B2338" t="s">
        <v>3243</v>
      </c>
      <c r="D2338" t="s">
        <v>44</v>
      </c>
      <c r="E2338" t="s">
        <v>44</v>
      </c>
      <c r="F2338" s="21">
        <v>4328</v>
      </c>
      <c r="G2338" t="s">
        <v>15</v>
      </c>
      <c r="I2338" t="s">
        <v>43</v>
      </c>
      <c r="J2338" s="10" t="s">
        <v>292</v>
      </c>
      <c r="K2338" t="s">
        <v>3325</v>
      </c>
      <c r="L2338" t="s">
        <v>2292</v>
      </c>
      <c r="M2338">
        <v>45407</v>
      </c>
      <c r="O2338" s="10"/>
      <c r="P2338" s="25" t="str">
        <f>IFERROR(
IF(OR(O2338="anulado",O2338="stand by"),CONCATENATE(O2338,": ",H2338),
IF(OR(YEAR(M2338)=2022,YEAR(M2338)=2023),CONCATENATE("Se activó en ",YEAR(M2338)),
IF(AND(OR(O2338="En proceso",O2338="facturando"),AND(J2338="-",M2338="")),"Por revisar",
IF(M2338="",IF(J2338="NUEVAS",CONCATENATE("Estado: ",O2338,", ",J2338),
IF(L2338=Meses!$A$3,"Por revisar",
IF(H2338="","Sin registro","En programación Frcst."))),"En programación")))),
"Error")</f>
        <v>En programación</v>
      </c>
      <c r="Q2338" s="9" t="str">
        <f t="shared" si="113"/>
        <v/>
      </c>
      <c r="R2338" s="25">
        <f>IF(P2338="En programación Frcst.",VLOOKUP(L2338,Meses!$A$1:$H$14,3+HLOOKUP(Cronograma!J2338,Meses!$D$1:$G$2,2,FALSE),FALSE),
IF(P2338="En programación",M2338,""))</f>
        <v>45407</v>
      </c>
      <c r="S2338" s="25" t="str">
        <f t="shared" si="114"/>
        <v>2024/4</v>
      </c>
      <c r="T2338" s="21">
        <f>IFERROR(
(VLOOKUP(MONTH(R2338),Meses!$B$3:$C$14,2,FALSE)-DAY(R2338))/VLOOKUP(MONTH(R2338),Meses!$B$3:$C$14,2,FALSE)*U2338,
"")</f>
        <v>721.33333333333326</v>
      </c>
      <c r="U2338" s="22">
        <f t="shared" si="115"/>
        <v>4328</v>
      </c>
    </row>
    <row r="2339" spans="1:21" ht="18" hidden="1" thickBot="1" x14ac:dyDescent="0.6">
      <c r="A2339" t="s">
        <v>3206</v>
      </c>
      <c r="B2339" t="s">
        <v>3244</v>
      </c>
      <c r="D2339" t="s">
        <v>44</v>
      </c>
      <c r="E2339" t="s">
        <v>44</v>
      </c>
      <c r="F2339" s="21">
        <v>4581</v>
      </c>
      <c r="G2339" t="s">
        <v>15</v>
      </c>
      <c r="I2339" t="s">
        <v>43</v>
      </c>
      <c r="J2339" s="10" t="s">
        <v>292</v>
      </c>
      <c r="K2339" t="s">
        <v>3325</v>
      </c>
      <c r="L2339" t="s">
        <v>2292</v>
      </c>
      <c r="M2339">
        <v>45407</v>
      </c>
      <c r="O2339" s="10"/>
      <c r="P2339" s="25" t="str">
        <f>IFERROR(
IF(OR(O2339="anulado",O2339="stand by"),CONCATENATE(O2339,": ",H2339),
IF(OR(YEAR(M2339)=2022,YEAR(M2339)=2023),CONCATENATE("Se activó en ",YEAR(M2339)),
IF(AND(OR(O2339="En proceso",O2339="facturando"),AND(J2339="-",M2339="")),"Por revisar",
IF(M2339="",IF(J2339="NUEVAS",CONCATENATE("Estado: ",O2339,", ",J2339),
IF(L2339=Meses!$A$3,"Por revisar",
IF(H2339="","Sin registro","En programación Frcst."))),"En programación")))),
"Error")</f>
        <v>En programación</v>
      </c>
      <c r="Q2339" s="9" t="str">
        <f t="shared" si="113"/>
        <v/>
      </c>
      <c r="R2339" s="25">
        <f>IF(P2339="En programación Frcst.",VLOOKUP(L2339,Meses!$A$1:$H$14,3+HLOOKUP(Cronograma!J2339,Meses!$D$1:$G$2,2,FALSE),FALSE),
IF(P2339="En programación",M2339,""))</f>
        <v>45407</v>
      </c>
      <c r="S2339" s="25" t="str">
        <f t="shared" si="114"/>
        <v>2024/4</v>
      </c>
      <c r="T2339" s="21">
        <f>IFERROR(
(VLOOKUP(MONTH(R2339),Meses!$B$3:$C$14,2,FALSE)-DAY(R2339))/VLOOKUP(MONTH(R2339),Meses!$B$3:$C$14,2,FALSE)*U2339,
"")</f>
        <v>763.5</v>
      </c>
      <c r="U2339" s="22">
        <f t="shared" si="115"/>
        <v>4581</v>
      </c>
    </row>
    <row r="2340" spans="1:21" ht="18" hidden="1" thickBot="1" x14ac:dyDescent="0.6">
      <c r="A2340" t="s">
        <v>3206</v>
      </c>
      <c r="B2340" t="s">
        <v>3245</v>
      </c>
      <c r="D2340" t="s">
        <v>74</v>
      </c>
      <c r="E2340" t="s">
        <v>74</v>
      </c>
      <c r="F2340" s="21">
        <v>4128</v>
      </c>
      <c r="G2340" t="s">
        <v>15</v>
      </c>
      <c r="I2340" t="s">
        <v>43</v>
      </c>
      <c r="J2340" s="10" t="s">
        <v>292</v>
      </c>
      <c r="K2340" t="s">
        <v>3325</v>
      </c>
      <c r="L2340" t="s">
        <v>2292</v>
      </c>
      <c r="M2340">
        <v>45407</v>
      </c>
      <c r="O2340" s="10"/>
      <c r="P2340" s="25" t="str">
        <f>IFERROR(
IF(OR(O2340="anulado",O2340="stand by"),CONCATENATE(O2340,": ",H2340),
IF(OR(YEAR(M2340)=2022,YEAR(M2340)=2023),CONCATENATE("Se activó en ",YEAR(M2340)),
IF(AND(OR(O2340="En proceso",O2340="facturando"),AND(J2340="-",M2340="")),"Por revisar",
IF(M2340="",IF(J2340="NUEVAS",CONCATENATE("Estado: ",O2340,", ",J2340),
IF(L2340=Meses!$A$3,"Por revisar",
IF(H2340="","Sin registro","En programación Frcst."))),"En programación")))),
"Error")</f>
        <v>En programación</v>
      </c>
      <c r="Q2340" s="9" t="str">
        <f t="shared" si="113"/>
        <v/>
      </c>
      <c r="R2340" s="25">
        <f>IF(P2340="En programación Frcst.",VLOOKUP(L2340,Meses!$A$1:$H$14,3+HLOOKUP(Cronograma!J2340,Meses!$D$1:$G$2,2,FALSE),FALSE),
IF(P2340="En programación",M2340,""))</f>
        <v>45407</v>
      </c>
      <c r="S2340" s="25" t="str">
        <f t="shared" si="114"/>
        <v>2024/4</v>
      </c>
      <c r="T2340" s="21">
        <f>IFERROR(
(VLOOKUP(MONTH(R2340),Meses!$B$3:$C$14,2,FALSE)-DAY(R2340))/VLOOKUP(MONTH(R2340),Meses!$B$3:$C$14,2,FALSE)*U2340,
"")</f>
        <v>688</v>
      </c>
      <c r="U2340" s="22">
        <f t="shared" si="115"/>
        <v>4128</v>
      </c>
    </row>
    <row r="2341" spans="1:21" ht="18" hidden="1" thickBot="1" x14ac:dyDescent="0.6">
      <c r="A2341" t="s">
        <v>3206</v>
      </c>
      <c r="B2341" t="s">
        <v>3246</v>
      </c>
      <c r="D2341" t="s">
        <v>74</v>
      </c>
      <c r="E2341" t="s">
        <v>74</v>
      </c>
      <c r="F2341" s="21">
        <v>3737</v>
      </c>
      <c r="G2341" t="s">
        <v>15</v>
      </c>
      <c r="I2341" t="s">
        <v>43</v>
      </c>
      <c r="J2341" s="10" t="s">
        <v>292</v>
      </c>
      <c r="K2341" t="s">
        <v>3325</v>
      </c>
      <c r="L2341" t="s">
        <v>2292</v>
      </c>
      <c r="M2341">
        <v>45407</v>
      </c>
      <c r="O2341" s="10"/>
      <c r="P2341" s="25" t="str">
        <f>IFERROR(
IF(OR(O2341="anulado",O2341="stand by"),CONCATENATE(O2341,": ",H2341),
IF(OR(YEAR(M2341)=2022,YEAR(M2341)=2023),CONCATENATE("Se activó en ",YEAR(M2341)),
IF(AND(OR(O2341="En proceso",O2341="facturando"),AND(J2341="-",M2341="")),"Por revisar",
IF(M2341="",IF(J2341="NUEVAS",CONCATENATE("Estado: ",O2341,", ",J2341),
IF(L2341=Meses!$A$3,"Por revisar",
IF(H2341="","Sin registro","En programación Frcst."))),"En programación")))),
"Error")</f>
        <v>En programación</v>
      </c>
      <c r="Q2341" s="9" t="str">
        <f t="shared" si="113"/>
        <v/>
      </c>
      <c r="R2341" s="25">
        <f>IF(P2341="En programación Frcst.",VLOOKUP(L2341,Meses!$A$1:$H$14,3+HLOOKUP(Cronograma!J2341,Meses!$D$1:$G$2,2,FALSE),FALSE),
IF(P2341="En programación",M2341,""))</f>
        <v>45407</v>
      </c>
      <c r="S2341" s="25" t="str">
        <f t="shared" si="114"/>
        <v>2024/4</v>
      </c>
      <c r="T2341" s="21">
        <f>IFERROR(
(VLOOKUP(MONTH(R2341),Meses!$B$3:$C$14,2,FALSE)-DAY(R2341))/VLOOKUP(MONTH(R2341),Meses!$B$3:$C$14,2,FALSE)*U2341,
"")</f>
        <v>622.83333333333326</v>
      </c>
      <c r="U2341" s="22">
        <f t="shared" si="115"/>
        <v>3737</v>
      </c>
    </row>
    <row r="2342" spans="1:21" ht="18" hidden="1" thickBot="1" x14ac:dyDescent="0.6">
      <c r="A2342" t="s">
        <v>3206</v>
      </c>
      <c r="B2342" t="s">
        <v>3247</v>
      </c>
      <c r="D2342" t="s">
        <v>44</v>
      </c>
      <c r="E2342" t="s">
        <v>44</v>
      </c>
      <c r="F2342" s="21">
        <v>4314</v>
      </c>
      <c r="G2342" t="s">
        <v>15</v>
      </c>
      <c r="I2342" t="s">
        <v>43</v>
      </c>
      <c r="J2342" s="10" t="s">
        <v>292</v>
      </c>
      <c r="K2342" t="s">
        <v>3325</v>
      </c>
      <c r="L2342" t="s">
        <v>2292</v>
      </c>
      <c r="M2342">
        <v>45407</v>
      </c>
      <c r="O2342" s="10"/>
      <c r="P2342" s="25" t="str">
        <f>IFERROR(
IF(OR(O2342="anulado",O2342="stand by"),CONCATENATE(O2342,": ",H2342),
IF(OR(YEAR(M2342)=2022,YEAR(M2342)=2023),CONCATENATE("Se activó en ",YEAR(M2342)),
IF(AND(OR(O2342="En proceso",O2342="facturando"),AND(J2342="-",M2342="")),"Por revisar",
IF(M2342="",IF(J2342="NUEVAS",CONCATENATE("Estado: ",O2342,", ",J2342),
IF(L2342=Meses!$A$3,"Por revisar",
IF(H2342="","Sin registro","En programación Frcst."))),"En programación")))),
"Error")</f>
        <v>En programación</v>
      </c>
      <c r="Q2342" s="9" t="str">
        <f t="shared" si="113"/>
        <v/>
      </c>
      <c r="R2342" s="25">
        <f>IF(P2342="En programación Frcst.",VLOOKUP(L2342,Meses!$A$1:$H$14,3+HLOOKUP(Cronograma!J2342,Meses!$D$1:$G$2,2,FALSE),FALSE),
IF(P2342="En programación",M2342,""))</f>
        <v>45407</v>
      </c>
      <c r="S2342" s="25" t="str">
        <f t="shared" si="114"/>
        <v>2024/4</v>
      </c>
      <c r="T2342" s="21">
        <f>IFERROR(
(VLOOKUP(MONTH(R2342),Meses!$B$3:$C$14,2,FALSE)-DAY(R2342))/VLOOKUP(MONTH(R2342),Meses!$B$3:$C$14,2,FALSE)*U2342,
"")</f>
        <v>719</v>
      </c>
      <c r="U2342" s="22">
        <f t="shared" si="115"/>
        <v>4314</v>
      </c>
    </row>
    <row r="2343" spans="1:21" ht="18" hidden="1" thickBot="1" x14ac:dyDescent="0.6">
      <c r="A2343" t="s">
        <v>3206</v>
      </c>
      <c r="B2343" t="s">
        <v>3248</v>
      </c>
      <c r="D2343" t="s">
        <v>74</v>
      </c>
      <c r="E2343" t="s">
        <v>74</v>
      </c>
      <c r="F2343" s="21">
        <v>4200</v>
      </c>
      <c r="G2343" t="s">
        <v>15</v>
      </c>
      <c r="I2343" t="s">
        <v>43</v>
      </c>
      <c r="J2343" s="10" t="s">
        <v>292</v>
      </c>
      <c r="K2343" t="s">
        <v>3325</v>
      </c>
      <c r="L2343" t="s">
        <v>2292</v>
      </c>
      <c r="M2343">
        <v>45407</v>
      </c>
      <c r="O2343" s="10"/>
      <c r="P2343" s="25" t="str">
        <f>IFERROR(
IF(OR(O2343="anulado",O2343="stand by"),CONCATENATE(O2343,": ",H2343),
IF(OR(YEAR(M2343)=2022,YEAR(M2343)=2023),CONCATENATE("Se activó en ",YEAR(M2343)),
IF(AND(OR(O2343="En proceso",O2343="facturando"),AND(J2343="-",M2343="")),"Por revisar",
IF(M2343="",IF(J2343="NUEVAS",CONCATENATE("Estado: ",O2343,", ",J2343),
IF(L2343=Meses!$A$3,"Por revisar",
IF(H2343="","Sin registro","En programación Frcst."))),"En programación")))),
"Error")</f>
        <v>En programación</v>
      </c>
      <c r="Q2343" s="9" t="str">
        <f t="shared" si="113"/>
        <v/>
      </c>
      <c r="R2343" s="25">
        <f>IF(P2343="En programación Frcst.",VLOOKUP(L2343,Meses!$A$1:$H$14,3+HLOOKUP(Cronograma!J2343,Meses!$D$1:$G$2,2,FALSE),FALSE),
IF(P2343="En programación",M2343,""))</f>
        <v>45407</v>
      </c>
      <c r="S2343" s="25" t="str">
        <f t="shared" si="114"/>
        <v>2024/4</v>
      </c>
      <c r="T2343" s="21">
        <f>IFERROR(
(VLOOKUP(MONTH(R2343),Meses!$B$3:$C$14,2,FALSE)-DAY(R2343))/VLOOKUP(MONTH(R2343),Meses!$B$3:$C$14,2,FALSE)*U2343,
"")</f>
        <v>700</v>
      </c>
      <c r="U2343" s="22">
        <f t="shared" si="115"/>
        <v>4200</v>
      </c>
    </row>
    <row r="2344" spans="1:21" ht="18" hidden="1" thickBot="1" x14ac:dyDescent="0.6">
      <c r="A2344" t="s">
        <v>3206</v>
      </c>
      <c r="B2344" t="s">
        <v>3249</v>
      </c>
      <c r="D2344" t="s">
        <v>74</v>
      </c>
      <c r="E2344" t="s">
        <v>74</v>
      </c>
      <c r="F2344" s="21">
        <v>5379</v>
      </c>
      <c r="G2344" t="s">
        <v>15</v>
      </c>
      <c r="I2344" t="s">
        <v>43</v>
      </c>
      <c r="J2344" s="10" t="s">
        <v>292</v>
      </c>
      <c r="K2344" t="s">
        <v>3325</v>
      </c>
      <c r="L2344" t="s">
        <v>2292</v>
      </c>
      <c r="M2344">
        <v>45407</v>
      </c>
      <c r="O2344" s="10"/>
      <c r="P2344" s="25" t="str">
        <f>IFERROR(
IF(OR(O2344="anulado",O2344="stand by"),CONCATENATE(O2344,": ",H2344),
IF(OR(YEAR(M2344)=2022,YEAR(M2344)=2023),CONCATENATE("Se activó en ",YEAR(M2344)),
IF(AND(OR(O2344="En proceso",O2344="facturando"),AND(J2344="-",M2344="")),"Por revisar",
IF(M2344="",IF(J2344="NUEVAS",CONCATENATE("Estado: ",O2344,", ",J2344),
IF(L2344=Meses!$A$3,"Por revisar",
IF(H2344="","Sin registro","En programación Frcst."))),"En programación")))),
"Error")</f>
        <v>En programación</v>
      </c>
      <c r="Q2344" s="9" t="str">
        <f t="shared" si="113"/>
        <v/>
      </c>
      <c r="R2344" s="25">
        <f>IF(P2344="En programación Frcst.",VLOOKUP(L2344,Meses!$A$1:$H$14,3+HLOOKUP(Cronograma!J2344,Meses!$D$1:$G$2,2,FALSE),FALSE),
IF(P2344="En programación",M2344,""))</f>
        <v>45407</v>
      </c>
      <c r="S2344" s="25" t="str">
        <f t="shared" si="114"/>
        <v>2024/4</v>
      </c>
      <c r="T2344" s="21">
        <f>IFERROR(
(VLOOKUP(MONTH(R2344),Meses!$B$3:$C$14,2,FALSE)-DAY(R2344))/VLOOKUP(MONTH(R2344),Meses!$B$3:$C$14,2,FALSE)*U2344,
"")</f>
        <v>896.5</v>
      </c>
      <c r="U2344" s="22">
        <f t="shared" si="115"/>
        <v>5379</v>
      </c>
    </row>
    <row r="2345" spans="1:21" ht="18" hidden="1" thickBot="1" x14ac:dyDescent="0.6">
      <c r="A2345" t="s">
        <v>3206</v>
      </c>
      <c r="B2345" t="s">
        <v>3250</v>
      </c>
      <c r="D2345" t="s">
        <v>74</v>
      </c>
      <c r="E2345" t="s">
        <v>74</v>
      </c>
      <c r="F2345" s="21">
        <v>3095</v>
      </c>
      <c r="G2345" t="s">
        <v>15</v>
      </c>
      <c r="I2345" t="s">
        <v>43</v>
      </c>
      <c r="J2345" s="10" t="s">
        <v>292</v>
      </c>
      <c r="K2345" t="s">
        <v>3325</v>
      </c>
      <c r="L2345" t="s">
        <v>2292</v>
      </c>
      <c r="M2345">
        <v>45407</v>
      </c>
      <c r="O2345" s="10"/>
      <c r="P2345" s="25" t="str">
        <f>IFERROR(
IF(OR(O2345="anulado",O2345="stand by"),CONCATENATE(O2345,": ",H2345),
IF(OR(YEAR(M2345)=2022,YEAR(M2345)=2023),CONCATENATE("Se activó en ",YEAR(M2345)),
IF(AND(OR(O2345="En proceso",O2345="facturando"),AND(J2345="-",M2345="")),"Por revisar",
IF(M2345="",IF(J2345="NUEVAS",CONCATENATE("Estado: ",O2345,", ",J2345),
IF(L2345=Meses!$A$3,"Por revisar",
IF(H2345="","Sin registro","En programación Frcst."))),"En programación")))),
"Error")</f>
        <v>En programación</v>
      </c>
      <c r="Q2345" s="9" t="str">
        <f t="shared" si="113"/>
        <v/>
      </c>
      <c r="R2345" s="25">
        <f>IF(P2345="En programación Frcst.",VLOOKUP(L2345,Meses!$A$1:$H$14,3+HLOOKUP(Cronograma!J2345,Meses!$D$1:$G$2,2,FALSE),FALSE),
IF(P2345="En programación",M2345,""))</f>
        <v>45407</v>
      </c>
      <c r="S2345" s="25" t="str">
        <f t="shared" si="114"/>
        <v>2024/4</v>
      </c>
      <c r="T2345" s="21">
        <f>IFERROR(
(VLOOKUP(MONTH(R2345),Meses!$B$3:$C$14,2,FALSE)-DAY(R2345))/VLOOKUP(MONTH(R2345),Meses!$B$3:$C$14,2,FALSE)*U2345,
"")</f>
        <v>515.83333333333326</v>
      </c>
      <c r="U2345" s="22">
        <f t="shared" si="115"/>
        <v>3095</v>
      </c>
    </row>
    <row r="2346" spans="1:21" ht="18" hidden="1" thickBot="1" x14ac:dyDescent="0.6">
      <c r="A2346" t="s">
        <v>3206</v>
      </c>
      <c r="B2346" t="s">
        <v>3251</v>
      </c>
      <c r="D2346" t="s">
        <v>44</v>
      </c>
      <c r="E2346" t="s">
        <v>44</v>
      </c>
      <c r="F2346" s="21">
        <v>4555</v>
      </c>
      <c r="G2346" t="s">
        <v>15</v>
      </c>
      <c r="I2346" t="s">
        <v>43</v>
      </c>
      <c r="J2346" s="10" t="s">
        <v>292</v>
      </c>
      <c r="K2346" t="s">
        <v>3325</v>
      </c>
      <c r="L2346" t="s">
        <v>2292</v>
      </c>
      <c r="M2346">
        <v>45407</v>
      </c>
      <c r="O2346" s="10"/>
      <c r="P2346" s="25" t="str">
        <f>IFERROR(
IF(OR(O2346="anulado",O2346="stand by"),CONCATENATE(O2346,": ",H2346),
IF(OR(YEAR(M2346)=2022,YEAR(M2346)=2023),CONCATENATE("Se activó en ",YEAR(M2346)),
IF(AND(OR(O2346="En proceso",O2346="facturando"),AND(J2346="-",M2346="")),"Por revisar",
IF(M2346="",IF(J2346="NUEVAS",CONCATENATE("Estado: ",O2346,", ",J2346),
IF(L2346=Meses!$A$3,"Por revisar",
IF(H2346="","Sin registro","En programación Frcst."))),"En programación")))),
"Error")</f>
        <v>En programación</v>
      </c>
      <c r="Q2346" s="9" t="str">
        <f t="shared" si="113"/>
        <v/>
      </c>
      <c r="R2346" s="25">
        <f>IF(P2346="En programación Frcst.",VLOOKUP(L2346,Meses!$A$1:$H$14,3+HLOOKUP(Cronograma!J2346,Meses!$D$1:$G$2,2,FALSE),FALSE),
IF(P2346="En programación",M2346,""))</f>
        <v>45407</v>
      </c>
      <c r="S2346" s="25" t="str">
        <f t="shared" si="114"/>
        <v>2024/4</v>
      </c>
      <c r="T2346" s="21">
        <f>IFERROR(
(VLOOKUP(MONTH(R2346),Meses!$B$3:$C$14,2,FALSE)-DAY(R2346))/VLOOKUP(MONTH(R2346),Meses!$B$3:$C$14,2,FALSE)*U2346,
"")</f>
        <v>759.16666666666663</v>
      </c>
      <c r="U2346" s="22">
        <f t="shared" si="115"/>
        <v>4555</v>
      </c>
    </row>
    <row r="2347" spans="1:21" ht="18" hidden="1" thickBot="1" x14ac:dyDescent="0.6">
      <c r="A2347" t="s">
        <v>3206</v>
      </c>
      <c r="B2347" t="s">
        <v>3252</v>
      </c>
      <c r="D2347" t="s">
        <v>44</v>
      </c>
      <c r="E2347" t="s">
        <v>44</v>
      </c>
      <c r="F2347" s="21">
        <v>769</v>
      </c>
      <c r="G2347" t="s">
        <v>15</v>
      </c>
      <c r="I2347" t="s">
        <v>43</v>
      </c>
      <c r="J2347" s="10" t="s">
        <v>292</v>
      </c>
      <c r="K2347" t="s">
        <v>3325</v>
      </c>
      <c r="L2347" t="s">
        <v>2292</v>
      </c>
      <c r="M2347">
        <v>45407</v>
      </c>
      <c r="O2347" s="10"/>
      <c r="P2347" s="25" t="str">
        <f>IFERROR(
IF(OR(O2347="anulado",O2347="stand by"),CONCATENATE(O2347,": ",H2347),
IF(OR(YEAR(M2347)=2022,YEAR(M2347)=2023),CONCATENATE("Se activó en ",YEAR(M2347)),
IF(AND(OR(O2347="En proceso",O2347="facturando"),AND(J2347="-",M2347="")),"Por revisar",
IF(M2347="",IF(J2347="NUEVAS",CONCATENATE("Estado: ",O2347,", ",J2347),
IF(L2347=Meses!$A$3,"Por revisar",
IF(H2347="","Sin registro","En programación Frcst."))),"En programación")))),
"Error")</f>
        <v>En programación</v>
      </c>
      <c r="Q2347" s="9" t="str">
        <f t="shared" si="113"/>
        <v/>
      </c>
      <c r="R2347" s="25">
        <f>IF(P2347="En programación Frcst.",VLOOKUP(L2347,Meses!$A$1:$H$14,3+HLOOKUP(Cronograma!J2347,Meses!$D$1:$G$2,2,FALSE),FALSE),
IF(P2347="En programación",M2347,""))</f>
        <v>45407</v>
      </c>
      <c r="S2347" s="25" t="str">
        <f t="shared" si="114"/>
        <v>2024/4</v>
      </c>
      <c r="T2347" s="21">
        <f>IFERROR(
(VLOOKUP(MONTH(R2347),Meses!$B$3:$C$14,2,FALSE)-DAY(R2347))/VLOOKUP(MONTH(R2347),Meses!$B$3:$C$14,2,FALSE)*U2347,
"")</f>
        <v>128.16666666666666</v>
      </c>
      <c r="U2347" s="22">
        <f t="shared" si="115"/>
        <v>769</v>
      </c>
    </row>
    <row r="2348" spans="1:21" ht="18" hidden="1" thickBot="1" x14ac:dyDescent="0.6">
      <c r="A2348" t="s">
        <v>3206</v>
      </c>
      <c r="B2348" t="s">
        <v>3253</v>
      </c>
      <c r="D2348" t="s">
        <v>44</v>
      </c>
      <c r="E2348" t="s">
        <v>44</v>
      </c>
      <c r="F2348" s="21">
        <v>5891</v>
      </c>
      <c r="G2348" t="s">
        <v>15</v>
      </c>
      <c r="I2348" t="s">
        <v>43</v>
      </c>
      <c r="J2348" s="10" t="s">
        <v>292</v>
      </c>
      <c r="K2348" t="s">
        <v>3325</v>
      </c>
      <c r="L2348" t="s">
        <v>2292</v>
      </c>
      <c r="M2348">
        <v>45407</v>
      </c>
      <c r="O2348" s="10"/>
      <c r="P2348" s="25" t="str">
        <f>IFERROR(
IF(OR(O2348="anulado",O2348="stand by"),CONCATENATE(O2348,": ",H2348),
IF(OR(YEAR(M2348)=2022,YEAR(M2348)=2023),CONCATENATE("Se activó en ",YEAR(M2348)),
IF(AND(OR(O2348="En proceso",O2348="facturando"),AND(J2348="-",M2348="")),"Por revisar",
IF(M2348="",IF(J2348="NUEVAS",CONCATENATE("Estado: ",O2348,", ",J2348),
IF(L2348=Meses!$A$3,"Por revisar",
IF(H2348="","Sin registro","En programación Frcst."))),"En programación")))),
"Error")</f>
        <v>En programación</v>
      </c>
      <c r="Q2348" s="9" t="str">
        <f t="shared" si="113"/>
        <v/>
      </c>
      <c r="R2348" s="25">
        <f>IF(P2348="En programación Frcst.",VLOOKUP(L2348,Meses!$A$1:$H$14,3+HLOOKUP(Cronograma!J2348,Meses!$D$1:$G$2,2,FALSE),FALSE),
IF(P2348="En programación",M2348,""))</f>
        <v>45407</v>
      </c>
      <c r="S2348" s="25" t="str">
        <f t="shared" si="114"/>
        <v>2024/4</v>
      </c>
      <c r="T2348" s="21">
        <f>IFERROR(
(VLOOKUP(MONTH(R2348),Meses!$B$3:$C$14,2,FALSE)-DAY(R2348))/VLOOKUP(MONTH(R2348),Meses!$B$3:$C$14,2,FALSE)*U2348,
"")</f>
        <v>981.83333333333326</v>
      </c>
      <c r="U2348" s="22">
        <f t="shared" si="115"/>
        <v>5891</v>
      </c>
    </row>
    <row r="2349" spans="1:21" ht="18" hidden="1" thickBot="1" x14ac:dyDescent="0.6">
      <c r="A2349" t="s">
        <v>3206</v>
      </c>
      <c r="B2349" t="s">
        <v>3254</v>
      </c>
      <c r="D2349" t="s">
        <v>74</v>
      </c>
      <c r="E2349" t="s">
        <v>74</v>
      </c>
      <c r="F2349" s="21">
        <v>7118</v>
      </c>
      <c r="G2349" t="s">
        <v>15</v>
      </c>
      <c r="I2349" t="s">
        <v>43</v>
      </c>
      <c r="J2349" s="10" t="s">
        <v>292</v>
      </c>
      <c r="K2349" t="s">
        <v>3325</v>
      </c>
      <c r="L2349" t="s">
        <v>2292</v>
      </c>
      <c r="M2349">
        <v>45407</v>
      </c>
      <c r="O2349" s="10"/>
      <c r="P2349" s="25" t="str">
        <f>IFERROR(
IF(OR(O2349="anulado",O2349="stand by"),CONCATENATE(O2349,": ",H2349),
IF(OR(YEAR(M2349)=2022,YEAR(M2349)=2023),CONCATENATE("Se activó en ",YEAR(M2349)),
IF(AND(OR(O2349="En proceso",O2349="facturando"),AND(J2349="-",M2349="")),"Por revisar",
IF(M2349="",IF(J2349="NUEVAS",CONCATENATE("Estado: ",O2349,", ",J2349),
IF(L2349=Meses!$A$3,"Por revisar",
IF(H2349="","Sin registro","En programación Frcst."))),"En programación")))),
"Error")</f>
        <v>En programación</v>
      </c>
      <c r="Q2349" s="9" t="str">
        <f t="shared" si="113"/>
        <v/>
      </c>
      <c r="R2349" s="25">
        <f>IF(P2349="En programación Frcst.",VLOOKUP(L2349,Meses!$A$1:$H$14,3+HLOOKUP(Cronograma!J2349,Meses!$D$1:$G$2,2,FALSE),FALSE),
IF(P2349="En programación",M2349,""))</f>
        <v>45407</v>
      </c>
      <c r="S2349" s="25" t="str">
        <f t="shared" si="114"/>
        <v>2024/4</v>
      </c>
      <c r="T2349" s="21">
        <f>IFERROR(
(VLOOKUP(MONTH(R2349),Meses!$B$3:$C$14,2,FALSE)-DAY(R2349))/VLOOKUP(MONTH(R2349),Meses!$B$3:$C$14,2,FALSE)*U2349,
"")</f>
        <v>1186.3333333333333</v>
      </c>
      <c r="U2349" s="22">
        <f t="shared" si="115"/>
        <v>7118</v>
      </c>
    </row>
    <row r="2350" spans="1:21" ht="18" hidden="1" thickBot="1" x14ac:dyDescent="0.6">
      <c r="A2350" t="s">
        <v>3206</v>
      </c>
      <c r="B2350" t="s">
        <v>3255</v>
      </c>
      <c r="D2350" t="s">
        <v>44</v>
      </c>
      <c r="E2350" t="s">
        <v>44</v>
      </c>
      <c r="F2350" s="21">
        <v>5463</v>
      </c>
      <c r="G2350" t="s">
        <v>15</v>
      </c>
      <c r="I2350" t="s">
        <v>43</v>
      </c>
      <c r="J2350" s="10" t="s">
        <v>292</v>
      </c>
      <c r="K2350" t="s">
        <v>3325</v>
      </c>
      <c r="L2350" t="s">
        <v>2292</v>
      </c>
      <c r="M2350">
        <v>45407</v>
      </c>
      <c r="O2350" s="10"/>
      <c r="P2350" s="25" t="str">
        <f>IFERROR(
IF(OR(O2350="anulado",O2350="stand by"),CONCATENATE(O2350,": ",H2350),
IF(OR(YEAR(M2350)=2022,YEAR(M2350)=2023),CONCATENATE("Se activó en ",YEAR(M2350)),
IF(AND(OR(O2350="En proceso",O2350="facturando"),AND(J2350="-",M2350="")),"Por revisar",
IF(M2350="",IF(J2350="NUEVAS",CONCATENATE("Estado: ",O2350,", ",J2350),
IF(L2350=Meses!$A$3,"Por revisar",
IF(H2350="","Sin registro","En programación Frcst."))),"En programación")))),
"Error")</f>
        <v>En programación</v>
      </c>
      <c r="Q2350" s="9" t="str">
        <f t="shared" si="113"/>
        <v/>
      </c>
      <c r="R2350" s="25">
        <f>IF(P2350="En programación Frcst.",VLOOKUP(L2350,Meses!$A$1:$H$14,3+HLOOKUP(Cronograma!J2350,Meses!$D$1:$G$2,2,FALSE),FALSE),
IF(P2350="En programación",M2350,""))</f>
        <v>45407</v>
      </c>
      <c r="S2350" s="25" t="str">
        <f t="shared" si="114"/>
        <v>2024/4</v>
      </c>
      <c r="T2350" s="21">
        <f>IFERROR(
(VLOOKUP(MONTH(R2350),Meses!$B$3:$C$14,2,FALSE)-DAY(R2350))/VLOOKUP(MONTH(R2350),Meses!$B$3:$C$14,2,FALSE)*U2350,
"")</f>
        <v>910.5</v>
      </c>
      <c r="U2350" s="22">
        <f t="shared" si="115"/>
        <v>5463</v>
      </c>
    </row>
    <row r="2351" spans="1:21" ht="18" hidden="1" thickBot="1" x14ac:dyDescent="0.6">
      <c r="A2351" t="s">
        <v>3206</v>
      </c>
      <c r="B2351" t="s">
        <v>3256</v>
      </c>
      <c r="D2351" t="s">
        <v>44</v>
      </c>
      <c r="E2351" t="s">
        <v>44</v>
      </c>
      <c r="F2351" s="21">
        <v>6547</v>
      </c>
      <c r="G2351" t="s">
        <v>15</v>
      </c>
      <c r="I2351" t="s">
        <v>43</v>
      </c>
      <c r="J2351" s="10" t="s">
        <v>292</v>
      </c>
      <c r="K2351" t="s">
        <v>3325</v>
      </c>
      <c r="L2351" t="s">
        <v>2292</v>
      </c>
      <c r="M2351">
        <v>45407</v>
      </c>
      <c r="O2351" s="10"/>
      <c r="P2351" s="25" t="str">
        <f>IFERROR(
IF(OR(O2351="anulado",O2351="stand by"),CONCATENATE(O2351,": ",H2351),
IF(OR(YEAR(M2351)=2022,YEAR(M2351)=2023),CONCATENATE("Se activó en ",YEAR(M2351)),
IF(AND(OR(O2351="En proceso",O2351="facturando"),AND(J2351="-",M2351="")),"Por revisar",
IF(M2351="",IF(J2351="NUEVAS",CONCATENATE("Estado: ",O2351,", ",J2351),
IF(L2351=Meses!$A$3,"Por revisar",
IF(H2351="","Sin registro","En programación Frcst."))),"En programación")))),
"Error")</f>
        <v>En programación</v>
      </c>
      <c r="Q2351" s="9" t="str">
        <f t="shared" si="113"/>
        <v/>
      </c>
      <c r="R2351" s="25">
        <f>IF(P2351="En programación Frcst.",VLOOKUP(L2351,Meses!$A$1:$H$14,3+HLOOKUP(Cronograma!J2351,Meses!$D$1:$G$2,2,FALSE),FALSE),
IF(P2351="En programación",M2351,""))</f>
        <v>45407</v>
      </c>
      <c r="S2351" s="25" t="str">
        <f t="shared" si="114"/>
        <v>2024/4</v>
      </c>
      <c r="T2351" s="21">
        <f>IFERROR(
(VLOOKUP(MONTH(R2351),Meses!$B$3:$C$14,2,FALSE)-DAY(R2351))/VLOOKUP(MONTH(R2351),Meses!$B$3:$C$14,2,FALSE)*U2351,
"")</f>
        <v>1091.1666666666665</v>
      </c>
      <c r="U2351" s="22">
        <f t="shared" si="115"/>
        <v>6547</v>
      </c>
    </row>
    <row r="2352" spans="1:21" ht="18" hidden="1" thickBot="1" x14ac:dyDescent="0.6">
      <c r="A2352" t="s">
        <v>3206</v>
      </c>
      <c r="B2352" t="s">
        <v>3257</v>
      </c>
      <c r="D2352" t="s">
        <v>44</v>
      </c>
      <c r="E2352" t="s">
        <v>44</v>
      </c>
      <c r="F2352" s="21">
        <v>5747</v>
      </c>
      <c r="G2352" t="s">
        <v>15</v>
      </c>
      <c r="I2352" t="s">
        <v>43</v>
      </c>
      <c r="J2352" s="10" t="s">
        <v>292</v>
      </c>
      <c r="K2352" t="s">
        <v>3325</v>
      </c>
      <c r="L2352" t="s">
        <v>2292</v>
      </c>
      <c r="M2352">
        <v>45407</v>
      </c>
      <c r="O2352" s="10"/>
      <c r="P2352" s="25" t="str">
        <f>IFERROR(
IF(OR(O2352="anulado",O2352="stand by"),CONCATENATE(O2352,": ",H2352),
IF(OR(YEAR(M2352)=2022,YEAR(M2352)=2023),CONCATENATE("Se activó en ",YEAR(M2352)),
IF(AND(OR(O2352="En proceso",O2352="facturando"),AND(J2352="-",M2352="")),"Por revisar",
IF(M2352="",IF(J2352="NUEVAS",CONCATENATE("Estado: ",O2352,", ",J2352),
IF(L2352=Meses!$A$3,"Por revisar",
IF(H2352="","Sin registro","En programación Frcst."))),"En programación")))),
"Error")</f>
        <v>En programación</v>
      </c>
      <c r="Q2352" s="9" t="str">
        <f t="shared" si="113"/>
        <v/>
      </c>
      <c r="R2352" s="25">
        <f>IF(P2352="En programación Frcst.",VLOOKUP(L2352,Meses!$A$1:$H$14,3+HLOOKUP(Cronograma!J2352,Meses!$D$1:$G$2,2,FALSE),FALSE),
IF(P2352="En programación",M2352,""))</f>
        <v>45407</v>
      </c>
      <c r="S2352" s="25" t="str">
        <f t="shared" si="114"/>
        <v>2024/4</v>
      </c>
      <c r="T2352" s="21">
        <f>IFERROR(
(VLOOKUP(MONTH(R2352),Meses!$B$3:$C$14,2,FALSE)-DAY(R2352))/VLOOKUP(MONTH(R2352),Meses!$B$3:$C$14,2,FALSE)*U2352,
"")</f>
        <v>957.83333333333326</v>
      </c>
      <c r="U2352" s="22">
        <f t="shared" si="115"/>
        <v>5747</v>
      </c>
    </row>
    <row r="2353" spans="1:21" ht="18" hidden="1" thickBot="1" x14ac:dyDescent="0.6">
      <c r="A2353" t="s">
        <v>3206</v>
      </c>
      <c r="B2353" t="s">
        <v>3258</v>
      </c>
      <c r="D2353" t="s">
        <v>44</v>
      </c>
      <c r="E2353" t="s">
        <v>44</v>
      </c>
      <c r="F2353" s="21">
        <v>7050</v>
      </c>
      <c r="G2353" t="s">
        <v>15</v>
      </c>
      <c r="I2353" t="s">
        <v>43</v>
      </c>
      <c r="J2353" s="10" t="s">
        <v>292</v>
      </c>
      <c r="K2353" t="s">
        <v>3325</v>
      </c>
      <c r="L2353" t="s">
        <v>2292</v>
      </c>
      <c r="M2353">
        <v>45407</v>
      </c>
      <c r="O2353" s="10"/>
      <c r="P2353" s="25" t="str">
        <f>IFERROR(
IF(OR(O2353="anulado",O2353="stand by"),CONCATENATE(O2353,": ",H2353),
IF(OR(YEAR(M2353)=2022,YEAR(M2353)=2023),CONCATENATE("Se activó en ",YEAR(M2353)),
IF(AND(OR(O2353="En proceso",O2353="facturando"),AND(J2353="-",M2353="")),"Por revisar",
IF(M2353="",IF(J2353="NUEVAS",CONCATENATE("Estado: ",O2353,", ",J2353),
IF(L2353=Meses!$A$3,"Por revisar",
IF(H2353="","Sin registro","En programación Frcst."))),"En programación")))),
"Error")</f>
        <v>En programación</v>
      </c>
      <c r="Q2353" s="9" t="str">
        <f t="shared" ref="Q2353:Q2395" si="116">IF(P2353="Por revisar",CONCATENATE("programación de act. ",N2353,", estado: ",O2353,", Comercializador: ",D2353,", Etapa: ",H2353),"")</f>
        <v/>
      </c>
      <c r="R2353" s="25">
        <f>IF(P2353="En programación Frcst.",VLOOKUP(L2353,Meses!$A$1:$H$14,3+HLOOKUP(Cronograma!J2353,Meses!$D$1:$G$2,2,FALSE),FALSE),
IF(P2353="En programación",M2353,""))</f>
        <v>45407</v>
      </c>
      <c r="S2353" s="25" t="str">
        <f t="shared" ref="S2353:S2395" si="117">IFERROR(CONCATENATE(YEAR(R2353),"/",MONTH(R2353)),"")</f>
        <v>2024/4</v>
      </c>
      <c r="T2353" s="21">
        <f>IFERROR(
(VLOOKUP(MONTH(R2353),Meses!$B$3:$C$14,2,FALSE)-DAY(R2353))/VLOOKUP(MONTH(R2353),Meses!$B$3:$C$14,2,FALSE)*U2353,
"")</f>
        <v>1175</v>
      </c>
      <c r="U2353" s="22">
        <f t="shared" ref="U2353:U2395" si="118">F2353</f>
        <v>7050</v>
      </c>
    </row>
    <row r="2354" spans="1:21" ht="18" hidden="1" thickBot="1" x14ac:dyDescent="0.6">
      <c r="A2354" t="s">
        <v>3206</v>
      </c>
      <c r="B2354" t="s">
        <v>3259</v>
      </c>
      <c r="D2354" t="s">
        <v>74</v>
      </c>
      <c r="E2354" t="s">
        <v>74</v>
      </c>
      <c r="F2354" s="21">
        <v>35512</v>
      </c>
      <c r="G2354" t="s">
        <v>15</v>
      </c>
      <c r="I2354" t="s">
        <v>43</v>
      </c>
      <c r="J2354" s="10" t="s">
        <v>292</v>
      </c>
      <c r="K2354" t="s">
        <v>3325</v>
      </c>
      <c r="L2354" t="s">
        <v>2292</v>
      </c>
      <c r="M2354">
        <v>45407</v>
      </c>
      <c r="O2354" s="10"/>
      <c r="P2354" s="25" t="str">
        <f>IFERROR(
IF(OR(O2354="anulado",O2354="stand by"),CONCATENATE(O2354,": ",H2354),
IF(OR(YEAR(M2354)=2022,YEAR(M2354)=2023),CONCATENATE("Se activó en ",YEAR(M2354)),
IF(AND(OR(O2354="En proceso",O2354="facturando"),AND(J2354="-",M2354="")),"Por revisar",
IF(M2354="",IF(J2354="NUEVAS",CONCATENATE("Estado: ",O2354,", ",J2354),
IF(L2354=Meses!$A$3,"Por revisar",
IF(H2354="","Sin registro","En programación Frcst."))),"En programación")))),
"Error")</f>
        <v>En programación</v>
      </c>
      <c r="Q2354" s="9" t="str">
        <f t="shared" si="116"/>
        <v/>
      </c>
      <c r="R2354" s="25">
        <f>IF(P2354="En programación Frcst.",VLOOKUP(L2354,Meses!$A$1:$H$14,3+HLOOKUP(Cronograma!J2354,Meses!$D$1:$G$2,2,FALSE),FALSE),
IF(P2354="En programación",M2354,""))</f>
        <v>45407</v>
      </c>
      <c r="S2354" s="25" t="str">
        <f t="shared" si="117"/>
        <v>2024/4</v>
      </c>
      <c r="T2354" s="21">
        <f>IFERROR(
(VLOOKUP(MONTH(R2354),Meses!$B$3:$C$14,2,FALSE)-DAY(R2354))/VLOOKUP(MONTH(R2354),Meses!$B$3:$C$14,2,FALSE)*U2354,
"")</f>
        <v>5918.6666666666661</v>
      </c>
      <c r="U2354" s="22">
        <f t="shared" si="118"/>
        <v>35512</v>
      </c>
    </row>
    <row r="2355" spans="1:21" ht="18" hidden="1" thickBot="1" x14ac:dyDescent="0.6">
      <c r="A2355" t="s">
        <v>3206</v>
      </c>
      <c r="B2355" t="s">
        <v>3260</v>
      </c>
      <c r="D2355" t="s">
        <v>74</v>
      </c>
      <c r="E2355" t="s">
        <v>74</v>
      </c>
      <c r="F2355" s="21">
        <v>4561</v>
      </c>
      <c r="G2355" t="s">
        <v>15</v>
      </c>
      <c r="I2355" t="s">
        <v>43</v>
      </c>
      <c r="J2355" s="10" t="s">
        <v>292</v>
      </c>
      <c r="K2355" t="s">
        <v>3325</v>
      </c>
      <c r="L2355" t="s">
        <v>2292</v>
      </c>
      <c r="M2355">
        <v>45407</v>
      </c>
      <c r="O2355" s="10"/>
      <c r="P2355" s="25" t="str">
        <f>IFERROR(
IF(OR(O2355="anulado",O2355="stand by"),CONCATENATE(O2355,": ",H2355),
IF(OR(YEAR(M2355)=2022,YEAR(M2355)=2023),CONCATENATE("Se activó en ",YEAR(M2355)),
IF(AND(OR(O2355="En proceso",O2355="facturando"),AND(J2355="-",M2355="")),"Por revisar",
IF(M2355="",IF(J2355="NUEVAS",CONCATENATE("Estado: ",O2355,", ",J2355),
IF(L2355=Meses!$A$3,"Por revisar",
IF(H2355="","Sin registro","En programación Frcst."))),"En programación")))),
"Error")</f>
        <v>En programación</v>
      </c>
      <c r="Q2355" s="9" t="str">
        <f t="shared" si="116"/>
        <v/>
      </c>
      <c r="R2355" s="25">
        <f>IF(P2355="En programación Frcst.",VLOOKUP(L2355,Meses!$A$1:$H$14,3+HLOOKUP(Cronograma!J2355,Meses!$D$1:$G$2,2,FALSE),FALSE),
IF(P2355="En programación",M2355,""))</f>
        <v>45407</v>
      </c>
      <c r="S2355" s="25" t="str">
        <f t="shared" si="117"/>
        <v>2024/4</v>
      </c>
      <c r="T2355" s="21">
        <f>IFERROR(
(VLOOKUP(MONTH(R2355),Meses!$B$3:$C$14,2,FALSE)-DAY(R2355))/VLOOKUP(MONTH(R2355),Meses!$B$3:$C$14,2,FALSE)*U2355,
"")</f>
        <v>760.16666666666663</v>
      </c>
      <c r="U2355" s="22">
        <f t="shared" si="118"/>
        <v>4561</v>
      </c>
    </row>
    <row r="2356" spans="1:21" ht="18" hidden="1" thickBot="1" x14ac:dyDescent="0.6">
      <c r="A2356" t="s">
        <v>3206</v>
      </c>
      <c r="B2356" t="s">
        <v>3261</v>
      </c>
      <c r="D2356" t="s">
        <v>74</v>
      </c>
      <c r="E2356" t="s">
        <v>74</v>
      </c>
      <c r="F2356" s="21">
        <v>5447</v>
      </c>
      <c r="G2356" t="s">
        <v>15</v>
      </c>
      <c r="I2356" t="s">
        <v>43</v>
      </c>
      <c r="J2356" s="10" t="s">
        <v>292</v>
      </c>
      <c r="K2356" t="s">
        <v>3325</v>
      </c>
      <c r="L2356" t="s">
        <v>2292</v>
      </c>
      <c r="M2356">
        <v>45407</v>
      </c>
      <c r="O2356" s="10"/>
      <c r="P2356" s="25" t="str">
        <f>IFERROR(
IF(OR(O2356="anulado",O2356="stand by"),CONCATENATE(O2356,": ",H2356),
IF(OR(YEAR(M2356)=2022,YEAR(M2356)=2023),CONCATENATE("Se activó en ",YEAR(M2356)),
IF(AND(OR(O2356="En proceso",O2356="facturando"),AND(J2356="-",M2356="")),"Por revisar",
IF(M2356="",IF(J2356="NUEVAS",CONCATENATE("Estado: ",O2356,", ",J2356),
IF(L2356=Meses!$A$3,"Por revisar",
IF(H2356="","Sin registro","En programación Frcst."))),"En programación")))),
"Error")</f>
        <v>En programación</v>
      </c>
      <c r="Q2356" s="9" t="str">
        <f t="shared" si="116"/>
        <v/>
      </c>
      <c r="R2356" s="25">
        <f>IF(P2356="En programación Frcst.",VLOOKUP(L2356,Meses!$A$1:$H$14,3+HLOOKUP(Cronograma!J2356,Meses!$D$1:$G$2,2,FALSE),FALSE),
IF(P2356="En programación",M2356,""))</f>
        <v>45407</v>
      </c>
      <c r="S2356" s="25" t="str">
        <f t="shared" si="117"/>
        <v>2024/4</v>
      </c>
      <c r="T2356" s="21">
        <f>IFERROR(
(VLOOKUP(MONTH(R2356),Meses!$B$3:$C$14,2,FALSE)-DAY(R2356))/VLOOKUP(MONTH(R2356),Meses!$B$3:$C$14,2,FALSE)*U2356,
"")</f>
        <v>907.83333333333326</v>
      </c>
      <c r="U2356" s="22">
        <f t="shared" si="118"/>
        <v>5447</v>
      </c>
    </row>
    <row r="2357" spans="1:21" ht="18" hidden="1" thickBot="1" x14ac:dyDescent="0.6">
      <c r="A2357" t="s">
        <v>3206</v>
      </c>
      <c r="B2357" t="s">
        <v>3262</v>
      </c>
      <c r="D2357" t="s">
        <v>44</v>
      </c>
      <c r="E2357" t="s">
        <v>44</v>
      </c>
      <c r="F2357" s="21">
        <v>4932</v>
      </c>
      <c r="G2357" t="s">
        <v>15</v>
      </c>
      <c r="I2357" t="s">
        <v>43</v>
      </c>
      <c r="J2357" s="10" t="s">
        <v>292</v>
      </c>
      <c r="K2357" t="s">
        <v>3325</v>
      </c>
      <c r="L2357" t="s">
        <v>2292</v>
      </c>
      <c r="M2357">
        <v>45407</v>
      </c>
      <c r="O2357" s="10"/>
      <c r="P2357" s="25" t="str">
        <f>IFERROR(
IF(OR(O2357="anulado",O2357="stand by"),CONCATENATE(O2357,": ",H2357),
IF(OR(YEAR(M2357)=2022,YEAR(M2357)=2023),CONCATENATE("Se activó en ",YEAR(M2357)),
IF(AND(OR(O2357="En proceso",O2357="facturando"),AND(J2357="-",M2357="")),"Por revisar",
IF(M2357="",IF(J2357="NUEVAS",CONCATENATE("Estado: ",O2357,", ",J2357),
IF(L2357=Meses!$A$3,"Por revisar",
IF(H2357="","Sin registro","En programación Frcst."))),"En programación")))),
"Error")</f>
        <v>En programación</v>
      </c>
      <c r="Q2357" s="9" t="str">
        <f t="shared" si="116"/>
        <v/>
      </c>
      <c r="R2357" s="25">
        <f>IF(P2357="En programación Frcst.",VLOOKUP(L2357,Meses!$A$1:$H$14,3+HLOOKUP(Cronograma!J2357,Meses!$D$1:$G$2,2,FALSE),FALSE),
IF(P2357="En programación",M2357,""))</f>
        <v>45407</v>
      </c>
      <c r="S2357" s="25" t="str">
        <f t="shared" si="117"/>
        <v>2024/4</v>
      </c>
      <c r="T2357" s="21">
        <f>IFERROR(
(VLOOKUP(MONTH(R2357),Meses!$B$3:$C$14,2,FALSE)-DAY(R2357))/VLOOKUP(MONTH(R2357),Meses!$B$3:$C$14,2,FALSE)*U2357,
"")</f>
        <v>822</v>
      </c>
      <c r="U2357" s="22">
        <f t="shared" si="118"/>
        <v>4932</v>
      </c>
    </row>
    <row r="2358" spans="1:21" ht="18" hidden="1" thickBot="1" x14ac:dyDescent="0.6">
      <c r="A2358" t="s">
        <v>3206</v>
      </c>
      <c r="B2358" t="s">
        <v>3263</v>
      </c>
      <c r="D2358" t="s">
        <v>44</v>
      </c>
      <c r="E2358" t="s">
        <v>44</v>
      </c>
      <c r="F2358" s="21">
        <v>4871</v>
      </c>
      <c r="G2358" t="s">
        <v>15</v>
      </c>
      <c r="I2358" t="s">
        <v>43</v>
      </c>
      <c r="J2358" s="10" t="s">
        <v>292</v>
      </c>
      <c r="K2358" t="s">
        <v>3325</v>
      </c>
      <c r="L2358" t="s">
        <v>2292</v>
      </c>
      <c r="M2358">
        <v>45407</v>
      </c>
      <c r="O2358" s="10"/>
      <c r="P2358" s="25" t="str">
        <f>IFERROR(
IF(OR(O2358="anulado",O2358="stand by"),CONCATENATE(O2358,": ",H2358),
IF(OR(YEAR(M2358)=2022,YEAR(M2358)=2023),CONCATENATE("Se activó en ",YEAR(M2358)),
IF(AND(OR(O2358="En proceso",O2358="facturando"),AND(J2358="-",M2358="")),"Por revisar",
IF(M2358="",IF(J2358="NUEVAS",CONCATENATE("Estado: ",O2358,", ",J2358),
IF(L2358=Meses!$A$3,"Por revisar",
IF(H2358="","Sin registro","En programación Frcst."))),"En programación")))),
"Error")</f>
        <v>En programación</v>
      </c>
      <c r="Q2358" s="9" t="str">
        <f t="shared" si="116"/>
        <v/>
      </c>
      <c r="R2358" s="25">
        <f>IF(P2358="En programación Frcst.",VLOOKUP(L2358,Meses!$A$1:$H$14,3+HLOOKUP(Cronograma!J2358,Meses!$D$1:$G$2,2,FALSE),FALSE),
IF(P2358="En programación",M2358,""))</f>
        <v>45407</v>
      </c>
      <c r="S2358" s="25" t="str">
        <f t="shared" si="117"/>
        <v>2024/4</v>
      </c>
      <c r="T2358" s="21">
        <f>IFERROR(
(VLOOKUP(MONTH(R2358),Meses!$B$3:$C$14,2,FALSE)-DAY(R2358))/VLOOKUP(MONTH(R2358),Meses!$B$3:$C$14,2,FALSE)*U2358,
"")</f>
        <v>811.83333333333326</v>
      </c>
      <c r="U2358" s="22">
        <f t="shared" si="118"/>
        <v>4871</v>
      </c>
    </row>
    <row r="2359" spans="1:21" ht="18" hidden="1" thickBot="1" x14ac:dyDescent="0.6">
      <c r="A2359" t="s">
        <v>3206</v>
      </c>
      <c r="B2359" t="s">
        <v>3264</v>
      </c>
      <c r="D2359" t="s">
        <v>74</v>
      </c>
      <c r="E2359" t="s">
        <v>74</v>
      </c>
      <c r="F2359" s="21">
        <v>6104</v>
      </c>
      <c r="G2359" t="s">
        <v>15</v>
      </c>
      <c r="I2359" t="s">
        <v>43</v>
      </c>
      <c r="J2359" s="10" t="s">
        <v>292</v>
      </c>
      <c r="K2359" t="s">
        <v>3325</v>
      </c>
      <c r="L2359" t="s">
        <v>2292</v>
      </c>
      <c r="M2359">
        <v>45407</v>
      </c>
      <c r="O2359" s="10"/>
      <c r="P2359" s="25" t="str">
        <f>IFERROR(
IF(OR(O2359="anulado",O2359="stand by"),CONCATENATE(O2359,": ",H2359),
IF(OR(YEAR(M2359)=2022,YEAR(M2359)=2023),CONCATENATE("Se activó en ",YEAR(M2359)),
IF(AND(OR(O2359="En proceso",O2359="facturando"),AND(J2359="-",M2359="")),"Por revisar",
IF(M2359="",IF(J2359="NUEVAS",CONCATENATE("Estado: ",O2359,", ",J2359),
IF(L2359=Meses!$A$3,"Por revisar",
IF(H2359="","Sin registro","En programación Frcst."))),"En programación")))),
"Error")</f>
        <v>En programación</v>
      </c>
      <c r="Q2359" s="9" t="str">
        <f t="shared" si="116"/>
        <v/>
      </c>
      <c r="R2359" s="25">
        <f>IF(P2359="En programación Frcst.",VLOOKUP(L2359,Meses!$A$1:$H$14,3+HLOOKUP(Cronograma!J2359,Meses!$D$1:$G$2,2,FALSE),FALSE),
IF(P2359="En programación",M2359,""))</f>
        <v>45407</v>
      </c>
      <c r="S2359" s="25" t="str">
        <f t="shared" si="117"/>
        <v>2024/4</v>
      </c>
      <c r="T2359" s="21">
        <f>IFERROR(
(VLOOKUP(MONTH(R2359),Meses!$B$3:$C$14,2,FALSE)-DAY(R2359))/VLOOKUP(MONTH(R2359),Meses!$B$3:$C$14,2,FALSE)*U2359,
"")</f>
        <v>1017.3333333333333</v>
      </c>
      <c r="U2359" s="22">
        <f t="shared" si="118"/>
        <v>6104</v>
      </c>
    </row>
    <row r="2360" spans="1:21" ht="18" hidden="1" thickBot="1" x14ac:dyDescent="0.6">
      <c r="A2360" t="s">
        <v>3206</v>
      </c>
      <c r="B2360" t="s">
        <v>3265</v>
      </c>
      <c r="D2360" t="s">
        <v>44</v>
      </c>
      <c r="E2360" t="s">
        <v>44</v>
      </c>
      <c r="F2360" s="21">
        <v>4879</v>
      </c>
      <c r="G2360" t="s">
        <v>15</v>
      </c>
      <c r="I2360" t="s">
        <v>43</v>
      </c>
      <c r="J2360" s="10" t="s">
        <v>292</v>
      </c>
      <c r="K2360" t="s">
        <v>3325</v>
      </c>
      <c r="L2360" t="s">
        <v>2292</v>
      </c>
      <c r="M2360">
        <v>45407</v>
      </c>
      <c r="O2360" s="10"/>
      <c r="P2360" s="25" t="str">
        <f>IFERROR(
IF(OR(O2360="anulado",O2360="stand by"),CONCATENATE(O2360,": ",H2360),
IF(OR(YEAR(M2360)=2022,YEAR(M2360)=2023),CONCATENATE("Se activó en ",YEAR(M2360)),
IF(AND(OR(O2360="En proceso",O2360="facturando"),AND(J2360="-",M2360="")),"Por revisar",
IF(M2360="",IF(J2360="NUEVAS",CONCATENATE("Estado: ",O2360,", ",J2360),
IF(L2360=Meses!$A$3,"Por revisar",
IF(H2360="","Sin registro","En programación Frcst."))),"En programación")))),
"Error")</f>
        <v>En programación</v>
      </c>
      <c r="Q2360" s="9" t="str">
        <f t="shared" si="116"/>
        <v/>
      </c>
      <c r="R2360" s="25">
        <f>IF(P2360="En programación Frcst.",VLOOKUP(L2360,Meses!$A$1:$H$14,3+HLOOKUP(Cronograma!J2360,Meses!$D$1:$G$2,2,FALSE),FALSE),
IF(P2360="En programación",M2360,""))</f>
        <v>45407</v>
      </c>
      <c r="S2360" s="25" t="str">
        <f t="shared" si="117"/>
        <v>2024/4</v>
      </c>
      <c r="T2360" s="21">
        <f>IFERROR(
(VLOOKUP(MONTH(R2360),Meses!$B$3:$C$14,2,FALSE)-DAY(R2360))/VLOOKUP(MONTH(R2360),Meses!$B$3:$C$14,2,FALSE)*U2360,
"")</f>
        <v>813.16666666666663</v>
      </c>
      <c r="U2360" s="22">
        <f t="shared" si="118"/>
        <v>4879</v>
      </c>
    </row>
    <row r="2361" spans="1:21" ht="18" hidden="1" thickBot="1" x14ac:dyDescent="0.6">
      <c r="A2361" t="s">
        <v>3206</v>
      </c>
      <c r="B2361" t="s">
        <v>3266</v>
      </c>
      <c r="D2361" t="s">
        <v>44</v>
      </c>
      <c r="E2361" t="s">
        <v>44</v>
      </c>
      <c r="F2361" s="21">
        <v>5011</v>
      </c>
      <c r="G2361" t="s">
        <v>15</v>
      </c>
      <c r="I2361" t="s">
        <v>43</v>
      </c>
      <c r="J2361" s="10" t="s">
        <v>292</v>
      </c>
      <c r="K2361" t="s">
        <v>3325</v>
      </c>
      <c r="L2361" t="s">
        <v>2292</v>
      </c>
      <c r="M2361">
        <v>45407</v>
      </c>
      <c r="O2361" s="10"/>
      <c r="P2361" s="25" t="str">
        <f>IFERROR(
IF(OR(O2361="anulado",O2361="stand by"),CONCATENATE(O2361,": ",H2361),
IF(OR(YEAR(M2361)=2022,YEAR(M2361)=2023),CONCATENATE("Se activó en ",YEAR(M2361)),
IF(AND(OR(O2361="En proceso",O2361="facturando"),AND(J2361="-",M2361="")),"Por revisar",
IF(M2361="",IF(J2361="NUEVAS",CONCATENATE("Estado: ",O2361,", ",J2361),
IF(L2361=Meses!$A$3,"Por revisar",
IF(H2361="","Sin registro","En programación Frcst."))),"En programación")))),
"Error")</f>
        <v>En programación</v>
      </c>
      <c r="Q2361" s="9" t="str">
        <f t="shared" si="116"/>
        <v/>
      </c>
      <c r="R2361" s="25">
        <f>IF(P2361="En programación Frcst.",VLOOKUP(L2361,Meses!$A$1:$H$14,3+HLOOKUP(Cronograma!J2361,Meses!$D$1:$G$2,2,FALSE),FALSE),
IF(P2361="En programación",M2361,""))</f>
        <v>45407</v>
      </c>
      <c r="S2361" s="25" t="str">
        <f t="shared" si="117"/>
        <v>2024/4</v>
      </c>
      <c r="T2361" s="21">
        <f>IFERROR(
(VLOOKUP(MONTH(R2361),Meses!$B$3:$C$14,2,FALSE)-DAY(R2361))/VLOOKUP(MONTH(R2361),Meses!$B$3:$C$14,2,FALSE)*U2361,
"")</f>
        <v>835.16666666666663</v>
      </c>
      <c r="U2361" s="22">
        <f t="shared" si="118"/>
        <v>5011</v>
      </c>
    </row>
    <row r="2362" spans="1:21" ht="18" hidden="1" thickBot="1" x14ac:dyDescent="0.6">
      <c r="A2362" t="s">
        <v>3206</v>
      </c>
      <c r="B2362" t="s">
        <v>3267</v>
      </c>
      <c r="D2362" t="s">
        <v>44</v>
      </c>
      <c r="E2362" t="s">
        <v>44</v>
      </c>
      <c r="F2362" s="21">
        <v>4888</v>
      </c>
      <c r="G2362" t="s">
        <v>15</v>
      </c>
      <c r="I2362" t="s">
        <v>43</v>
      </c>
      <c r="J2362" s="10" t="s">
        <v>292</v>
      </c>
      <c r="K2362" t="s">
        <v>3325</v>
      </c>
      <c r="L2362" t="s">
        <v>2292</v>
      </c>
      <c r="M2362">
        <v>45407</v>
      </c>
      <c r="O2362" s="10"/>
      <c r="P2362" s="25" t="str">
        <f>IFERROR(
IF(OR(O2362="anulado",O2362="stand by"),CONCATENATE(O2362,": ",H2362),
IF(OR(YEAR(M2362)=2022,YEAR(M2362)=2023),CONCATENATE("Se activó en ",YEAR(M2362)),
IF(AND(OR(O2362="En proceso",O2362="facturando"),AND(J2362="-",M2362="")),"Por revisar",
IF(M2362="",IF(J2362="NUEVAS",CONCATENATE("Estado: ",O2362,", ",J2362),
IF(L2362=Meses!$A$3,"Por revisar",
IF(H2362="","Sin registro","En programación Frcst."))),"En programación")))),
"Error")</f>
        <v>En programación</v>
      </c>
      <c r="Q2362" s="9" t="str">
        <f t="shared" si="116"/>
        <v/>
      </c>
      <c r="R2362" s="25">
        <f>IF(P2362="En programación Frcst.",VLOOKUP(L2362,Meses!$A$1:$H$14,3+HLOOKUP(Cronograma!J2362,Meses!$D$1:$G$2,2,FALSE),FALSE),
IF(P2362="En programación",M2362,""))</f>
        <v>45407</v>
      </c>
      <c r="S2362" s="25" t="str">
        <f t="shared" si="117"/>
        <v>2024/4</v>
      </c>
      <c r="T2362" s="21">
        <f>IFERROR(
(VLOOKUP(MONTH(R2362),Meses!$B$3:$C$14,2,FALSE)-DAY(R2362))/VLOOKUP(MONTH(R2362),Meses!$B$3:$C$14,2,FALSE)*U2362,
"")</f>
        <v>814.66666666666663</v>
      </c>
      <c r="U2362" s="22">
        <f t="shared" si="118"/>
        <v>4888</v>
      </c>
    </row>
    <row r="2363" spans="1:21" ht="18" hidden="1" thickBot="1" x14ac:dyDescent="0.6">
      <c r="A2363" t="s">
        <v>3206</v>
      </c>
      <c r="B2363" t="s">
        <v>3268</v>
      </c>
      <c r="D2363" t="s">
        <v>44</v>
      </c>
      <c r="E2363" t="s">
        <v>44</v>
      </c>
      <c r="F2363" s="21">
        <v>5327</v>
      </c>
      <c r="G2363" t="s">
        <v>15</v>
      </c>
      <c r="I2363" t="s">
        <v>43</v>
      </c>
      <c r="J2363" s="10" t="s">
        <v>292</v>
      </c>
      <c r="K2363" t="s">
        <v>3325</v>
      </c>
      <c r="L2363" t="s">
        <v>2292</v>
      </c>
      <c r="M2363">
        <v>45407</v>
      </c>
      <c r="O2363" s="10"/>
      <c r="P2363" s="25" t="str">
        <f>IFERROR(
IF(OR(O2363="anulado",O2363="stand by"),CONCATENATE(O2363,": ",H2363),
IF(OR(YEAR(M2363)=2022,YEAR(M2363)=2023),CONCATENATE("Se activó en ",YEAR(M2363)),
IF(AND(OR(O2363="En proceso",O2363="facturando"),AND(J2363="-",M2363="")),"Por revisar",
IF(M2363="",IF(J2363="NUEVAS",CONCATENATE("Estado: ",O2363,", ",J2363),
IF(L2363=Meses!$A$3,"Por revisar",
IF(H2363="","Sin registro","En programación Frcst."))),"En programación")))),
"Error")</f>
        <v>En programación</v>
      </c>
      <c r="Q2363" s="9" t="str">
        <f t="shared" si="116"/>
        <v/>
      </c>
      <c r="R2363" s="25">
        <f>IF(P2363="En programación Frcst.",VLOOKUP(L2363,Meses!$A$1:$H$14,3+HLOOKUP(Cronograma!J2363,Meses!$D$1:$G$2,2,FALSE),FALSE),
IF(P2363="En programación",M2363,""))</f>
        <v>45407</v>
      </c>
      <c r="S2363" s="25" t="str">
        <f t="shared" si="117"/>
        <v>2024/4</v>
      </c>
      <c r="T2363" s="21">
        <f>IFERROR(
(VLOOKUP(MONTH(R2363),Meses!$B$3:$C$14,2,FALSE)-DAY(R2363))/VLOOKUP(MONTH(R2363),Meses!$B$3:$C$14,2,FALSE)*U2363,
"")</f>
        <v>887.83333333333326</v>
      </c>
      <c r="U2363" s="22">
        <f t="shared" si="118"/>
        <v>5327</v>
      </c>
    </row>
    <row r="2364" spans="1:21" ht="18" hidden="1" thickBot="1" x14ac:dyDescent="0.6">
      <c r="A2364" t="s">
        <v>3206</v>
      </c>
      <c r="B2364" t="s">
        <v>3269</v>
      </c>
      <c r="D2364" t="s">
        <v>44</v>
      </c>
      <c r="E2364" t="s">
        <v>44</v>
      </c>
      <c r="F2364" s="21">
        <v>5006</v>
      </c>
      <c r="G2364" t="s">
        <v>15</v>
      </c>
      <c r="I2364" t="s">
        <v>43</v>
      </c>
      <c r="J2364" s="10" t="s">
        <v>292</v>
      </c>
      <c r="K2364" t="s">
        <v>3325</v>
      </c>
      <c r="L2364" t="s">
        <v>2292</v>
      </c>
      <c r="M2364">
        <v>45407</v>
      </c>
      <c r="O2364" s="10"/>
      <c r="P2364" s="25" t="str">
        <f>IFERROR(
IF(OR(O2364="anulado",O2364="stand by"),CONCATENATE(O2364,": ",H2364),
IF(OR(YEAR(M2364)=2022,YEAR(M2364)=2023),CONCATENATE("Se activó en ",YEAR(M2364)),
IF(AND(OR(O2364="En proceso",O2364="facturando"),AND(J2364="-",M2364="")),"Por revisar",
IF(M2364="",IF(J2364="NUEVAS",CONCATENATE("Estado: ",O2364,", ",J2364),
IF(L2364=Meses!$A$3,"Por revisar",
IF(H2364="","Sin registro","En programación Frcst."))),"En programación")))),
"Error")</f>
        <v>En programación</v>
      </c>
      <c r="Q2364" s="9" t="str">
        <f t="shared" si="116"/>
        <v/>
      </c>
      <c r="R2364" s="25">
        <f>IF(P2364="En programación Frcst.",VLOOKUP(L2364,Meses!$A$1:$H$14,3+HLOOKUP(Cronograma!J2364,Meses!$D$1:$G$2,2,FALSE),FALSE),
IF(P2364="En programación",M2364,""))</f>
        <v>45407</v>
      </c>
      <c r="S2364" s="25" t="str">
        <f t="shared" si="117"/>
        <v>2024/4</v>
      </c>
      <c r="T2364" s="21">
        <f>IFERROR(
(VLOOKUP(MONTH(R2364),Meses!$B$3:$C$14,2,FALSE)-DAY(R2364))/VLOOKUP(MONTH(R2364),Meses!$B$3:$C$14,2,FALSE)*U2364,
"")</f>
        <v>834.33333333333326</v>
      </c>
      <c r="U2364" s="22">
        <f t="shared" si="118"/>
        <v>5006</v>
      </c>
    </row>
    <row r="2365" spans="1:21" ht="18" hidden="1" thickBot="1" x14ac:dyDescent="0.6">
      <c r="A2365" t="s">
        <v>3206</v>
      </c>
      <c r="B2365" t="s">
        <v>3270</v>
      </c>
      <c r="D2365" t="s">
        <v>44</v>
      </c>
      <c r="E2365" t="s">
        <v>44</v>
      </c>
      <c r="F2365" s="21">
        <v>4753</v>
      </c>
      <c r="G2365" t="s">
        <v>15</v>
      </c>
      <c r="I2365" t="s">
        <v>43</v>
      </c>
      <c r="J2365" s="10" t="s">
        <v>292</v>
      </c>
      <c r="K2365" t="s">
        <v>3325</v>
      </c>
      <c r="L2365" t="s">
        <v>2292</v>
      </c>
      <c r="M2365">
        <v>45407</v>
      </c>
      <c r="O2365" s="10"/>
      <c r="P2365" s="25" t="str">
        <f>IFERROR(
IF(OR(O2365="anulado",O2365="stand by"),CONCATENATE(O2365,": ",H2365),
IF(OR(YEAR(M2365)=2022,YEAR(M2365)=2023),CONCATENATE("Se activó en ",YEAR(M2365)),
IF(AND(OR(O2365="En proceso",O2365="facturando"),AND(J2365="-",M2365="")),"Por revisar",
IF(M2365="",IF(J2365="NUEVAS",CONCATENATE("Estado: ",O2365,", ",J2365),
IF(L2365=Meses!$A$3,"Por revisar",
IF(H2365="","Sin registro","En programación Frcst."))),"En programación")))),
"Error")</f>
        <v>En programación</v>
      </c>
      <c r="Q2365" s="9" t="str">
        <f t="shared" si="116"/>
        <v/>
      </c>
      <c r="R2365" s="25">
        <f>IF(P2365="En programación Frcst.",VLOOKUP(L2365,Meses!$A$1:$H$14,3+HLOOKUP(Cronograma!J2365,Meses!$D$1:$G$2,2,FALSE),FALSE),
IF(P2365="En programación",M2365,""))</f>
        <v>45407</v>
      </c>
      <c r="S2365" s="25" t="str">
        <f t="shared" si="117"/>
        <v>2024/4</v>
      </c>
      <c r="T2365" s="21">
        <f>IFERROR(
(VLOOKUP(MONTH(R2365),Meses!$B$3:$C$14,2,FALSE)-DAY(R2365))/VLOOKUP(MONTH(R2365),Meses!$B$3:$C$14,2,FALSE)*U2365,
"")</f>
        <v>792.16666666666663</v>
      </c>
      <c r="U2365" s="22">
        <f t="shared" si="118"/>
        <v>4753</v>
      </c>
    </row>
    <row r="2366" spans="1:21" ht="18" hidden="1" thickBot="1" x14ac:dyDescent="0.6">
      <c r="A2366" t="s">
        <v>3206</v>
      </c>
      <c r="B2366" t="s">
        <v>3271</v>
      </c>
      <c r="D2366" t="s">
        <v>74</v>
      </c>
      <c r="E2366" t="s">
        <v>74</v>
      </c>
      <c r="F2366" s="21">
        <v>5767</v>
      </c>
      <c r="G2366" t="s">
        <v>15</v>
      </c>
      <c r="I2366" t="s">
        <v>43</v>
      </c>
      <c r="J2366" s="10" t="s">
        <v>292</v>
      </c>
      <c r="K2366" t="s">
        <v>3325</v>
      </c>
      <c r="L2366" t="s">
        <v>2292</v>
      </c>
      <c r="M2366">
        <v>45407</v>
      </c>
      <c r="O2366" s="10"/>
      <c r="P2366" s="25" t="str">
        <f>IFERROR(
IF(OR(O2366="anulado",O2366="stand by"),CONCATENATE(O2366,": ",H2366),
IF(OR(YEAR(M2366)=2022,YEAR(M2366)=2023),CONCATENATE("Se activó en ",YEAR(M2366)),
IF(AND(OR(O2366="En proceso",O2366="facturando"),AND(J2366="-",M2366="")),"Por revisar",
IF(M2366="",IF(J2366="NUEVAS",CONCATENATE("Estado: ",O2366,", ",J2366),
IF(L2366=Meses!$A$3,"Por revisar",
IF(H2366="","Sin registro","En programación Frcst."))),"En programación")))),
"Error")</f>
        <v>En programación</v>
      </c>
      <c r="Q2366" s="9" t="str">
        <f t="shared" si="116"/>
        <v/>
      </c>
      <c r="R2366" s="25">
        <f>IF(P2366="En programación Frcst.",VLOOKUP(L2366,Meses!$A$1:$H$14,3+HLOOKUP(Cronograma!J2366,Meses!$D$1:$G$2,2,FALSE),FALSE),
IF(P2366="En programación",M2366,""))</f>
        <v>45407</v>
      </c>
      <c r="S2366" s="25" t="str">
        <f t="shared" si="117"/>
        <v>2024/4</v>
      </c>
      <c r="T2366" s="21">
        <f>IFERROR(
(VLOOKUP(MONTH(R2366),Meses!$B$3:$C$14,2,FALSE)-DAY(R2366))/VLOOKUP(MONTH(R2366),Meses!$B$3:$C$14,2,FALSE)*U2366,
"")</f>
        <v>961.16666666666663</v>
      </c>
      <c r="U2366" s="22">
        <f t="shared" si="118"/>
        <v>5767</v>
      </c>
    </row>
    <row r="2367" spans="1:21" ht="18" hidden="1" thickBot="1" x14ac:dyDescent="0.6">
      <c r="A2367" t="s">
        <v>3272</v>
      </c>
      <c r="B2367" t="s">
        <v>3273</v>
      </c>
      <c r="D2367" t="s">
        <v>44</v>
      </c>
      <c r="E2367" t="s">
        <v>44</v>
      </c>
      <c r="F2367" s="21">
        <v>4600</v>
      </c>
      <c r="G2367" t="s">
        <v>15</v>
      </c>
      <c r="I2367" t="s">
        <v>43</v>
      </c>
      <c r="J2367" s="10" t="s">
        <v>292</v>
      </c>
      <c r="K2367" t="s">
        <v>3325</v>
      </c>
      <c r="L2367" t="s">
        <v>2292</v>
      </c>
      <c r="M2367">
        <v>45407</v>
      </c>
      <c r="O2367" s="10"/>
      <c r="P2367" s="25" t="str">
        <f>IFERROR(
IF(OR(O2367="anulado",O2367="stand by"),CONCATENATE(O2367,": ",H2367),
IF(OR(YEAR(M2367)=2022,YEAR(M2367)=2023),CONCATENATE("Se activó en ",YEAR(M2367)),
IF(AND(OR(O2367="En proceso",O2367="facturando"),AND(J2367="-",M2367="")),"Por revisar",
IF(M2367="",IF(J2367="NUEVAS",CONCATENATE("Estado: ",O2367,", ",J2367),
IF(L2367=Meses!$A$3,"Por revisar",
IF(H2367="","Sin registro","En programación Frcst."))),"En programación")))),
"Error")</f>
        <v>En programación</v>
      </c>
      <c r="Q2367" s="9" t="str">
        <f t="shared" si="116"/>
        <v/>
      </c>
      <c r="R2367" s="25">
        <f>IF(P2367="En programación Frcst.",VLOOKUP(L2367,Meses!$A$1:$H$14,3+HLOOKUP(Cronograma!J2367,Meses!$D$1:$G$2,2,FALSE),FALSE),
IF(P2367="En programación",M2367,""))</f>
        <v>45407</v>
      </c>
      <c r="S2367" s="25" t="str">
        <f t="shared" si="117"/>
        <v>2024/4</v>
      </c>
      <c r="T2367" s="21">
        <f>IFERROR(
(VLOOKUP(MONTH(R2367),Meses!$B$3:$C$14,2,FALSE)-DAY(R2367))/VLOOKUP(MONTH(R2367),Meses!$B$3:$C$14,2,FALSE)*U2367,
"")</f>
        <v>766.66666666666663</v>
      </c>
      <c r="U2367" s="22">
        <f t="shared" si="118"/>
        <v>4600</v>
      </c>
    </row>
    <row r="2368" spans="1:21" ht="18" hidden="1" thickBot="1" x14ac:dyDescent="0.6">
      <c r="A2368" t="s">
        <v>3272</v>
      </c>
      <c r="B2368" t="s">
        <v>3274</v>
      </c>
      <c r="D2368" t="s">
        <v>44</v>
      </c>
      <c r="E2368" t="s">
        <v>44</v>
      </c>
      <c r="F2368" s="21">
        <v>3400</v>
      </c>
      <c r="G2368" t="s">
        <v>15</v>
      </c>
      <c r="I2368" t="s">
        <v>43</v>
      </c>
      <c r="J2368" s="10" t="s">
        <v>292</v>
      </c>
      <c r="K2368" t="s">
        <v>3325</v>
      </c>
      <c r="L2368" t="s">
        <v>2292</v>
      </c>
      <c r="M2368">
        <v>45407</v>
      </c>
      <c r="O2368" s="10"/>
      <c r="P2368" s="25" t="str">
        <f>IFERROR(
IF(OR(O2368="anulado",O2368="stand by"),CONCATENATE(O2368,": ",H2368),
IF(OR(YEAR(M2368)=2022,YEAR(M2368)=2023),CONCATENATE("Se activó en ",YEAR(M2368)),
IF(AND(OR(O2368="En proceso",O2368="facturando"),AND(J2368="-",M2368="")),"Por revisar",
IF(M2368="",IF(J2368="NUEVAS",CONCATENATE("Estado: ",O2368,", ",J2368),
IF(L2368=Meses!$A$3,"Por revisar",
IF(H2368="","Sin registro","En programación Frcst."))),"En programación")))),
"Error")</f>
        <v>En programación</v>
      </c>
      <c r="Q2368" s="9" t="str">
        <f t="shared" si="116"/>
        <v/>
      </c>
      <c r="R2368" s="25">
        <f>IF(P2368="En programación Frcst.",VLOOKUP(L2368,Meses!$A$1:$H$14,3+HLOOKUP(Cronograma!J2368,Meses!$D$1:$G$2,2,FALSE),FALSE),
IF(P2368="En programación",M2368,""))</f>
        <v>45407</v>
      </c>
      <c r="S2368" s="25" t="str">
        <f t="shared" si="117"/>
        <v>2024/4</v>
      </c>
      <c r="T2368" s="21">
        <f>IFERROR(
(VLOOKUP(MONTH(R2368),Meses!$B$3:$C$14,2,FALSE)-DAY(R2368))/VLOOKUP(MONTH(R2368),Meses!$B$3:$C$14,2,FALSE)*U2368,
"")</f>
        <v>566.66666666666663</v>
      </c>
      <c r="U2368" s="22">
        <f t="shared" si="118"/>
        <v>3400</v>
      </c>
    </row>
    <row r="2369" spans="1:21" ht="18" hidden="1" thickBot="1" x14ac:dyDescent="0.6">
      <c r="A2369" t="s">
        <v>3272</v>
      </c>
      <c r="B2369" t="s">
        <v>3275</v>
      </c>
      <c r="D2369" t="s">
        <v>44</v>
      </c>
      <c r="E2369" t="s">
        <v>44</v>
      </c>
      <c r="F2369" s="21">
        <v>2500</v>
      </c>
      <c r="G2369" t="s">
        <v>15</v>
      </c>
      <c r="I2369" t="s">
        <v>43</v>
      </c>
      <c r="J2369" s="10" t="s">
        <v>292</v>
      </c>
      <c r="K2369" t="s">
        <v>3325</v>
      </c>
      <c r="L2369" t="s">
        <v>2292</v>
      </c>
      <c r="M2369">
        <v>45407</v>
      </c>
      <c r="O2369" s="10"/>
      <c r="P2369" s="25" t="str">
        <f>IFERROR(
IF(OR(O2369="anulado",O2369="stand by"),CONCATENATE(O2369,": ",H2369),
IF(OR(YEAR(M2369)=2022,YEAR(M2369)=2023),CONCATENATE("Se activó en ",YEAR(M2369)),
IF(AND(OR(O2369="En proceso",O2369="facturando"),AND(J2369="-",M2369="")),"Por revisar",
IF(M2369="",IF(J2369="NUEVAS",CONCATENATE("Estado: ",O2369,", ",J2369),
IF(L2369=Meses!$A$3,"Por revisar",
IF(H2369="","Sin registro","En programación Frcst."))),"En programación")))),
"Error")</f>
        <v>En programación</v>
      </c>
      <c r="Q2369" s="9" t="str">
        <f t="shared" si="116"/>
        <v/>
      </c>
      <c r="R2369" s="25">
        <f>IF(P2369="En programación Frcst.",VLOOKUP(L2369,Meses!$A$1:$H$14,3+HLOOKUP(Cronograma!J2369,Meses!$D$1:$G$2,2,FALSE),FALSE),
IF(P2369="En programación",M2369,""))</f>
        <v>45407</v>
      </c>
      <c r="S2369" s="25" t="str">
        <f t="shared" si="117"/>
        <v>2024/4</v>
      </c>
      <c r="T2369" s="21">
        <f>IFERROR(
(VLOOKUP(MONTH(R2369),Meses!$B$3:$C$14,2,FALSE)-DAY(R2369))/VLOOKUP(MONTH(R2369),Meses!$B$3:$C$14,2,FALSE)*U2369,
"")</f>
        <v>416.66666666666663</v>
      </c>
      <c r="U2369" s="22">
        <f t="shared" si="118"/>
        <v>2500</v>
      </c>
    </row>
    <row r="2370" spans="1:21" ht="18" hidden="1" thickBot="1" x14ac:dyDescent="0.6">
      <c r="A2370" t="s">
        <v>3276</v>
      </c>
      <c r="B2370" t="s">
        <v>3277</v>
      </c>
      <c r="D2370" t="s">
        <v>74</v>
      </c>
      <c r="E2370" t="s">
        <v>74</v>
      </c>
      <c r="F2370" s="21">
        <v>3579</v>
      </c>
      <c r="G2370" t="s">
        <v>15</v>
      </c>
      <c r="I2370" t="s">
        <v>43</v>
      </c>
      <c r="J2370" s="10" t="s">
        <v>292</v>
      </c>
      <c r="K2370" t="s">
        <v>3325</v>
      </c>
      <c r="L2370" t="s">
        <v>2292</v>
      </c>
      <c r="M2370">
        <v>45407</v>
      </c>
      <c r="O2370" s="10"/>
      <c r="P2370" s="25" t="str">
        <f>IFERROR(
IF(OR(O2370="anulado",O2370="stand by"),CONCATENATE(O2370,": ",H2370),
IF(OR(YEAR(M2370)=2022,YEAR(M2370)=2023),CONCATENATE("Se activó en ",YEAR(M2370)),
IF(AND(OR(O2370="En proceso",O2370="facturando"),AND(J2370="-",M2370="")),"Por revisar",
IF(M2370="",IF(J2370="NUEVAS",CONCATENATE("Estado: ",O2370,", ",J2370),
IF(L2370=Meses!$A$3,"Por revisar",
IF(H2370="","Sin registro","En programación Frcst."))),"En programación")))),
"Error")</f>
        <v>En programación</v>
      </c>
      <c r="Q2370" s="9" t="str">
        <f t="shared" si="116"/>
        <v/>
      </c>
      <c r="R2370" s="25">
        <f>IF(P2370="En programación Frcst.",VLOOKUP(L2370,Meses!$A$1:$H$14,3+HLOOKUP(Cronograma!J2370,Meses!$D$1:$G$2,2,FALSE),FALSE),
IF(P2370="En programación",M2370,""))</f>
        <v>45407</v>
      </c>
      <c r="S2370" s="25" t="str">
        <f t="shared" si="117"/>
        <v>2024/4</v>
      </c>
      <c r="T2370" s="21">
        <f>IFERROR(
(VLOOKUP(MONTH(R2370),Meses!$B$3:$C$14,2,FALSE)-DAY(R2370))/VLOOKUP(MONTH(R2370),Meses!$B$3:$C$14,2,FALSE)*U2370,
"")</f>
        <v>596.5</v>
      </c>
      <c r="U2370" s="22">
        <f t="shared" si="118"/>
        <v>3579</v>
      </c>
    </row>
    <row r="2371" spans="1:21" ht="18" hidden="1" thickBot="1" x14ac:dyDescent="0.6">
      <c r="A2371" t="s">
        <v>3276</v>
      </c>
      <c r="B2371" t="s">
        <v>3278</v>
      </c>
      <c r="D2371" t="s">
        <v>74</v>
      </c>
      <c r="E2371" t="s">
        <v>74</v>
      </c>
      <c r="F2371" s="21">
        <v>971</v>
      </c>
      <c r="G2371" t="s">
        <v>15</v>
      </c>
      <c r="I2371" t="s">
        <v>43</v>
      </c>
      <c r="J2371" s="10" t="s">
        <v>292</v>
      </c>
      <c r="K2371" t="s">
        <v>3325</v>
      </c>
      <c r="L2371" t="s">
        <v>2292</v>
      </c>
      <c r="M2371">
        <v>45407</v>
      </c>
      <c r="O2371" s="10"/>
      <c r="P2371" s="25" t="str">
        <f>IFERROR(
IF(OR(O2371="anulado",O2371="stand by"),CONCATENATE(O2371,": ",H2371),
IF(OR(YEAR(M2371)=2022,YEAR(M2371)=2023),CONCATENATE("Se activó en ",YEAR(M2371)),
IF(AND(OR(O2371="En proceso",O2371="facturando"),AND(J2371="-",M2371="")),"Por revisar",
IF(M2371="",IF(J2371="NUEVAS",CONCATENATE("Estado: ",O2371,", ",J2371),
IF(L2371=Meses!$A$3,"Por revisar",
IF(H2371="","Sin registro","En programación Frcst."))),"En programación")))),
"Error")</f>
        <v>En programación</v>
      </c>
      <c r="Q2371" s="9" t="str">
        <f t="shared" si="116"/>
        <v/>
      </c>
      <c r="R2371" s="25">
        <f>IF(P2371="En programación Frcst.",VLOOKUP(L2371,Meses!$A$1:$H$14,3+HLOOKUP(Cronograma!J2371,Meses!$D$1:$G$2,2,FALSE),FALSE),
IF(P2371="En programación",M2371,""))</f>
        <v>45407</v>
      </c>
      <c r="S2371" s="25" t="str">
        <f t="shared" si="117"/>
        <v>2024/4</v>
      </c>
      <c r="T2371" s="21">
        <f>IFERROR(
(VLOOKUP(MONTH(R2371),Meses!$B$3:$C$14,2,FALSE)-DAY(R2371))/VLOOKUP(MONTH(R2371),Meses!$B$3:$C$14,2,FALSE)*U2371,
"")</f>
        <v>161.83333333333331</v>
      </c>
      <c r="U2371" s="22">
        <f t="shared" si="118"/>
        <v>971</v>
      </c>
    </row>
    <row r="2372" spans="1:21" ht="18" hidden="1" thickBot="1" x14ac:dyDescent="0.6">
      <c r="A2372" t="s">
        <v>3279</v>
      </c>
      <c r="B2372" t="s">
        <v>3280</v>
      </c>
      <c r="D2372" t="s">
        <v>74</v>
      </c>
      <c r="E2372" t="s">
        <v>74</v>
      </c>
      <c r="F2372" s="21">
        <v>3157</v>
      </c>
      <c r="G2372" t="s">
        <v>15</v>
      </c>
      <c r="I2372" t="s">
        <v>43</v>
      </c>
      <c r="J2372" s="10" t="s">
        <v>292</v>
      </c>
      <c r="K2372" t="s">
        <v>3325</v>
      </c>
      <c r="L2372" t="s">
        <v>2292</v>
      </c>
      <c r="M2372">
        <v>45407</v>
      </c>
      <c r="O2372" s="10"/>
      <c r="P2372" s="25" t="str">
        <f>IFERROR(
IF(OR(O2372="anulado",O2372="stand by"),CONCATENATE(O2372,": ",H2372),
IF(OR(YEAR(M2372)=2022,YEAR(M2372)=2023),CONCATENATE("Se activó en ",YEAR(M2372)),
IF(AND(OR(O2372="En proceso",O2372="facturando"),AND(J2372="-",M2372="")),"Por revisar",
IF(M2372="",IF(J2372="NUEVAS",CONCATENATE("Estado: ",O2372,", ",J2372),
IF(L2372=Meses!$A$3,"Por revisar",
IF(H2372="","Sin registro","En programación Frcst."))),"En programación")))),
"Error")</f>
        <v>En programación</v>
      </c>
      <c r="Q2372" s="9" t="str">
        <f t="shared" si="116"/>
        <v/>
      </c>
      <c r="R2372" s="25">
        <f>IF(P2372="En programación Frcst.",VLOOKUP(L2372,Meses!$A$1:$H$14,3+HLOOKUP(Cronograma!J2372,Meses!$D$1:$G$2,2,FALSE),FALSE),
IF(P2372="En programación",M2372,""))</f>
        <v>45407</v>
      </c>
      <c r="S2372" s="25" t="str">
        <f t="shared" si="117"/>
        <v>2024/4</v>
      </c>
      <c r="T2372" s="21">
        <f>IFERROR(
(VLOOKUP(MONTH(R2372),Meses!$B$3:$C$14,2,FALSE)-DAY(R2372))/VLOOKUP(MONTH(R2372),Meses!$B$3:$C$14,2,FALSE)*U2372,
"")</f>
        <v>526.16666666666663</v>
      </c>
      <c r="U2372" s="22">
        <f t="shared" si="118"/>
        <v>3157</v>
      </c>
    </row>
    <row r="2373" spans="1:21" ht="18" hidden="1" thickBot="1" x14ac:dyDescent="0.6">
      <c r="A2373" t="s">
        <v>3281</v>
      </c>
      <c r="B2373" t="s">
        <v>3282</v>
      </c>
      <c r="D2373" t="s">
        <v>74</v>
      </c>
      <c r="E2373" t="s">
        <v>74</v>
      </c>
      <c r="F2373" s="21">
        <v>43440</v>
      </c>
      <c r="G2373" t="s">
        <v>15</v>
      </c>
      <c r="I2373" t="s">
        <v>43</v>
      </c>
      <c r="J2373" s="10" t="s">
        <v>292</v>
      </c>
      <c r="K2373" t="s">
        <v>3325</v>
      </c>
      <c r="L2373" t="s">
        <v>2292</v>
      </c>
      <c r="M2373">
        <v>45407</v>
      </c>
      <c r="O2373" s="10"/>
      <c r="P2373" s="25" t="str">
        <f>IFERROR(
IF(OR(O2373="anulado",O2373="stand by"),CONCATENATE(O2373,": ",H2373),
IF(OR(YEAR(M2373)=2022,YEAR(M2373)=2023),CONCATENATE("Se activó en ",YEAR(M2373)),
IF(AND(OR(O2373="En proceso",O2373="facturando"),AND(J2373="-",M2373="")),"Por revisar",
IF(M2373="",IF(J2373="NUEVAS",CONCATENATE("Estado: ",O2373,", ",J2373),
IF(L2373=Meses!$A$3,"Por revisar",
IF(H2373="","Sin registro","En programación Frcst."))),"En programación")))),
"Error")</f>
        <v>En programación</v>
      </c>
      <c r="Q2373" s="9" t="str">
        <f t="shared" si="116"/>
        <v/>
      </c>
      <c r="R2373" s="25">
        <f>IF(P2373="En programación Frcst.",VLOOKUP(L2373,Meses!$A$1:$H$14,3+HLOOKUP(Cronograma!J2373,Meses!$D$1:$G$2,2,FALSE),FALSE),
IF(P2373="En programación",M2373,""))</f>
        <v>45407</v>
      </c>
      <c r="S2373" s="25" t="str">
        <f t="shared" si="117"/>
        <v>2024/4</v>
      </c>
      <c r="T2373" s="21">
        <f>IFERROR(
(VLOOKUP(MONTH(R2373),Meses!$B$3:$C$14,2,FALSE)-DAY(R2373))/VLOOKUP(MONTH(R2373),Meses!$B$3:$C$14,2,FALSE)*U2373,
"")</f>
        <v>7240</v>
      </c>
      <c r="U2373" s="22">
        <f t="shared" si="118"/>
        <v>43440</v>
      </c>
    </row>
    <row r="2374" spans="1:21" ht="18" hidden="1" thickBot="1" x14ac:dyDescent="0.6">
      <c r="A2374" t="s">
        <v>3283</v>
      </c>
      <c r="B2374" t="s">
        <v>3284</v>
      </c>
      <c r="D2374" t="s">
        <v>44</v>
      </c>
      <c r="E2374" t="s">
        <v>44</v>
      </c>
      <c r="F2374" s="21">
        <v>5000</v>
      </c>
      <c r="G2374" t="s">
        <v>15</v>
      </c>
      <c r="I2374" t="s">
        <v>43</v>
      </c>
      <c r="J2374" s="10" t="s">
        <v>292</v>
      </c>
      <c r="K2374" t="s">
        <v>3325</v>
      </c>
      <c r="L2374" t="s">
        <v>2292</v>
      </c>
      <c r="M2374">
        <v>45407</v>
      </c>
      <c r="O2374" s="10"/>
      <c r="P2374" s="25" t="str">
        <f>IFERROR(
IF(OR(O2374="anulado",O2374="stand by"),CONCATENATE(O2374,": ",H2374),
IF(OR(YEAR(M2374)=2022,YEAR(M2374)=2023),CONCATENATE("Se activó en ",YEAR(M2374)),
IF(AND(OR(O2374="En proceso",O2374="facturando"),AND(J2374="-",M2374="")),"Por revisar",
IF(M2374="",IF(J2374="NUEVAS",CONCATENATE("Estado: ",O2374,", ",J2374),
IF(L2374=Meses!$A$3,"Por revisar",
IF(H2374="","Sin registro","En programación Frcst."))),"En programación")))),
"Error")</f>
        <v>En programación</v>
      </c>
      <c r="Q2374" s="9" t="str">
        <f t="shared" si="116"/>
        <v/>
      </c>
      <c r="R2374" s="25">
        <f>IF(P2374="En programación Frcst.",VLOOKUP(L2374,Meses!$A$1:$H$14,3+HLOOKUP(Cronograma!J2374,Meses!$D$1:$G$2,2,FALSE),FALSE),
IF(P2374="En programación",M2374,""))</f>
        <v>45407</v>
      </c>
      <c r="S2374" s="25" t="str">
        <f t="shared" si="117"/>
        <v>2024/4</v>
      </c>
      <c r="T2374" s="21">
        <f>IFERROR(
(VLOOKUP(MONTH(R2374),Meses!$B$3:$C$14,2,FALSE)-DAY(R2374))/VLOOKUP(MONTH(R2374),Meses!$B$3:$C$14,2,FALSE)*U2374,
"")</f>
        <v>833.33333333333326</v>
      </c>
      <c r="U2374" s="22">
        <f t="shared" si="118"/>
        <v>5000</v>
      </c>
    </row>
    <row r="2375" spans="1:21" ht="18" hidden="1" thickBot="1" x14ac:dyDescent="0.6">
      <c r="A2375" t="s">
        <v>3285</v>
      </c>
      <c r="B2375" t="s">
        <v>3286</v>
      </c>
      <c r="D2375" t="s">
        <v>74</v>
      </c>
      <c r="E2375" t="s">
        <v>74</v>
      </c>
      <c r="F2375" s="21">
        <v>2000</v>
      </c>
      <c r="G2375" t="s">
        <v>15</v>
      </c>
      <c r="I2375" t="s">
        <v>43</v>
      </c>
      <c r="J2375" s="10" t="s">
        <v>292</v>
      </c>
      <c r="K2375" t="s">
        <v>3325</v>
      </c>
      <c r="L2375" t="s">
        <v>2292</v>
      </c>
      <c r="M2375">
        <v>45407</v>
      </c>
      <c r="O2375" s="10"/>
      <c r="P2375" s="25" t="str">
        <f>IFERROR(
IF(OR(O2375="anulado",O2375="stand by"),CONCATENATE(O2375,": ",H2375),
IF(OR(YEAR(M2375)=2022,YEAR(M2375)=2023),CONCATENATE("Se activó en ",YEAR(M2375)),
IF(AND(OR(O2375="En proceso",O2375="facturando"),AND(J2375="-",M2375="")),"Por revisar",
IF(M2375="",IF(J2375="NUEVAS",CONCATENATE("Estado: ",O2375,", ",J2375),
IF(L2375=Meses!$A$3,"Por revisar",
IF(H2375="","Sin registro","En programación Frcst."))),"En programación")))),
"Error")</f>
        <v>En programación</v>
      </c>
      <c r="Q2375" s="9" t="str">
        <f t="shared" si="116"/>
        <v/>
      </c>
      <c r="R2375" s="25">
        <f>IF(P2375="En programación Frcst.",VLOOKUP(L2375,Meses!$A$1:$H$14,3+HLOOKUP(Cronograma!J2375,Meses!$D$1:$G$2,2,FALSE),FALSE),
IF(P2375="En programación",M2375,""))</f>
        <v>45407</v>
      </c>
      <c r="S2375" s="25" t="str">
        <f t="shared" si="117"/>
        <v>2024/4</v>
      </c>
      <c r="T2375" s="21">
        <f>IFERROR(
(VLOOKUP(MONTH(R2375),Meses!$B$3:$C$14,2,FALSE)-DAY(R2375))/VLOOKUP(MONTH(R2375),Meses!$B$3:$C$14,2,FALSE)*U2375,
"")</f>
        <v>333.33333333333331</v>
      </c>
      <c r="U2375" s="22">
        <f t="shared" si="118"/>
        <v>2000</v>
      </c>
    </row>
    <row r="2376" spans="1:21" ht="18" hidden="1" thickBot="1" x14ac:dyDescent="0.6">
      <c r="A2376" t="s">
        <v>1231</v>
      </c>
      <c r="B2376" t="s">
        <v>3287</v>
      </c>
      <c r="D2376" t="s">
        <v>14</v>
      </c>
      <c r="E2376" t="s">
        <v>14</v>
      </c>
      <c r="F2376" s="21">
        <v>2590</v>
      </c>
      <c r="G2376" t="s">
        <v>15</v>
      </c>
      <c r="I2376" t="s">
        <v>18</v>
      </c>
      <c r="J2376" s="10" t="s">
        <v>277</v>
      </c>
      <c r="K2376" t="s">
        <v>3310</v>
      </c>
      <c r="L2376" t="s">
        <v>1120</v>
      </c>
      <c r="M2376">
        <v>45372</v>
      </c>
      <c r="O2376" s="10"/>
      <c r="P2376" s="25" t="str">
        <f>IFERROR(
IF(OR(O2376="anulado",O2376="stand by"),CONCATENATE(O2376,": ",H2376),
IF(OR(YEAR(M2376)=2022,YEAR(M2376)=2023),CONCATENATE("Se activó en ",YEAR(M2376)),
IF(AND(OR(O2376="En proceso",O2376="facturando"),AND(J2376="-",M2376="")),"Por revisar",
IF(M2376="",IF(J2376="NUEVAS",CONCATENATE("Estado: ",O2376,", ",J2376),
IF(L2376=Meses!$A$3,"Por revisar",
IF(H2376="","Sin registro","En programación Frcst."))),"En programación")))),
"Error")</f>
        <v>En programación</v>
      </c>
      <c r="Q2376" s="9" t="str">
        <f t="shared" si="116"/>
        <v/>
      </c>
      <c r="R2376" s="25">
        <f>IF(P2376="En programación Frcst.",VLOOKUP(L2376,Meses!$A$1:$H$14,3+HLOOKUP(Cronograma!J2376,Meses!$D$1:$G$2,2,FALSE),FALSE),
IF(P2376="En programación",M2376,""))</f>
        <v>45372</v>
      </c>
      <c r="S2376" s="25" t="str">
        <f t="shared" si="117"/>
        <v>2024/3</v>
      </c>
      <c r="T2376" s="21">
        <f>IFERROR(
(VLOOKUP(MONTH(R2376),Meses!$B$3:$C$14,2,FALSE)-DAY(R2376))/VLOOKUP(MONTH(R2376),Meses!$B$3:$C$14,2,FALSE)*U2376,
"")</f>
        <v>835.48387096774195</v>
      </c>
      <c r="U2376" s="22">
        <f t="shared" si="118"/>
        <v>2590</v>
      </c>
    </row>
    <row r="2377" spans="1:21" ht="18" hidden="1" thickBot="1" x14ac:dyDescent="0.6">
      <c r="A2377" t="s">
        <v>1231</v>
      </c>
      <c r="B2377" t="s">
        <v>3288</v>
      </c>
      <c r="D2377" t="s">
        <v>14</v>
      </c>
      <c r="E2377" t="s">
        <v>14</v>
      </c>
      <c r="F2377" s="21">
        <v>13680</v>
      </c>
      <c r="G2377" t="s">
        <v>15</v>
      </c>
      <c r="I2377" t="s">
        <v>18</v>
      </c>
      <c r="J2377" s="10" t="s">
        <v>277</v>
      </c>
      <c r="K2377" t="s">
        <v>3310</v>
      </c>
      <c r="L2377" t="s">
        <v>1120</v>
      </c>
      <c r="M2377">
        <v>45372</v>
      </c>
      <c r="O2377" s="10"/>
      <c r="P2377" s="25" t="str">
        <f>IFERROR(
IF(OR(O2377="anulado",O2377="stand by"),CONCATENATE(O2377,": ",H2377),
IF(OR(YEAR(M2377)=2022,YEAR(M2377)=2023),CONCATENATE("Se activó en ",YEAR(M2377)),
IF(AND(OR(O2377="En proceso",O2377="facturando"),AND(J2377="-",M2377="")),"Por revisar",
IF(M2377="",IF(J2377="NUEVAS",CONCATENATE("Estado: ",O2377,", ",J2377),
IF(L2377=Meses!$A$3,"Por revisar",
IF(H2377="","Sin registro","En programación Frcst."))),"En programación")))),
"Error")</f>
        <v>En programación</v>
      </c>
      <c r="Q2377" s="9" t="str">
        <f t="shared" si="116"/>
        <v/>
      </c>
      <c r="R2377" s="25">
        <f>IF(P2377="En programación Frcst.",VLOOKUP(L2377,Meses!$A$1:$H$14,3+HLOOKUP(Cronograma!J2377,Meses!$D$1:$G$2,2,FALSE),FALSE),
IF(P2377="En programación",M2377,""))</f>
        <v>45372</v>
      </c>
      <c r="S2377" s="25" t="str">
        <f t="shared" si="117"/>
        <v>2024/3</v>
      </c>
      <c r="T2377" s="21">
        <f>IFERROR(
(VLOOKUP(MONTH(R2377),Meses!$B$3:$C$14,2,FALSE)-DAY(R2377))/VLOOKUP(MONTH(R2377),Meses!$B$3:$C$14,2,FALSE)*U2377,
"")</f>
        <v>4412.9032258064517</v>
      </c>
      <c r="U2377" s="22">
        <f t="shared" si="118"/>
        <v>13680</v>
      </c>
    </row>
    <row r="2378" spans="1:21" ht="18" hidden="1" thickBot="1" x14ac:dyDescent="0.6">
      <c r="A2378" t="s">
        <v>1231</v>
      </c>
      <c r="B2378" t="s">
        <v>3289</v>
      </c>
      <c r="D2378" t="s">
        <v>14</v>
      </c>
      <c r="E2378" t="s">
        <v>14</v>
      </c>
      <c r="F2378" s="21">
        <v>46480</v>
      </c>
      <c r="G2378" t="s">
        <v>15</v>
      </c>
      <c r="I2378" t="s">
        <v>18</v>
      </c>
      <c r="J2378" s="10" t="s">
        <v>277</v>
      </c>
      <c r="K2378" t="s">
        <v>3310</v>
      </c>
      <c r="L2378" t="s">
        <v>1120</v>
      </c>
      <c r="M2378">
        <v>45372</v>
      </c>
      <c r="O2378" s="10"/>
      <c r="P2378" s="25" t="str">
        <f>IFERROR(
IF(OR(O2378="anulado",O2378="stand by"),CONCATENATE(O2378,": ",H2378),
IF(OR(YEAR(M2378)=2022,YEAR(M2378)=2023),CONCATENATE("Se activó en ",YEAR(M2378)),
IF(AND(OR(O2378="En proceso",O2378="facturando"),AND(J2378="-",M2378="")),"Por revisar",
IF(M2378="",IF(J2378="NUEVAS",CONCATENATE("Estado: ",O2378,", ",J2378),
IF(L2378=Meses!$A$3,"Por revisar",
IF(H2378="","Sin registro","En programación Frcst."))),"En programación")))),
"Error")</f>
        <v>En programación</v>
      </c>
      <c r="Q2378" s="9" t="str">
        <f t="shared" si="116"/>
        <v/>
      </c>
      <c r="R2378" s="25">
        <f>IF(P2378="En programación Frcst.",VLOOKUP(L2378,Meses!$A$1:$H$14,3+HLOOKUP(Cronograma!J2378,Meses!$D$1:$G$2,2,FALSE),FALSE),
IF(P2378="En programación",M2378,""))</f>
        <v>45372</v>
      </c>
      <c r="S2378" s="25" t="str">
        <f t="shared" si="117"/>
        <v>2024/3</v>
      </c>
      <c r="T2378" s="21">
        <f>IFERROR(
(VLOOKUP(MONTH(R2378),Meses!$B$3:$C$14,2,FALSE)-DAY(R2378))/VLOOKUP(MONTH(R2378),Meses!$B$3:$C$14,2,FALSE)*U2378,
"")</f>
        <v>14993.548387096775</v>
      </c>
      <c r="U2378" s="22">
        <f t="shared" si="118"/>
        <v>46480</v>
      </c>
    </row>
    <row r="2379" spans="1:21" ht="18" hidden="1" thickBot="1" x14ac:dyDescent="0.6">
      <c r="A2379" t="s">
        <v>3290</v>
      </c>
      <c r="B2379" t="s">
        <v>3291</v>
      </c>
      <c r="D2379" t="s">
        <v>44</v>
      </c>
      <c r="E2379" t="s">
        <v>44</v>
      </c>
      <c r="F2379" s="21">
        <v>7690</v>
      </c>
      <c r="G2379" t="s">
        <v>15</v>
      </c>
      <c r="I2379" t="s">
        <v>43</v>
      </c>
      <c r="J2379" s="10"/>
      <c r="O2379" s="10"/>
      <c r="P2379" s="25" t="str">
        <f>IFERROR(
IF(OR(O2379="anulado",O2379="stand by"),CONCATENATE(O2379,": ",H2379),
IF(OR(YEAR(M2379)=2022,YEAR(M2379)=2023),CONCATENATE("Se activó en ",YEAR(M2379)),
IF(AND(OR(O2379="En proceso",O2379="facturando"),AND(J2379="-",M2379="")),"Por revisar",
IF(M2379="",IF(J2379="NUEVAS",CONCATENATE("Estado: ",O2379,", ",J2379),
IF(L2379=Meses!$A$3,"Por revisar",
IF(H2379="","Sin registro","En programación Frcst."))),"En programación")))),
"Error")</f>
        <v>Sin registro</v>
      </c>
      <c r="Q2379" s="9" t="str">
        <f t="shared" si="116"/>
        <v/>
      </c>
      <c r="R2379" s="25" t="str">
        <f>IF(P2379="En programación Frcst.",VLOOKUP(L2379,Meses!$A$1:$H$14,3+HLOOKUP(Cronograma!J2379,Meses!$D$1:$G$2,2,FALSE),FALSE),
IF(P2379="En programación",M2379,""))</f>
        <v/>
      </c>
      <c r="S2379" s="25" t="str">
        <f t="shared" si="117"/>
        <v/>
      </c>
      <c r="T2379" s="21" t="str">
        <f>IFERROR(
(VLOOKUP(MONTH(R2379),Meses!$B$3:$C$14,2,FALSE)-DAY(R2379))/VLOOKUP(MONTH(R2379),Meses!$B$3:$C$14,2,FALSE)*U2379,
"")</f>
        <v/>
      </c>
      <c r="U2379" s="22">
        <f t="shared" si="118"/>
        <v>7690</v>
      </c>
    </row>
    <row r="2380" spans="1:21" ht="18" hidden="1" thickBot="1" x14ac:dyDescent="0.6">
      <c r="A2380" t="s">
        <v>3283</v>
      </c>
      <c r="B2380" t="s">
        <v>3292</v>
      </c>
      <c r="D2380" t="s">
        <v>44</v>
      </c>
      <c r="E2380" t="s">
        <v>44</v>
      </c>
      <c r="F2380" s="21">
        <v>500</v>
      </c>
      <c r="G2380" t="s">
        <v>15</v>
      </c>
      <c r="I2380" t="s">
        <v>43</v>
      </c>
      <c r="J2380" s="10"/>
      <c r="O2380" s="10"/>
      <c r="P2380" s="25" t="str">
        <f>IFERROR(
IF(OR(O2380="anulado",O2380="stand by"),CONCATENATE(O2380,": ",H2380),
IF(OR(YEAR(M2380)=2022,YEAR(M2380)=2023),CONCATENATE("Se activó en ",YEAR(M2380)),
IF(AND(OR(O2380="En proceso",O2380="facturando"),AND(J2380="-",M2380="")),"Por revisar",
IF(M2380="",IF(J2380="NUEVAS",CONCATENATE("Estado: ",O2380,", ",J2380),
IF(L2380=Meses!$A$3,"Por revisar",
IF(H2380="","Sin registro","En programación Frcst."))),"En programación")))),
"Error")</f>
        <v>Sin registro</v>
      </c>
      <c r="Q2380" s="9" t="str">
        <f t="shared" si="116"/>
        <v/>
      </c>
      <c r="R2380" s="25" t="str">
        <f>IF(P2380="En programación Frcst.",VLOOKUP(L2380,Meses!$A$1:$H$14,3+HLOOKUP(Cronograma!J2380,Meses!$D$1:$G$2,2,FALSE),FALSE),
IF(P2380="En programación",M2380,""))</f>
        <v/>
      </c>
      <c r="S2380" s="25" t="str">
        <f t="shared" si="117"/>
        <v/>
      </c>
      <c r="T2380" s="21" t="str">
        <f>IFERROR(
(VLOOKUP(MONTH(R2380),Meses!$B$3:$C$14,2,FALSE)-DAY(R2380))/VLOOKUP(MONTH(R2380),Meses!$B$3:$C$14,2,FALSE)*U2380,
"")</f>
        <v/>
      </c>
      <c r="U2380" s="22">
        <f t="shared" si="118"/>
        <v>500</v>
      </c>
    </row>
    <row r="2381" spans="1:21" ht="18" hidden="1" thickBot="1" x14ac:dyDescent="0.6">
      <c r="A2381" t="s">
        <v>3293</v>
      </c>
      <c r="B2381" t="s">
        <v>3294</v>
      </c>
      <c r="D2381" t="s">
        <v>44</v>
      </c>
      <c r="E2381" t="s">
        <v>44</v>
      </c>
      <c r="F2381" s="21">
        <v>5500</v>
      </c>
      <c r="G2381" t="s">
        <v>15</v>
      </c>
      <c r="I2381" t="s">
        <v>43</v>
      </c>
      <c r="J2381" s="10"/>
      <c r="O2381" s="10"/>
      <c r="P2381" s="25" t="str">
        <f>IFERROR(
IF(OR(O2381="anulado",O2381="stand by"),CONCATENATE(O2381,": ",H2381),
IF(OR(YEAR(M2381)=2022,YEAR(M2381)=2023),CONCATENATE("Se activó en ",YEAR(M2381)),
IF(AND(OR(O2381="En proceso",O2381="facturando"),AND(J2381="-",M2381="")),"Por revisar",
IF(M2381="",IF(J2381="NUEVAS",CONCATENATE("Estado: ",O2381,", ",J2381),
IF(L2381=Meses!$A$3,"Por revisar",
IF(H2381="","Sin registro","En programación Frcst."))),"En programación")))),
"Error")</f>
        <v>Sin registro</v>
      </c>
      <c r="Q2381" s="9" t="str">
        <f t="shared" si="116"/>
        <v/>
      </c>
      <c r="R2381" s="25" t="str">
        <f>IF(P2381="En programación Frcst.",VLOOKUP(L2381,Meses!$A$1:$H$14,3+HLOOKUP(Cronograma!J2381,Meses!$D$1:$G$2,2,FALSE),FALSE),
IF(P2381="En programación",M2381,""))</f>
        <v/>
      </c>
      <c r="S2381" s="25" t="str">
        <f t="shared" si="117"/>
        <v/>
      </c>
      <c r="T2381" s="21" t="str">
        <f>IFERROR(
(VLOOKUP(MONTH(R2381),Meses!$B$3:$C$14,2,FALSE)-DAY(R2381))/VLOOKUP(MONTH(R2381),Meses!$B$3:$C$14,2,FALSE)*U2381,
"")</f>
        <v/>
      </c>
      <c r="U2381" s="22">
        <f t="shared" si="118"/>
        <v>5500</v>
      </c>
    </row>
    <row r="2382" spans="1:21" ht="18" hidden="1" thickBot="1" x14ac:dyDescent="0.6">
      <c r="A2382" t="s">
        <v>3295</v>
      </c>
      <c r="B2382" t="s">
        <v>3296</v>
      </c>
      <c r="D2382" t="s">
        <v>44</v>
      </c>
      <c r="E2382" t="s">
        <v>44</v>
      </c>
      <c r="F2382" s="21">
        <v>22000</v>
      </c>
      <c r="G2382" t="s">
        <v>15</v>
      </c>
      <c r="I2382" t="s">
        <v>43</v>
      </c>
      <c r="J2382" s="10"/>
      <c r="O2382" s="10"/>
      <c r="P2382" s="25" t="str">
        <f>IFERROR(
IF(OR(O2382="anulado",O2382="stand by"),CONCATENATE(O2382,": ",H2382),
IF(OR(YEAR(M2382)=2022,YEAR(M2382)=2023),CONCATENATE("Se activó en ",YEAR(M2382)),
IF(AND(OR(O2382="En proceso",O2382="facturando"),AND(J2382="-",M2382="")),"Por revisar",
IF(M2382="",IF(J2382="NUEVAS",CONCATENATE("Estado: ",O2382,", ",J2382),
IF(L2382=Meses!$A$3,"Por revisar",
IF(H2382="","Sin registro","En programación Frcst."))),"En programación")))),
"Error")</f>
        <v>Sin registro</v>
      </c>
      <c r="Q2382" s="9" t="str">
        <f t="shared" si="116"/>
        <v/>
      </c>
      <c r="R2382" s="25" t="str">
        <f>IF(P2382="En programación Frcst.",VLOOKUP(L2382,Meses!$A$1:$H$14,3+HLOOKUP(Cronograma!J2382,Meses!$D$1:$G$2,2,FALSE),FALSE),
IF(P2382="En programación",M2382,""))</f>
        <v/>
      </c>
      <c r="S2382" s="25" t="str">
        <f t="shared" si="117"/>
        <v/>
      </c>
      <c r="T2382" s="21" t="str">
        <f>IFERROR(
(VLOOKUP(MONTH(R2382),Meses!$B$3:$C$14,2,FALSE)-DAY(R2382))/VLOOKUP(MONTH(R2382),Meses!$B$3:$C$14,2,FALSE)*U2382,
"")</f>
        <v/>
      </c>
      <c r="U2382" s="22">
        <f t="shared" si="118"/>
        <v>22000</v>
      </c>
    </row>
    <row r="2383" spans="1:21" ht="18" hidden="1" thickBot="1" x14ac:dyDescent="0.6">
      <c r="A2383" t="s">
        <v>1231</v>
      </c>
      <c r="B2383" t="s">
        <v>3297</v>
      </c>
      <c r="D2383" t="s">
        <v>14</v>
      </c>
      <c r="E2383" t="s">
        <v>14</v>
      </c>
      <c r="F2383" s="21">
        <v>10566</v>
      </c>
      <c r="G2383" t="s">
        <v>15</v>
      </c>
      <c r="I2383" t="s">
        <v>18</v>
      </c>
      <c r="J2383" s="10" t="s">
        <v>292</v>
      </c>
      <c r="K2383" t="s">
        <v>3325</v>
      </c>
      <c r="L2383" t="s">
        <v>2292</v>
      </c>
      <c r="M2383">
        <v>45408</v>
      </c>
      <c r="O2383" s="10"/>
      <c r="P2383" s="25" t="str">
        <f>IFERROR(
IF(OR(O2383="anulado",O2383="stand by"),CONCATENATE(O2383,": ",H2383),
IF(OR(YEAR(M2383)=2022,YEAR(M2383)=2023),CONCATENATE("Se activó en ",YEAR(M2383)),
IF(AND(OR(O2383="En proceso",O2383="facturando"),AND(J2383="-",M2383="")),"Por revisar",
IF(M2383="",IF(J2383="NUEVAS",CONCATENATE("Estado: ",O2383,", ",J2383),
IF(L2383=Meses!$A$3,"Por revisar",
IF(H2383="","Sin registro","En programación Frcst."))),"En programación")))),
"Error")</f>
        <v>En programación</v>
      </c>
      <c r="Q2383" s="9" t="str">
        <f t="shared" si="116"/>
        <v/>
      </c>
      <c r="R2383" s="25">
        <f>IF(P2383="En programación Frcst.",VLOOKUP(L2383,Meses!$A$1:$H$14,3+HLOOKUP(Cronograma!J2383,Meses!$D$1:$G$2,2,FALSE),FALSE),
IF(P2383="En programación",M2383,""))</f>
        <v>45408</v>
      </c>
      <c r="S2383" s="25" t="str">
        <f t="shared" si="117"/>
        <v>2024/4</v>
      </c>
      <c r="T2383" s="21">
        <f>IFERROR(
(VLOOKUP(MONTH(R2383),Meses!$B$3:$C$14,2,FALSE)-DAY(R2383))/VLOOKUP(MONTH(R2383),Meses!$B$3:$C$14,2,FALSE)*U2383,
"")</f>
        <v>1408.8</v>
      </c>
      <c r="U2383" s="22">
        <f t="shared" si="118"/>
        <v>10566</v>
      </c>
    </row>
    <row r="2384" spans="1:21" ht="18" hidden="1" thickBot="1" x14ac:dyDescent="0.6">
      <c r="A2384" t="s">
        <v>1231</v>
      </c>
      <c r="B2384" t="s">
        <v>3298</v>
      </c>
      <c r="D2384" t="s">
        <v>14</v>
      </c>
      <c r="E2384" t="s">
        <v>14</v>
      </c>
      <c r="F2384" s="21">
        <v>62040</v>
      </c>
      <c r="G2384" t="s">
        <v>15</v>
      </c>
      <c r="I2384" t="s">
        <v>18</v>
      </c>
      <c r="J2384" s="10" t="s">
        <v>292</v>
      </c>
      <c r="K2384" t="s">
        <v>3325</v>
      </c>
      <c r="L2384" t="s">
        <v>2292</v>
      </c>
      <c r="M2384">
        <v>45408</v>
      </c>
      <c r="O2384" s="10"/>
      <c r="P2384" s="25" t="str">
        <f>IFERROR(
IF(OR(O2384="anulado",O2384="stand by"),CONCATENATE(O2384,": ",H2384),
IF(OR(YEAR(M2384)=2022,YEAR(M2384)=2023),CONCATENATE("Se activó en ",YEAR(M2384)),
IF(AND(OR(O2384="En proceso",O2384="facturando"),AND(J2384="-",M2384="")),"Por revisar",
IF(M2384="",IF(J2384="NUEVAS",CONCATENATE("Estado: ",O2384,", ",J2384),
IF(L2384=Meses!$A$3,"Por revisar",
IF(H2384="","Sin registro","En programación Frcst."))),"En programación")))),
"Error")</f>
        <v>En programación</v>
      </c>
      <c r="Q2384" s="9" t="str">
        <f t="shared" si="116"/>
        <v/>
      </c>
      <c r="R2384" s="25">
        <f>IF(P2384="En programación Frcst.",VLOOKUP(L2384,Meses!$A$1:$H$14,3+HLOOKUP(Cronograma!J2384,Meses!$D$1:$G$2,2,FALSE),FALSE),
IF(P2384="En programación",M2384,""))</f>
        <v>45408</v>
      </c>
      <c r="S2384" s="25" t="str">
        <f t="shared" si="117"/>
        <v>2024/4</v>
      </c>
      <c r="T2384" s="21">
        <f>IFERROR(
(VLOOKUP(MONTH(R2384),Meses!$B$3:$C$14,2,FALSE)-DAY(R2384))/VLOOKUP(MONTH(R2384),Meses!$B$3:$C$14,2,FALSE)*U2384,
"")</f>
        <v>8272</v>
      </c>
      <c r="U2384" s="22">
        <f t="shared" si="118"/>
        <v>62040</v>
      </c>
    </row>
    <row r="2385" spans="1:21" ht="18" hidden="1" thickBot="1" x14ac:dyDescent="0.6">
      <c r="A2385" t="s">
        <v>1231</v>
      </c>
      <c r="B2385" t="s">
        <v>3299</v>
      </c>
      <c r="D2385" t="s">
        <v>14</v>
      </c>
      <c r="E2385" t="s">
        <v>14</v>
      </c>
      <c r="F2385" s="21">
        <v>76</v>
      </c>
      <c r="G2385" t="s">
        <v>15</v>
      </c>
      <c r="I2385" t="s">
        <v>18</v>
      </c>
      <c r="J2385" s="10" t="s">
        <v>292</v>
      </c>
      <c r="K2385" t="s">
        <v>3325</v>
      </c>
      <c r="L2385" t="s">
        <v>2292</v>
      </c>
      <c r="M2385">
        <v>45408</v>
      </c>
      <c r="O2385" s="10"/>
      <c r="P2385" s="25" t="str">
        <f>IFERROR(
IF(OR(O2385="anulado",O2385="stand by"),CONCATENATE(O2385,": ",H2385),
IF(OR(YEAR(M2385)=2022,YEAR(M2385)=2023),CONCATENATE("Se activó en ",YEAR(M2385)),
IF(AND(OR(O2385="En proceso",O2385="facturando"),AND(J2385="-",M2385="")),"Por revisar",
IF(M2385="",IF(J2385="NUEVAS",CONCATENATE("Estado: ",O2385,", ",J2385),
IF(L2385=Meses!$A$3,"Por revisar",
IF(H2385="","Sin registro","En programación Frcst."))),"En programación")))),
"Error")</f>
        <v>En programación</v>
      </c>
      <c r="Q2385" s="9" t="str">
        <f t="shared" si="116"/>
        <v/>
      </c>
      <c r="R2385" s="25">
        <f>IF(P2385="En programación Frcst.",VLOOKUP(L2385,Meses!$A$1:$H$14,3+HLOOKUP(Cronograma!J2385,Meses!$D$1:$G$2,2,FALSE),FALSE),
IF(P2385="En programación",M2385,""))</f>
        <v>45408</v>
      </c>
      <c r="S2385" s="25" t="str">
        <f t="shared" si="117"/>
        <v>2024/4</v>
      </c>
      <c r="T2385" s="21">
        <f>IFERROR(
(VLOOKUP(MONTH(R2385),Meses!$B$3:$C$14,2,FALSE)-DAY(R2385))/VLOOKUP(MONTH(R2385),Meses!$B$3:$C$14,2,FALSE)*U2385,
"")</f>
        <v>10.133333333333333</v>
      </c>
      <c r="U2385" s="22">
        <f t="shared" si="118"/>
        <v>76</v>
      </c>
    </row>
    <row r="2386" spans="1:21" ht="18" hidden="1" thickBot="1" x14ac:dyDescent="0.6">
      <c r="A2386" t="s">
        <v>3276</v>
      </c>
      <c r="B2386" t="s">
        <v>3300</v>
      </c>
      <c r="D2386" t="s">
        <v>44</v>
      </c>
      <c r="E2386" t="s">
        <v>44</v>
      </c>
      <c r="F2386" s="21">
        <v>51</v>
      </c>
      <c r="G2386" t="s">
        <v>15</v>
      </c>
      <c r="I2386" t="s">
        <v>43</v>
      </c>
      <c r="J2386" s="10"/>
      <c r="O2386" s="10"/>
      <c r="P2386" s="25" t="str">
        <f>IFERROR(
IF(OR(O2386="anulado",O2386="stand by"),CONCATENATE(O2386,": ",H2386),
IF(OR(YEAR(M2386)=2022,YEAR(M2386)=2023),CONCATENATE("Se activó en ",YEAR(M2386)),
IF(AND(OR(O2386="En proceso",O2386="facturando"),AND(J2386="-",M2386="")),"Por revisar",
IF(M2386="",IF(J2386="NUEVAS",CONCATENATE("Estado: ",O2386,", ",J2386),
IF(L2386=Meses!$A$3,"Por revisar",
IF(H2386="","Sin registro","En programación Frcst."))),"En programación")))),
"Error")</f>
        <v>Sin registro</v>
      </c>
      <c r="Q2386" s="9" t="str">
        <f t="shared" si="116"/>
        <v/>
      </c>
      <c r="R2386" s="25" t="str">
        <f>IF(P2386="En programación Frcst.",VLOOKUP(L2386,Meses!$A$1:$H$14,3+HLOOKUP(Cronograma!J2386,Meses!$D$1:$G$2,2,FALSE),FALSE),
IF(P2386="En programación",M2386,""))</f>
        <v/>
      </c>
      <c r="S2386" s="25" t="str">
        <f t="shared" si="117"/>
        <v/>
      </c>
      <c r="T2386" s="21" t="str">
        <f>IFERROR(
(VLOOKUP(MONTH(R2386),Meses!$B$3:$C$14,2,FALSE)-DAY(R2386))/VLOOKUP(MONTH(R2386),Meses!$B$3:$C$14,2,FALSE)*U2386,
"")</f>
        <v/>
      </c>
      <c r="U2386" s="22">
        <f t="shared" si="118"/>
        <v>51</v>
      </c>
    </row>
    <row r="2387" spans="1:21" ht="18" hidden="1" thickBot="1" x14ac:dyDescent="0.6">
      <c r="A2387" t="s">
        <v>3276</v>
      </c>
      <c r="B2387" t="s">
        <v>3301</v>
      </c>
      <c r="D2387" t="s">
        <v>44</v>
      </c>
      <c r="E2387" t="s">
        <v>44</v>
      </c>
      <c r="F2387" s="21">
        <v>11220</v>
      </c>
      <c r="G2387" t="s">
        <v>15</v>
      </c>
      <c r="I2387" t="s">
        <v>43</v>
      </c>
      <c r="J2387" s="10"/>
      <c r="O2387" s="10"/>
      <c r="P2387" s="25" t="str">
        <f>IFERROR(
IF(OR(O2387="anulado",O2387="stand by"),CONCATENATE(O2387,": ",H2387),
IF(OR(YEAR(M2387)=2022,YEAR(M2387)=2023),CONCATENATE("Se activó en ",YEAR(M2387)),
IF(AND(OR(O2387="En proceso",O2387="facturando"),AND(J2387="-",M2387="")),"Por revisar",
IF(M2387="",IF(J2387="NUEVAS",CONCATENATE("Estado: ",O2387,", ",J2387),
IF(L2387=Meses!$A$3,"Por revisar",
IF(H2387="","Sin registro","En programación Frcst."))),"En programación")))),
"Error")</f>
        <v>Sin registro</v>
      </c>
      <c r="Q2387" s="9" t="str">
        <f t="shared" si="116"/>
        <v/>
      </c>
      <c r="R2387" s="25" t="str">
        <f>IF(P2387="En programación Frcst.",VLOOKUP(L2387,Meses!$A$1:$H$14,3+HLOOKUP(Cronograma!J2387,Meses!$D$1:$G$2,2,FALSE),FALSE),
IF(P2387="En programación",M2387,""))</f>
        <v/>
      </c>
      <c r="S2387" s="25" t="str">
        <f t="shared" si="117"/>
        <v/>
      </c>
      <c r="T2387" s="21" t="str">
        <f>IFERROR(
(VLOOKUP(MONTH(R2387),Meses!$B$3:$C$14,2,FALSE)-DAY(R2387))/VLOOKUP(MONTH(R2387),Meses!$B$3:$C$14,2,FALSE)*U2387,
"")</f>
        <v/>
      </c>
      <c r="U2387" s="22">
        <f t="shared" si="118"/>
        <v>11220</v>
      </c>
    </row>
    <row r="2388" spans="1:21" ht="18" hidden="1" thickBot="1" x14ac:dyDescent="0.6">
      <c r="A2388" t="s">
        <v>3276</v>
      </c>
      <c r="B2388" t="s">
        <v>3302</v>
      </c>
      <c r="D2388" t="s">
        <v>44</v>
      </c>
      <c r="E2388" t="s">
        <v>44</v>
      </c>
      <c r="F2388" s="21">
        <v>7949</v>
      </c>
      <c r="G2388" t="s">
        <v>15</v>
      </c>
      <c r="I2388" t="s">
        <v>43</v>
      </c>
      <c r="J2388" s="10"/>
      <c r="O2388" s="10"/>
      <c r="P2388" s="25" t="str">
        <f>IFERROR(
IF(OR(O2388="anulado",O2388="stand by"),CONCATENATE(O2388,": ",H2388),
IF(OR(YEAR(M2388)=2022,YEAR(M2388)=2023),CONCATENATE("Se activó en ",YEAR(M2388)),
IF(AND(OR(O2388="En proceso",O2388="facturando"),AND(J2388="-",M2388="")),"Por revisar",
IF(M2388="",IF(J2388="NUEVAS",CONCATENATE("Estado: ",O2388,", ",J2388),
IF(L2388=Meses!$A$3,"Por revisar",
IF(H2388="","Sin registro","En programación Frcst."))),"En programación")))),
"Error")</f>
        <v>Sin registro</v>
      </c>
      <c r="Q2388" s="9" t="str">
        <f t="shared" si="116"/>
        <v/>
      </c>
      <c r="R2388" s="25" t="str">
        <f>IF(P2388="En programación Frcst.",VLOOKUP(L2388,Meses!$A$1:$H$14,3+HLOOKUP(Cronograma!J2388,Meses!$D$1:$G$2,2,FALSE),FALSE),
IF(P2388="En programación",M2388,""))</f>
        <v/>
      </c>
      <c r="S2388" s="25" t="str">
        <f t="shared" si="117"/>
        <v/>
      </c>
      <c r="T2388" s="21" t="str">
        <f>IFERROR(
(VLOOKUP(MONTH(R2388),Meses!$B$3:$C$14,2,FALSE)-DAY(R2388))/VLOOKUP(MONTH(R2388),Meses!$B$3:$C$14,2,FALSE)*U2388,
"")</f>
        <v/>
      </c>
      <c r="U2388" s="22">
        <f t="shared" si="118"/>
        <v>7949</v>
      </c>
    </row>
    <row r="2389" spans="1:21" ht="18" hidden="1" thickBot="1" x14ac:dyDescent="0.6">
      <c r="A2389" t="s">
        <v>3276</v>
      </c>
      <c r="B2389" t="s">
        <v>3303</v>
      </c>
      <c r="D2389" t="s">
        <v>44</v>
      </c>
      <c r="E2389" t="s">
        <v>44</v>
      </c>
      <c r="F2389" s="21">
        <v>5742</v>
      </c>
      <c r="G2389" t="s">
        <v>15</v>
      </c>
      <c r="I2389" t="s">
        <v>43</v>
      </c>
      <c r="J2389" s="10"/>
      <c r="O2389" s="10"/>
      <c r="P2389" s="25" t="str">
        <f>IFERROR(
IF(OR(O2389="anulado",O2389="stand by"),CONCATENATE(O2389,": ",H2389),
IF(OR(YEAR(M2389)=2022,YEAR(M2389)=2023),CONCATENATE("Se activó en ",YEAR(M2389)),
IF(AND(OR(O2389="En proceso",O2389="facturando"),AND(J2389="-",M2389="")),"Por revisar",
IF(M2389="",IF(J2389="NUEVAS",CONCATENATE("Estado: ",O2389,", ",J2389),
IF(L2389=Meses!$A$3,"Por revisar",
IF(H2389="","Sin registro","En programación Frcst."))),"En programación")))),
"Error")</f>
        <v>Sin registro</v>
      </c>
      <c r="Q2389" s="9" t="str">
        <f t="shared" si="116"/>
        <v/>
      </c>
      <c r="R2389" s="25" t="str">
        <f>IF(P2389="En programación Frcst.",VLOOKUP(L2389,Meses!$A$1:$H$14,3+HLOOKUP(Cronograma!J2389,Meses!$D$1:$G$2,2,FALSE),FALSE),
IF(P2389="En programación",M2389,""))</f>
        <v/>
      </c>
      <c r="S2389" s="25" t="str">
        <f t="shared" si="117"/>
        <v/>
      </c>
      <c r="T2389" s="21" t="str">
        <f>IFERROR(
(VLOOKUP(MONTH(R2389),Meses!$B$3:$C$14,2,FALSE)-DAY(R2389))/VLOOKUP(MONTH(R2389),Meses!$B$3:$C$14,2,FALSE)*U2389,
"")</f>
        <v/>
      </c>
      <c r="U2389" s="22">
        <f t="shared" si="118"/>
        <v>5742</v>
      </c>
    </row>
    <row r="2390" spans="1:21" ht="18" hidden="1" thickBot="1" x14ac:dyDescent="0.6">
      <c r="A2390" t="s">
        <v>3276</v>
      </c>
      <c r="B2390" t="s">
        <v>3304</v>
      </c>
      <c r="D2390" t="s">
        <v>74</v>
      </c>
      <c r="E2390" t="s">
        <v>74</v>
      </c>
      <c r="F2390" s="21">
        <v>3440</v>
      </c>
      <c r="G2390" t="s">
        <v>15</v>
      </c>
      <c r="I2390" t="s">
        <v>43</v>
      </c>
      <c r="J2390" s="10"/>
      <c r="O2390" s="10"/>
      <c r="P2390" s="25" t="str">
        <f>IFERROR(
IF(OR(O2390="anulado",O2390="stand by"),CONCATENATE(O2390,": ",H2390),
IF(OR(YEAR(M2390)=2022,YEAR(M2390)=2023),CONCATENATE("Se activó en ",YEAR(M2390)),
IF(AND(OR(O2390="En proceso",O2390="facturando"),AND(J2390="-",M2390="")),"Por revisar",
IF(M2390="",IF(J2390="NUEVAS",CONCATENATE("Estado: ",O2390,", ",J2390),
IF(L2390=Meses!$A$3,"Por revisar",
IF(H2390="","Sin registro","En programación Frcst."))),"En programación")))),
"Error")</f>
        <v>Sin registro</v>
      </c>
      <c r="Q2390" s="9" t="str">
        <f t="shared" si="116"/>
        <v/>
      </c>
      <c r="R2390" s="25" t="str">
        <f>IF(P2390="En programación Frcst.",VLOOKUP(L2390,Meses!$A$1:$H$14,3+HLOOKUP(Cronograma!J2390,Meses!$D$1:$G$2,2,FALSE),FALSE),
IF(P2390="En programación",M2390,""))</f>
        <v/>
      </c>
      <c r="S2390" s="25" t="str">
        <f t="shared" si="117"/>
        <v/>
      </c>
      <c r="T2390" s="21" t="str">
        <f>IFERROR(
(VLOOKUP(MONTH(R2390),Meses!$B$3:$C$14,2,FALSE)-DAY(R2390))/VLOOKUP(MONTH(R2390),Meses!$B$3:$C$14,2,FALSE)*U2390,
"")</f>
        <v/>
      </c>
      <c r="U2390" s="22">
        <f t="shared" si="118"/>
        <v>3440</v>
      </c>
    </row>
    <row r="2391" spans="1:21" ht="18" hidden="1" thickBot="1" x14ac:dyDescent="0.6">
      <c r="A2391" t="s">
        <v>3276</v>
      </c>
      <c r="B2391" t="s">
        <v>3305</v>
      </c>
      <c r="D2391" t="s">
        <v>74</v>
      </c>
      <c r="E2391" t="s">
        <v>74</v>
      </c>
      <c r="F2391" s="21">
        <v>4160</v>
      </c>
      <c r="G2391" t="s">
        <v>15</v>
      </c>
      <c r="I2391" t="s">
        <v>43</v>
      </c>
      <c r="J2391" s="10"/>
      <c r="O2391" s="10"/>
      <c r="P2391" s="25" t="str">
        <f>IFERROR(
IF(OR(O2391="anulado",O2391="stand by"),CONCATENATE(O2391,": ",H2391),
IF(OR(YEAR(M2391)=2022,YEAR(M2391)=2023),CONCATENATE("Se activó en ",YEAR(M2391)),
IF(AND(OR(O2391="En proceso",O2391="facturando"),AND(J2391="-",M2391="")),"Por revisar",
IF(M2391="",IF(J2391="NUEVAS",CONCATENATE("Estado: ",O2391,", ",J2391),
IF(L2391=Meses!$A$3,"Por revisar",
IF(H2391="","Sin registro","En programación Frcst."))),"En programación")))),
"Error")</f>
        <v>Sin registro</v>
      </c>
      <c r="Q2391" s="9" t="str">
        <f t="shared" si="116"/>
        <v/>
      </c>
      <c r="R2391" s="25" t="str">
        <f>IF(P2391="En programación Frcst.",VLOOKUP(L2391,Meses!$A$1:$H$14,3+HLOOKUP(Cronograma!J2391,Meses!$D$1:$G$2,2,FALSE),FALSE),
IF(P2391="En programación",M2391,""))</f>
        <v/>
      </c>
      <c r="S2391" s="25" t="str">
        <f t="shared" si="117"/>
        <v/>
      </c>
      <c r="T2391" s="21" t="str">
        <f>IFERROR(
(VLOOKUP(MONTH(R2391),Meses!$B$3:$C$14,2,FALSE)-DAY(R2391))/VLOOKUP(MONTH(R2391),Meses!$B$3:$C$14,2,FALSE)*U2391,
"")</f>
        <v/>
      </c>
      <c r="U2391" s="22">
        <f t="shared" si="118"/>
        <v>4160</v>
      </c>
    </row>
    <row r="2392" spans="1:21" ht="18" hidden="1" thickBot="1" x14ac:dyDescent="0.6">
      <c r="A2392" t="s">
        <v>3276</v>
      </c>
      <c r="B2392" t="s">
        <v>3306</v>
      </c>
      <c r="D2392" t="s">
        <v>74</v>
      </c>
      <c r="E2392" t="s">
        <v>74</v>
      </c>
      <c r="F2392" s="21">
        <v>77</v>
      </c>
      <c r="G2392" t="s">
        <v>15</v>
      </c>
      <c r="I2392" t="s">
        <v>43</v>
      </c>
      <c r="J2392" s="10"/>
      <c r="O2392" s="10"/>
      <c r="P2392" s="25" t="str">
        <f>IFERROR(
IF(OR(O2392="anulado",O2392="stand by"),CONCATENATE(O2392,": ",H2392),
IF(OR(YEAR(M2392)=2022,YEAR(M2392)=2023),CONCATENATE("Se activó en ",YEAR(M2392)),
IF(AND(OR(O2392="En proceso",O2392="facturando"),AND(J2392="-",M2392="")),"Por revisar",
IF(M2392="",IF(J2392="NUEVAS",CONCATENATE("Estado: ",O2392,", ",J2392),
IF(L2392=Meses!$A$3,"Por revisar",
IF(H2392="","Sin registro","En programación Frcst."))),"En programación")))),
"Error")</f>
        <v>Sin registro</v>
      </c>
      <c r="Q2392" s="9" t="str">
        <f t="shared" si="116"/>
        <v/>
      </c>
      <c r="R2392" s="25" t="str">
        <f>IF(P2392="En programación Frcst.",VLOOKUP(L2392,Meses!$A$1:$H$14,3+HLOOKUP(Cronograma!J2392,Meses!$D$1:$G$2,2,FALSE),FALSE),
IF(P2392="En programación",M2392,""))</f>
        <v/>
      </c>
      <c r="S2392" s="25" t="str">
        <f t="shared" si="117"/>
        <v/>
      </c>
      <c r="T2392" s="21" t="str">
        <f>IFERROR(
(VLOOKUP(MONTH(R2392),Meses!$B$3:$C$14,2,FALSE)-DAY(R2392))/VLOOKUP(MONTH(R2392),Meses!$B$3:$C$14,2,FALSE)*U2392,
"")</f>
        <v/>
      </c>
      <c r="U2392" s="22">
        <f t="shared" si="118"/>
        <v>77</v>
      </c>
    </row>
    <row r="2393" spans="1:21" ht="18" hidden="1" thickBot="1" x14ac:dyDescent="0.6">
      <c r="A2393" t="s">
        <v>3276</v>
      </c>
      <c r="B2393" t="s">
        <v>3307</v>
      </c>
      <c r="D2393" t="s">
        <v>74</v>
      </c>
      <c r="E2393" t="s">
        <v>74</v>
      </c>
      <c r="F2393" s="21">
        <v>2907</v>
      </c>
      <c r="G2393" t="s">
        <v>15</v>
      </c>
      <c r="I2393" t="s">
        <v>43</v>
      </c>
      <c r="J2393" s="10"/>
      <c r="O2393" s="10"/>
      <c r="P2393" s="25" t="str">
        <f>IFERROR(
IF(OR(O2393="anulado",O2393="stand by"),CONCATENATE(O2393,": ",H2393),
IF(OR(YEAR(M2393)=2022,YEAR(M2393)=2023),CONCATENATE("Se activó en ",YEAR(M2393)),
IF(AND(OR(O2393="En proceso",O2393="facturando"),AND(J2393="-",M2393="")),"Por revisar",
IF(M2393="",IF(J2393="NUEVAS",CONCATENATE("Estado: ",O2393,", ",J2393),
IF(L2393=Meses!$A$3,"Por revisar",
IF(H2393="","Sin registro","En programación Frcst."))),"En programación")))),
"Error")</f>
        <v>Sin registro</v>
      </c>
      <c r="Q2393" s="9" t="str">
        <f t="shared" si="116"/>
        <v/>
      </c>
      <c r="R2393" s="25" t="str">
        <f>IF(P2393="En programación Frcst.",VLOOKUP(L2393,Meses!$A$1:$H$14,3+HLOOKUP(Cronograma!J2393,Meses!$D$1:$G$2,2,FALSE),FALSE),
IF(P2393="En programación",M2393,""))</f>
        <v/>
      </c>
      <c r="S2393" s="25" t="str">
        <f t="shared" si="117"/>
        <v/>
      </c>
      <c r="T2393" s="21" t="str">
        <f>IFERROR(
(VLOOKUP(MONTH(R2393),Meses!$B$3:$C$14,2,FALSE)-DAY(R2393))/VLOOKUP(MONTH(R2393),Meses!$B$3:$C$14,2,FALSE)*U2393,
"")</f>
        <v/>
      </c>
      <c r="U2393" s="22">
        <f t="shared" si="118"/>
        <v>2907</v>
      </c>
    </row>
    <row r="2394" spans="1:21" ht="18" hidden="1" thickBot="1" x14ac:dyDescent="0.6">
      <c r="A2394" t="s">
        <v>3313</v>
      </c>
      <c r="B2394" t="s">
        <v>3314</v>
      </c>
      <c r="D2394" t="s">
        <v>44</v>
      </c>
      <c r="E2394" t="s">
        <v>44</v>
      </c>
      <c r="F2394" s="21">
        <v>5918</v>
      </c>
      <c r="G2394" t="s">
        <v>15</v>
      </c>
      <c r="I2394" t="s">
        <v>43</v>
      </c>
      <c r="J2394" s="10"/>
      <c r="O2394" s="10"/>
      <c r="P2394" s="25" t="str">
        <f>IFERROR(
IF(OR(O2394="anulado",O2394="stand by"),CONCATENATE(O2394,": ",H2394),
IF(OR(YEAR(M2394)=2022,YEAR(M2394)=2023),CONCATENATE("Se activó en ",YEAR(M2394)),
IF(AND(OR(O2394="En proceso",O2394="facturando"),AND(J2394="-",M2394="")),"Por revisar",
IF(M2394="",IF(J2394="NUEVAS",CONCATENATE("Estado: ",O2394,", ",J2394),
IF(L2394=Meses!$A$3,"Por revisar",
IF(H2394="","Sin registro","En programación Frcst."))),"En programación")))),
"Error")</f>
        <v>Sin registro</v>
      </c>
      <c r="Q2394" s="9" t="str">
        <f t="shared" si="116"/>
        <v/>
      </c>
      <c r="R2394" s="25" t="str">
        <f>IF(P2394="En programación Frcst.",VLOOKUP(L2394,Meses!$A$1:$H$14,3+HLOOKUP(Cronograma!J2394,Meses!$D$1:$G$2,2,FALSE),FALSE),
IF(P2394="En programación",M2394,""))</f>
        <v/>
      </c>
      <c r="S2394" s="25" t="str">
        <f t="shared" si="117"/>
        <v/>
      </c>
      <c r="T2394" s="21" t="str">
        <f>IFERROR(
(VLOOKUP(MONTH(R2394),Meses!$B$3:$C$14,2,FALSE)-DAY(R2394))/VLOOKUP(MONTH(R2394),Meses!$B$3:$C$14,2,FALSE)*U2394,
"")</f>
        <v/>
      </c>
      <c r="U2394" s="22">
        <f t="shared" si="118"/>
        <v>5918</v>
      </c>
    </row>
    <row r="2395" spans="1:21" ht="18" hidden="1" thickBot="1" x14ac:dyDescent="0.6">
      <c r="A2395" t="s">
        <v>3313</v>
      </c>
      <c r="B2395" t="s">
        <v>3315</v>
      </c>
      <c r="D2395" t="s">
        <v>44</v>
      </c>
      <c r="E2395" s="58" t="s">
        <v>44</v>
      </c>
      <c r="F2395" s="21">
        <v>7426</v>
      </c>
      <c r="G2395" t="s">
        <v>15</v>
      </c>
      <c r="I2395" t="s">
        <v>43</v>
      </c>
      <c r="J2395" s="10"/>
      <c r="O2395" s="10"/>
      <c r="P2395" s="25" t="str">
        <f>IFERROR(
IF(OR(O2395="anulado",O2395="stand by"),CONCATENATE(O2395,": ",H2395),
IF(OR(YEAR(M2395)=2022,YEAR(M2395)=2023),CONCATENATE("Se activó en ",YEAR(M2395)),
IF(AND(OR(O2395="En proceso",O2395="facturando"),AND(J2395="-",M2395="")),"Por revisar",
IF(M2395="",IF(J2395="NUEVAS",CONCATENATE("Estado: ",O2395,", ",J2395),
IF(L2395=Meses!$A$3,"Por revisar",
IF(H2395="","Sin registro","En programación Frcst."))),"En programación")))),
"Error")</f>
        <v>Sin registro</v>
      </c>
      <c r="Q2395" s="9" t="str">
        <f t="shared" si="116"/>
        <v/>
      </c>
      <c r="R2395" s="25" t="str">
        <f>IF(P2395="En programación Frcst.",VLOOKUP(L2395,Meses!$A$1:$H$14,3+HLOOKUP(Cronograma!J2395,Meses!$D$1:$G$2,2,FALSE),FALSE),
IF(P2395="En programación",M2395,""))</f>
        <v/>
      </c>
      <c r="S2395" s="25" t="str">
        <f t="shared" si="117"/>
        <v/>
      </c>
      <c r="T2395" s="21" t="str">
        <f>IFERROR(
(VLOOKUP(MONTH(R2395),Meses!$B$3:$C$14,2,FALSE)-DAY(R2395))/VLOOKUP(MONTH(R2395),Meses!$B$3:$C$14,2,FALSE)*U2395,
"")</f>
        <v/>
      </c>
      <c r="U2395" s="22">
        <f t="shared" si="118"/>
        <v>7426</v>
      </c>
    </row>
    <row r="2396" spans="1:21" ht="47.4" hidden="1" thickBot="1" x14ac:dyDescent="0.6">
      <c r="A2396" s="10" t="s">
        <v>3313</v>
      </c>
      <c r="B2396" s="10" t="s">
        <v>3316</v>
      </c>
      <c r="C2396" s="12"/>
      <c r="D2396" s="10" t="s">
        <v>44</v>
      </c>
      <c r="E2396" s="10" t="s">
        <v>44</v>
      </c>
      <c r="F2396" s="10">
        <v>5939</v>
      </c>
      <c r="G2396" s="10" t="s">
        <v>15</v>
      </c>
      <c r="H2396" s="10"/>
      <c r="I2396" s="10" t="s">
        <v>43</v>
      </c>
      <c r="J2396" s="10"/>
      <c r="K2396" s="10"/>
      <c r="L2396" s="10"/>
      <c r="M2396" s="12"/>
      <c r="N2396" s="10"/>
      <c r="O2396" s="10"/>
      <c r="P2396" s="25" t="str">
        <f>IFERROR(
IF(OR(O2396="anulado",O2396="stand by"),CONCATENATE(O2396,": ",H2396),
IF(OR(YEAR(M2396)=2022,YEAR(M2396)=2023),CONCATENATE("Se activó en ",YEAR(M2396)),
IF(AND(OR(O2396="En proceso",O2396="facturando"),AND(J2396="-",M2396="")),"Por revisar",
IF(M2396="",IF(J2396="NUEVAS",CONCATENATE("Estado: ",O2396,", ",J2396),
IF(L2396=Meses!$A$3,"Por revisar",
IF(H2396="","Sin registro","En programación Frcst."))),"En programación")))),
"Error")</f>
        <v>Sin registro</v>
      </c>
      <c r="Q2396" s="9" t="str">
        <f t="shared" ref="Q2396:Q2403" si="119">IF(P2396="Por revisar",CONCATENATE("programación de act. ",N2396,", estado: ",O2396,", Comercializador: ",D2396,", Etapa: ",H2396),"")</f>
        <v/>
      </c>
      <c r="R2396" s="25" t="str">
        <f>IF(P2396="En programación Frcst.",VLOOKUP(L2396,Meses!$A$1:$H$14,3+HLOOKUP(Cronograma!J2396,Meses!$D$1:$G$2,2,FALSE),FALSE),
IF(P2396="En programación",M2396,""))</f>
        <v/>
      </c>
      <c r="S2396" s="25" t="str">
        <f t="shared" ref="S2396:S2403" si="120">IFERROR(CONCATENATE(YEAR(R2396),"/",MONTH(R2396)),"")</f>
        <v/>
      </c>
      <c r="T2396" s="21" t="str">
        <f>IFERROR(
(VLOOKUP(MONTH(R2396),Meses!$B$3:$C$14,2,FALSE)-DAY(R2396))/VLOOKUP(MONTH(R2396),Meses!$B$3:$C$14,2,FALSE)*U2396,
"")</f>
        <v/>
      </c>
      <c r="U2396" s="22">
        <f t="shared" ref="U2396:U2403" si="121">F2396</f>
        <v>5939</v>
      </c>
    </row>
    <row r="2397" spans="1:21" ht="47.4" hidden="1" thickBot="1" x14ac:dyDescent="0.6">
      <c r="A2397" s="10" t="s">
        <v>3317</v>
      </c>
      <c r="B2397" s="10" t="s">
        <v>3318</v>
      </c>
      <c r="C2397" s="12"/>
      <c r="D2397" s="10" t="s">
        <v>14</v>
      </c>
      <c r="E2397" s="10" t="s">
        <v>14</v>
      </c>
      <c r="F2397" s="10">
        <v>13412</v>
      </c>
      <c r="G2397" s="10" t="s">
        <v>15</v>
      </c>
      <c r="H2397" s="10"/>
      <c r="I2397" s="10" t="s">
        <v>18</v>
      </c>
      <c r="J2397" s="10" t="s">
        <v>292</v>
      </c>
      <c r="K2397" s="10" t="s">
        <v>3325</v>
      </c>
      <c r="L2397" s="10" t="s">
        <v>2292</v>
      </c>
      <c r="M2397" s="12">
        <v>45408</v>
      </c>
      <c r="N2397" s="10"/>
      <c r="O2397" s="10"/>
      <c r="P2397" s="25" t="str">
        <f>IFERROR(
IF(OR(O2397="anulado",O2397="stand by"),CONCATENATE(O2397,": ",H2397),
IF(OR(YEAR(M2397)=2022,YEAR(M2397)=2023),CONCATENATE("Se activó en ",YEAR(M2397)),
IF(AND(OR(O2397="En proceso",O2397="facturando"),AND(J2397="-",M2397="")),"Por revisar",
IF(M2397="",IF(J2397="NUEVAS",CONCATENATE("Estado: ",O2397,", ",J2397),
IF(L2397=Meses!$A$3,"Por revisar",
IF(H2397="","Sin registro","En programación Frcst."))),"En programación")))),
"Error")</f>
        <v>En programación</v>
      </c>
      <c r="Q2397" s="9" t="str">
        <f t="shared" si="119"/>
        <v/>
      </c>
      <c r="R2397" s="25">
        <f>IF(P2397="En programación Frcst.",VLOOKUP(L2397,Meses!$A$1:$H$14,3+HLOOKUP(Cronograma!J2397,Meses!$D$1:$G$2,2,FALSE),FALSE),
IF(P2397="En programación",M2397,""))</f>
        <v>45408</v>
      </c>
      <c r="S2397" s="25" t="str">
        <f t="shared" si="120"/>
        <v>2024/4</v>
      </c>
      <c r="T2397" s="21">
        <f>IFERROR(
(VLOOKUP(MONTH(R2397),Meses!$B$3:$C$14,2,FALSE)-DAY(R2397))/VLOOKUP(MONTH(R2397),Meses!$B$3:$C$14,2,FALSE)*U2397,
"")</f>
        <v>1788.2666666666667</v>
      </c>
      <c r="U2397" s="22">
        <f t="shared" si="121"/>
        <v>13412</v>
      </c>
    </row>
    <row r="2398" spans="1:21" ht="63" hidden="1" thickBot="1" x14ac:dyDescent="0.6">
      <c r="A2398" s="10" t="s">
        <v>3319</v>
      </c>
      <c r="B2398" s="10" t="s">
        <v>3320</v>
      </c>
      <c r="C2398" s="12"/>
      <c r="D2398" s="10" t="s">
        <v>44</v>
      </c>
      <c r="E2398" s="10" t="s">
        <v>44</v>
      </c>
      <c r="F2398" s="10">
        <v>7000</v>
      </c>
      <c r="G2398" s="10" t="s">
        <v>15</v>
      </c>
      <c r="H2398" s="10"/>
      <c r="I2398" s="10" t="s">
        <v>43</v>
      </c>
      <c r="J2398" s="10"/>
      <c r="K2398" s="10"/>
      <c r="L2398" s="10"/>
      <c r="M2398" s="12"/>
      <c r="N2398" s="10"/>
      <c r="O2398" s="10"/>
      <c r="P2398" s="25" t="str">
        <f>IFERROR(
IF(OR(O2398="anulado",O2398="stand by"),CONCATENATE(O2398,": ",H2398),
IF(OR(YEAR(M2398)=2022,YEAR(M2398)=2023),CONCATENATE("Se activó en ",YEAR(M2398)),
IF(AND(OR(O2398="En proceso",O2398="facturando"),AND(J2398="-",M2398="")),"Por revisar",
IF(M2398="",IF(J2398="NUEVAS",CONCATENATE("Estado: ",O2398,", ",J2398),
IF(L2398=Meses!$A$3,"Por revisar",
IF(H2398="","Sin registro","En programación Frcst."))),"En programación")))),
"Error")</f>
        <v>Sin registro</v>
      </c>
      <c r="Q2398" s="9" t="str">
        <f t="shared" si="119"/>
        <v/>
      </c>
      <c r="R2398" s="25" t="str">
        <f>IF(P2398="En programación Frcst.",VLOOKUP(L2398,Meses!$A$1:$H$14,3+HLOOKUP(Cronograma!J2398,Meses!$D$1:$G$2,2,FALSE),FALSE),
IF(P2398="En programación",M2398,""))</f>
        <v/>
      </c>
      <c r="S2398" s="25" t="str">
        <f t="shared" si="120"/>
        <v/>
      </c>
      <c r="T2398" s="21" t="str">
        <f>IFERROR(
(VLOOKUP(MONTH(R2398),Meses!$B$3:$C$14,2,FALSE)-DAY(R2398))/VLOOKUP(MONTH(R2398),Meses!$B$3:$C$14,2,FALSE)*U2398,
"")</f>
        <v/>
      </c>
      <c r="U2398" s="22">
        <f t="shared" si="121"/>
        <v>7000</v>
      </c>
    </row>
    <row r="2399" spans="1:21" ht="31.8" hidden="1" thickBot="1" x14ac:dyDescent="0.6">
      <c r="A2399" s="10" t="s">
        <v>3321</v>
      </c>
      <c r="B2399" s="10" t="s">
        <v>3322</v>
      </c>
      <c r="C2399" s="12"/>
      <c r="D2399" s="10" t="s">
        <v>74</v>
      </c>
      <c r="E2399" s="10" t="s">
        <v>74</v>
      </c>
      <c r="F2399" s="10">
        <v>4610</v>
      </c>
      <c r="G2399" s="10" t="s">
        <v>15</v>
      </c>
      <c r="H2399" s="10"/>
      <c r="I2399" s="10" t="s">
        <v>43</v>
      </c>
      <c r="J2399" s="10"/>
      <c r="K2399" s="10"/>
      <c r="L2399" s="10"/>
      <c r="M2399" s="12"/>
      <c r="N2399" s="10"/>
      <c r="O2399" s="10"/>
      <c r="P2399" s="25" t="str">
        <f>IFERROR(
IF(OR(O2399="anulado",O2399="stand by"),CONCATENATE(O2399,": ",H2399),
IF(OR(YEAR(M2399)=2022,YEAR(M2399)=2023),CONCATENATE("Se activó en ",YEAR(M2399)),
IF(AND(OR(O2399="En proceso",O2399="facturando"),AND(J2399="-",M2399="")),"Por revisar",
IF(M2399="",IF(J2399="NUEVAS",CONCATENATE("Estado: ",O2399,", ",J2399),
IF(L2399=Meses!$A$3,"Por revisar",
IF(H2399="","Sin registro","En programación Frcst."))),"En programación")))),
"Error")</f>
        <v>Sin registro</v>
      </c>
      <c r="Q2399" s="9" t="str">
        <f t="shared" si="119"/>
        <v/>
      </c>
      <c r="R2399" s="25" t="str">
        <f>IF(P2399="En programación Frcst.",VLOOKUP(L2399,Meses!$A$1:$H$14,3+HLOOKUP(Cronograma!J2399,Meses!$D$1:$G$2,2,FALSE),FALSE),
IF(P2399="En programación",M2399,""))</f>
        <v/>
      </c>
      <c r="S2399" s="25" t="str">
        <f t="shared" si="120"/>
        <v/>
      </c>
      <c r="T2399" s="21" t="str">
        <f>IFERROR(
(VLOOKUP(MONTH(R2399),Meses!$B$3:$C$14,2,FALSE)-DAY(R2399))/VLOOKUP(MONTH(R2399),Meses!$B$3:$C$14,2,FALSE)*U2399,
"")</f>
        <v/>
      </c>
      <c r="U2399" s="22">
        <f t="shared" si="121"/>
        <v>4610</v>
      </c>
    </row>
    <row r="2400" spans="1:21" ht="31.8" hidden="1" thickBot="1" x14ac:dyDescent="0.6">
      <c r="A2400" s="10" t="s">
        <v>3321</v>
      </c>
      <c r="B2400" s="10" t="s">
        <v>3323</v>
      </c>
      <c r="C2400" s="12"/>
      <c r="D2400" s="10" t="s">
        <v>74</v>
      </c>
      <c r="E2400" s="10" t="s">
        <v>74</v>
      </c>
      <c r="F2400" s="10">
        <v>11046</v>
      </c>
      <c r="G2400" s="10" t="s">
        <v>15</v>
      </c>
      <c r="H2400" s="10"/>
      <c r="I2400" s="10" t="s">
        <v>43</v>
      </c>
      <c r="J2400" s="10"/>
      <c r="K2400" s="10"/>
      <c r="L2400" s="10"/>
      <c r="M2400" s="12"/>
      <c r="N2400" s="10"/>
      <c r="O2400" s="10"/>
      <c r="P2400" s="25" t="str">
        <f>IFERROR(
IF(OR(O2400="anulado",O2400="stand by"),CONCATENATE(O2400,": ",H2400),
IF(OR(YEAR(M2400)=2022,YEAR(M2400)=2023),CONCATENATE("Se activó en ",YEAR(M2400)),
IF(AND(OR(O2400="En proceso",O2400="facturando"),AND(J2400="-",M2400="")),"Por revisar",
IF(M2400="",IF(J2400="NUEVAS",CONCATENATE("Estado: ",O2400,", ",J2400),
IF(L2400=Meses!$A$3,"Por revisar",
IF(H2400="","Sin registro","En programación Frcst."))),"En programación")))),
"Error")</f>
        <v>Sin registro</v>
      </c>
      <c r="Q2400" s="9" t="str">
        <f t="shared" si="119"/>
        <v/>
      </c>
      <c r="R2400" s="25" t="str">
        <f>IF(P2400="En programación Frcst.",VLOOKUP(L2400,Meses!$A$1:$H$14,3+HLOOKUP(Cronograma!J2400,Meses!$D$1:$G$2,2,FALSE),FALSE),
IF(P2400="En programación",M2400,""))</f>
        <v/>
      </c>
      <c r="S2400" s="25" t="str">
        <f t="shared" si="120"/>
        <v/>
      </c>
      <c r="T2400" s="21" t="str">
        <f>IFERROR(
(VLOOKUP(MONTH(R2400),Meses!$B$3:$C$14,2,FALSE)-DAY(R2400))/VLOOKUP(MONTH(R2400),Meses!$B$3:$C$14,2,FALSE)*U2400,
"")</f>
        <v/>
      </c>
      <c r="U2400" s="22">
        <f t="shared" si="121"/>
        <v>11046</v>
      </c>
    </row>
    <row r="2401" spans="1:21" ht="31.8" hidden="1" thickBot="1" x14ac:dyDescent="0.6">
      <c r="A2401" s="10" t="s">
        <v>3321</v>
      </c>
      <c r="B2401" s="10" t="s">
        <v>3324</v>
      </c>
      <c r="C2401" s="12"/>
      <c r="D2401" s="10" t="s">
        <v>74</v>
      </c>
      <c r="E2401" s="10" t="s">
        <v>74</v>
      </c>
      <c r="F2401" s="10">
        <v>700</v>
      </c>
      <c r="G2401" s="10" t="s">
        <v>15</v>
      </c>
      <c r="H2401" s="10"/>
      <c r="I2401" s="10" t="s">
        <v>43</v>
      </c>
      <c r="J2401" s="10"/>
      <c r="K2401" s="10"/>
      <c r="L2401" s="10"/>
      <c r="M2401" s="12"/>
      <c r="N2401" s="10"/>
      <c r="O2401" s="10"/>
      <c r="P2401" s="25" t="str">
        <f>IFERROR(
IF(OR(O2401="anulado",O2401="stand by"),CONCATENATE(O2401,": ",H2401),
IF(OR(YEAR(M2401)=2022,YEAR(M2401)=2023),CONCATENATE("Se activó en ",YEAR(M2401)),
IF(AND(OR(O2401="En proceso",O2401="facturando"),AND(J2401="-",M2401="")),"Por revisar",
IF(M2401="",IF(J2401="NUEVAS",CONCATENATE("Estado: ",O2401,", ",J2401),
IF(L2401=Meses!$A$3,"Por revisar",
IF(H2401="","Sin registro","En programación Frcst."))),"En programación")))),
"Error")</f>
        <v>Sin registro</v>
      </c>
      <c r="Q2401" s="9" t="str">
        <f t="shared" si="119"/>
        <v/>
      </c>
      <c r="R2401" s="25" t="str">
        <f>IF(P2401="En programación Frcst.",VLOOKUP(L2401,Meses!$A$1:$H$14,3+HLOOKUP(Cronograma!J2401,Meses!$D$1:$G$2,2,FALSE),FALSE),
IF(P2401="En programación",M2401,""))</f>
        <v/>
      </c>
      <c r="S2401" s="25" t="str">
        <f t="shared" si="120"/>
        <v/>
      </c>
      <c r="T2401" s="21" t="str">
        <f>IFERROR(
(VLOOKUP(MONTH(R2401),Meses!$B$3:$C$14,2,FALSE)-DAY(R2401))/VLOOKUP(MONTH(R2401),Meses!$B$3:$C$14,2,FALSE)*U2401,
"")</f>
        <v/>
      </c>
      <c r="U2401" s="22">
        <f t="shared" si="121"/>
        <v>700</v>
      </c>
    </row>
    <row r="2402" spans="1:21" ht="63" hidden="1" thickBot="1" x14ac:dyDescent="0.6">
      <c r="A2402" s="10" t="s">
        <v>3328</v>
      </c>
      <c r="B2402" s="10" t="s">
        <v>3329</v>
      </c>
      <c r="C2402" s="12"/>
      <c r="D2402" s="10" t="s">
        <v>44</v>
      </c>
      <c r="E2402" s="10" t="s">
        <v>44</v>
      </c>
      <c r="F2402" s="10">
        <v>4000</v>
      </c>
      <c r="G2402" s="10" t="s">
        <v>15</v>
      </c>
      <c r="H2402" s="10"/>
      <c r="I2402" s="10" t="s">
        <v>43</v>
      </c>
      <c r="J2402" s="10"/>
      <c r="K2402" s="10"/>
      <c r="L2402" s="10"/>
      <c r="M2402" s="12"/>
      <c r="N2402" s="10"/>
      <c r="O2402" s="10"/>
      <c r="P2402" s="25" t="str">
        <f>IFERROR(
IF(OR(O2402="anulado",O2402="stand by"),CONCATENATE(O2402,": ",H2402),
IF(OR(YEAR(M2402)=2022,YEAR(M2402)=2023),CONCATENATE("Se activó en ",YEAR(M2402)),
IF(AND(OR(O2402="En proceso",O2402="facturando"),AND(J2402="-",M2402="")),"Por revisar",
IF(M2402="",IF(J2402="NUEVAS",CONCATENATE("Estado: ",O2402,", ",J2402),
IF(L2402=Meses!$A$3,"Por revisar",
IF(H2402="","Sin registro","En programación Frcst."))),"En programación")))),
"Error")</f>
        <v>Sin registro</v>
      </c>
      <c r="Q2402" s="9" t="str">
        <f t="shared" si="119"/>
        <v/>
      </c>
      <c r="R2402" s="25" t="str">
        <f>IF(P2402="En programación Frcst.",VLOOKUP(L2402,Meses!$A$1:$H$14,3+HLOOKUP(Cronograma!J2402,Meses!$D$1:$G$2,2,FALSE),FALSE),
IF(P2402="En programación",M2402,""))</f>
        <v/>
      </c>
      <c r="S2402" s="25" t="str">
        <f t="shared" si="120"/>
        <v/>
      </c>
      <c r="T2402" s="21" t="str">
        <f>IFERROR(
(VLOOKUP(MONTH(R2402),Meses!$B$3:$C$14,2,FALSE)-DAY(R2402))/VLOOKUP(MONTH(R2402),Meses!$B$3:$C$14,2,FALSE)*U2402,
"")</f>
        <v/>
      </c>
      <c r="U2402" s="22">
        <f t="shared" si="121"/>
        <v>4000</v>
      </c>
    </row>
    <row r="2403" spans="1:21" ht="47.4" hidden="1" thickBot="1" x14ac:dyDescent="0.6">
      <c r="A2403" s="10" t="s">
        <v>3330</v>
      </c>
      <c r="B2403" s="10" t="s">
        <v>3331</v>
      </c>
      <c r="C2403" s="12"/>
      <c r="D2403" s="10" t="s">
        <v>14</v>
      </c>
      <c r="E2403" s="10" t="s">
        <v>14</v>
      </c>
      <c r="F2403" s="10">
        <v>13500</v>
      </c>
      <c r="G2403" s="10" t="s">
        <v>15</v>
      </c>
      <c r="H2403" s="10"/>
      <c r="I2403" s="10" t="s">
        <v>18</v>
      </c>
      <c r="J2403" s="10" t="s">
        <v>292</v>
      </c>
      <c r="K2403" s="10" t="s">
        <v>3325</v>
      </c>
      <c r="L2403" s="10" t="s">
        <v>2292</v>
      </c>
      <c r="M2403" s="12">
        <v>45408</v>
      </c>
      <c r="N2403" s="10"/>
      <c r="O2403" s="10"/>
      <c r="P2403" s="25" t="str">
        <f>IFERROR(
IF(OR(O2403="anulado",O2403="stand by"),CONCATENATE(O2403,": ",H2403),
IF(OR(YEAR(M2403)=2022,YEAR(M2403)=2023),CONCATENATE("Se activó en ",YEAR(M2403)),
IF(AND(OR(O2403="En proceso",O2403="facturando"),AND(J2403="-",M2403="")),"Por revisar",
IF(M2403="",IF(J2403="NUEVAS",CONCATENATE("Estado: ",O2403,", ",J2403),
IF(L2403=Meses!$A$3,"Por revisar",
IF(H2403="","Sin registro","En programación Frcst."))),"En programación")))),
"Error")</f>
        <v>En programación</v>
      </c>
      <c r="Q2403" s="9" t="str">
        <f t="shared" si="119"/>
        <v/>
      </c>
      <c r="R2403" s="25">
        <f>IF(P2403="En programación Frcst.",VLOOKUP(L2403,Meses!$A$1:$H$14,3+HLOOKUP(Cronograma!J2403,Meses!$D$1:$G$2,2,FALSE),FALSE),
IF(P2403="En programación",M2403,""))</f>
        <v>45408</v>
      </c>
      <c r="S2403" s="25" t="str">
        <f t="shared" si="120"/>
        <v>2024/4</v>
      </c>
      <c r="T2403" s="21">
        <f>IFERROR(
(VLOOKUP(MONTH(R2403),Meses!$B$3:$C$14,2,FALSE)-DAY(R2403))/VLOOKUP(MONTH(R2403),Meses!$B$3:$C$14,2,FALSE)*U2403,
"")</f>
        <v>1800</v>
      </c>
      <c r="U2403" s="22">
        <f t="shared" si="121"/>
        <v>13500</v>
      </c>
    </row>
    <row r="2404" spans="1:21" ht="47.4" hidden="1" thickBot="1" x14ac:dyDescent="0.6">
      <c r="A2404" s="10" t="s">
        <v>3330</v>
      </c>
      <c r="B2404" s="10" t="s">
        <v>3332</v>
      </c>
      <c r="C2404" s="12"/>
      <c r="D2404" s="10" t="s">
        <v>14</v>
      </c>
      <c r="E2404" s="10" t="s">
        <v>14</v>
      </c>
      <c r="F2404" s="10">
        <v>3500</v>
      </c>
      <c r="G2404" s="10" t="s">
        <v>15</v>
      </c>
      <c r="H2404" s="10"/>
      <c r="I2404" s="10" t="s">
        <v>18</v>
      </c>
      <c r="J2404" s="10" t="s">
        <v>292</v>
      </c>
      <c r="K2404" s="10" t="s">
        <v>3325</v>
      </c>
      <c r="L2404" s="10" t="s">
        <v>2292</v>
      </c>
      <c r="M2404" s="12">
        <v>45408</v>
      </c>
      <c r="N2404" s="10"/>
      <c r="O2404" s="10"/>
      <c r="P2404" s="25" t="str">
        <f>IFERROR(
IF(OR(O2404="anulado",O2404="stand by"),CONCATENATE(O2404,": ",H2404),
IF(OR(YEAR(M2404)=2022,YEAR(M2404)=2023),CONCATENATE("Se activó en ",YEAR(M2404)),
IF(AND(OR(O2404="En proceso",O2404="facturando"),AND(J2404="-",M2404="")),"Por revisar",
IF(M2404="",IF(J2404="NUEVAS",CONCATENATE("Estado: ",O2404,", ",J2404),
IF(L2404=Meses!$A$3,"Por revisar",
IF(H2404="","Sin registro","En programación Frcst."))),"En programación")))),
"Error")</f>
        <v>En programación</v>
      </c>
      <c r="Q2404" s="9" t="str">
        <f t="shared" ref="Q2404:Q2467" si="122">IF(P2404="Por revisar",CONCATENATE("programación de act. ",N2404,", estado: ",O2404,", Comercializador: ",D2404,", Etapa: ",H2404),"")</f>
        <v/>
      </c>
      <c r="R2404" s="25">
        <f>IF(P2404="En programación Frcst.",VLOOKUP(L2404,Meses!$A$1:$H$14,3+HLOOKUP(Cronograma!J2404,Meses!$D$1:$G$2,2,FALSE),FALSE),
IF(P2404="En programación",M2404,""))</f>
        <v>45408</v>
      </c>
      <c r="S2404" s="25" t="str">
        <f t="shared" ref="S2404:S2467" si="123">IFERROR(CONCATENATE(YEAR(R2404),"/",MONTH(R2404)),"")</f>
        <v>2024/4</v>
      </c>
      <c r="T2404" s="21">
        <f>IFERROR(
(VLOOKUP(MONTH(R2404),Meses!$B$3:$C$14,2,FALSE)-DAY(R2404))/VLOOKUP(MONTH(R2404),Meses!$B$3:$C$14,2,FALSE)*U2404,
"")</f>
        <v>466.66666666666669</v>
      </c>
      <c r="U2404" s="22">
        <f t="shared" ref="U2404:U2467" si="124">F2404</f>
        <v>3500</v>
      </c>
    </row>
    <row r="2405" spans="1:21" ht="47.4" hidden="1" thickBot="1" x14ac:dyDescent="0.6">
      <c r="A2405" s="10" t="s">
        <v>3330</v>
      </c>
      <c r="B2405" s="10" t="s">
        <v>3333</v>
      </c>
      <c r="C2405" s="12"/>
      <c r="D2405" s="10" t="s">
        <v>14</v>
      </c>
      <c r="E2405" s="10" t="s">
        <v>14</v>
      </c>
      <c r="F2405" s="10">
        <v>1700</v>
      </c>
      <c r="G2405" s="10" t="s">
        <v>15</v>
      </c>
      <c r="H2405" s="10"/>
      <c r="I2405" s="10" t="s">
        <v>18</v>
      </c>
      <c r="J2405" s="10" t="s">
        <v>292</v>
      </c>
      <c r="K2405" s="10" t="s">
        <v>3325</v>
      </c>
      <c r="L2405" s="10" t="s">
        <v>2292</v>
      </c>
      <c r="M2405" s="12">
        <v>45408</v>
      </c>
      <c r="N2405" s="10"/>
      <c r="O2405" s="10"/>
      <c r="P2405" s="25" t="str">
        <f>IFERROR(
IF(OR(O2405="anulado",O2405="stand by"),CONCATENATE(O2405,": ",H2405),
IF(OR(YEAR(M2405)=2022,YEAR(M2405)=2023),CONCATENATE("Se activó en ",YEAR(M2405)),
IF(AND(OR(O2405="En proceso",O2405="facturando"),AND(J2405="-",M2405="")),"Por revisar",
IF(M2405="",IF(J2405="NUEVAS",CONCATENATE("Estado: ",O2405,", ",J2405),
IF(L2405=Meses!$A$3,"Por revisar",
IF(H2405="","Sin registro","En programación Frcst."))),"En programación")))),
"Error")</f>
        <v>En programación</v>
      </c>
      <c r="Q2405" s="9" t="str">
        <f t="shared" si="122"/>
        <v/>
      </c>
      <c r="R2405" s="25">
        <f>IF(P2405="En programación Frcst.",VLOOKUP(L2405,Meses!$A$1:$H$14,3+HLOOKUP(Cronograma!J2405,Meses!$D$1:$G$2,2,FALSE),FALSE),
IF(P2405="En programación",M2405,""))</f>
        <v>45408</v>
      </c>
      <c r="S2405" s="25" t="str">
        <f t="shared" si="123"/>
        <v>2024/4</v>
      </c>
      <c r="T2405" s="21">
        <f>IFERROR(
(VLOOKUP(MONTH(R2405),Meses!$B$3:$C$14,2,FALSE)-DAY(R2405))/VLOOKUP(MONTH(R2405),Meses!$B$3:$C$14,2,FALSE)*U2405,
"")</f>
        <v>226.66666666666666</v>
      </c>
      <c r="U2405" s="22">
        <f t="shared" si="124"/>
        <v>1700</v>
      </c>
    </row>
    <row r="2406" spans="1:21" ht="47.4" hidden="1" thickBot="1" x14ac:dyDescent="0.6">
      <c r="A2406" s="10" t="s">
        <v>3330</v>
      </c>
      <c r="B2406" s="10" t="s">
        <v>3334</v>
      </c>
      <c r="C2406" s="12"/>
      <c r="D2406" s="10" t="s">
        <v>14</v>
      </c>
      <c r="E2406" s="10" t="s">
        <v>14</v>
      </c>
      <c r="F2406" s="10">
        <v>9000</v>
      </c>
      <c r="G2406" s="10" t="s">
        <v>15</v>
      </c>
      <c r="H2406" s="10"/>
      <c r="I2406" s="10" t="s">
        <v>18</v>
      </c>
      <c r="J2406" s="10" t="s">
        <v>292</v>
      </c>
      <c r="K2406" s="10" t="s">
        <v>3325</v>
      </c>
      <c r="L2406" s="10" t="s">
        <v>2292</v>
      </c>
      <c r="M2406" s="12">
        <v>45408</v>
      </c>
      <c r="N2406" s="10"/>
      <c r="O2406" s="10"/>
      <c r="P2406" s="25" t="str">
        <f>IFERROR(
IF(OR(O2406="anulado",O2406="stand by"),CONCATENATE(O2406,": ",H2406),
IF(OR(YEAR(M2406)=2022,YEAR(M2406)=2023),CONCATENATE("Se activó en ",YEAR(M2406)),
IF(AND(OR(O2406="En proceso",O2406="facturando"),AND(J2406="-",M2406="")),"Por revisar",
IF(M2406="",IF(J2406="NUEVAS",CONCATENATE("Estado: ",O2406,", ",J2406),
IF(L2406=Meses!$A$3,"Por revisar",
IF(H2406="","Sin registro","En programación Frcst."))),"En programación")))),
"Error")</f>
        <v>En programación</v>
      </c>
      <c r="Q2406" s="9" t="str">
        <f t="shared" si="122"/>
        <v/>
      </c>
      <c r="R2406" s="25">
        <f>IF(P2406="En programación Frcst.",VLOOKUP(L2406,Meses!$A$1:$H$14,3+HLOOKUP(Cronograma!J2406,Meses!$D$1:$G$2,2,FALSE),FALSE),
IF(P2406="En programación",M2406,""))</f>
        <v>45408</v>
      </c>
      <c r="S2406" s="25" t="str">
        <f t="shared" si="123"/>
        <v>2024/4</v>
      </c>
      <c r="T2406" s="21">
        <f>IFERROR(
(VLOOKUP(MONTH(R2406),Meses!$B$3:$C$14,2,FALSE)-DAY(R2406))/VLOOKUP(MONTH(R2406),Meses!$B$3:$C$14,2,FALSE)*U2406,
"")</f>
        <v>1200</v>
      </c>
      <c r="U2406" s="22">
        <f t="shared" si="124"/>
        <v>9000</v>
      </c>
    </row>
    <row r="2407" spans="1:21" ht="47.4" hidden="1" thickBot="1" x14ac:dyDescent="0.6">
      <c r="A2407" s="10" t="s">
        <v>3335</v>
      </c>
      <c r="B2407" s="10" t="s">
        <v>3336</v>
      </c>
      <c r="C2407" s="12"/>
      <c r="D2407" s="10" t="s">
        <v>74</v>
      </c>
      <c r="E2407" s="10" t="s">
        <v>74</v>
      </c>
      <c r="F2407" s="10">
        <v>8553</v>
      </c>
      <c r="G2407" s="10" t="s">
        <v>15</v>
      </c>
      <c r="H2407" s="10"/>
      <c r="I2407" s="10" t="s">
        <v>43</v>
      </c>
      <c r="J2407" s="10"/>
      <c r="K2407" s="10"/>
      <c r="L2407" s="10"/>
      <c r="M2407" s="12"/>
      <c r="N2407" s="10"/>
      <c r="O2407" s="10"/>
      <c r="P2407" s="25" t="str">
        <f>IFERROR(
IF(OR(O2407="anulado",O2407="stand by"),CONCATENATE(O2407,": ",H2407),
IF(OR(YEAR(M2407)=2022,YEAR(M2407)=2023),CONCATENATE("Se activó en ",YEAR(M2407)),
IF(AND(OR(O2407="En proceso",O2407="facturando"),AND(J2407="-",M2407="")),"Por revisar",
IF(M2407="",IF(J2407="NUEVAS",CONCATENATE("Estado: ",O2407,", ",J2407),
IF(L2407=Meses!$A$3,"Por revisar",
IF(H2407="","Sin registro","En programación Frcst."))),"En programación")))),
"Error")</f>
        <v>Sin registro</v>
      </c>
      <c r="Q2407" s="9" t="str">
        <f t="shared" si="122"/>
        <v/>
      </c>
      <c r="R2407" s="25" t="str">
        <f>IF(P2407="En programación Frcst.",VLOOKUP(L2407,Meses!$A$1:$H$14,3+HLOOKUP(Cronograma!J2407,Meses!$D$1:$G$2,2,FALSE),FALSE),
IF(P2407="En programación",M2407,""))</f>
        <v/>
      </c>
      <c r="S2407" s="25" t="str">
        <f t="shared" si="123"/>
        <v/>
      </c>
      <c r="T2407" s="21" t="str">
        <f>IFERROR(
(VLOOKUP(MONTH(R2407),Meses!$B$3:$C$14,2,FALSE)-DAY(R2407))/VLOOKUP(MONTH(R2407),Meses!$B$3:$C$14,2,FALSE)*U2407,
"")</f>
        <v/>
      </c>
      <c r="U2407" s="22">
        <f t="shared" si="124"/>
        <v>8553</v>
      </c>
    </row>
    <row r="2408" spans="1:21" ht="63" hidden="1" thickBot="1" x14ac:dyDescent="0.6">
      <c r="A2408" s="10" t="s">
        <v>3337</v>
      </c>
      <c r="B2408" s="10" t="s">
        <v>3338</v>
      </c>
      <c r="C2408" s="12"/>
      <c r="D2408" s="10" t="s">
        <v>44</v>
      </c>
      <c r="E2408" s="10" t="s">
        <v>44</v>
      </c>
      <c r="F2408" s="10">
        <v>3500</v>
      </c>
      <c r="G2408" s="10" t="s">
        <v>15</v>
      </c>
      <c r="H2408" s="10"/>
      <c r="I2408" s="10" t="s">
        <v>43</v>
      </c>
      <c r="J2408" s="10"/>
      <c r="K2408" s="10"/>
      <c r="L2408" s="10"/>
      <c r="M2408" s="12"/>
      <c r="N2408" s="10"/>
      <c r="O2408" s="10"/>
      <c r="P2408" s="25" t="str">
        <f>IFERROR(
IF(OR(O2408="anulado",O2408="stand by"),CONCATENATE(O2408,": ",H2408),
IF(OR(YEAR(M2408)=2022,YEAR(M2408)=2023),CONCATENATE("Se activó en ",YEAR(M2408)),
IF(AND(OR(O2408="En proceso",O2408="facturando"),AND(J2408="-",M2408="")),"Por revisar",
IF(M2408="",IF(J2408="NUEVAS",CONCATENATE("Estado: ",O2408,", ",J2408),
IF(L2408=Meses!$A$3,"Por revisar",
IF(H2408="","Sin registro","En programación Frcst."))),"En programación")))),
"Error")</f>
        <v>Sin registro</v>
      </c>
      <c r="Q2408" s="9" t="str">
        <f t="shared" si="122"/>
        <v/>
      </c>
      <c r="R2408" s="25" t="str">
        <f>IF(P2408="En programación Frcst.",VLOOKUP(L2408,Meses!$A$1:$H$14,3+HLOOKUP(Cronograma!J2408,Meses!$D$1:$G$2,2,FALSE),FALSE),
IF(P2408="En programación",M2408,""))</f>
        <v/>
      </c>
      <c r="S2408" s="25" t="str">
        <f t="shared" si="123"/>
        <v/>
      </c>
      <c r="T2408" s="21" t="str">
        <f>IFERROR(
(VLOOKUP(MONTH(R2408),Meses!$B$3:$C$14,2,FALSE)-DAY(R2408))/VLOOKUP(MONTH(R2408),Meses!$B$3:$C$14,2,FALSE)*U2408,
"")</f>
        <v/>
      </c>
      <c r="U2408" s="22">
        <f t="shared" si="124"/>
        <v>3500</v>
      </c>
    </row>
    <row r="2409" spans="1:21" ht="47.4" hidden="1" thickBot="1" x14ac:dyDescent="0.6">
      <c r="A2409" s="10" t="s">
        <v>3339</v>
      </c>
      <c r="B2409" s="10" t="s">
        <v>3340</v>
      </c>
      <c r="C2409" s="12"/>
      <c r="D2409" s="10" t="s">
        <v>298</v>
      </c>
      <c r="E2409" s="10" t="s">
        <v>298</v>
      </c>
      <c r="F2409" s="10">
        <v>29646</v>
      </c>
      <c r="G2409" s="10" t="s">
        <v>15</v>
      </c>
      <c r="H2409" s="10"/>
      <c r="I2409" s="10" t="s">
        <v>43</v>
      </c>
      <c r="J2409" s="10"/>
      <c r="K2409" s="10"/>
      <c r="L2409" s="10"/>
      <c r="M2409" s="12"/>
      <c r="N2409" s="10"/>
      <c r="O2409" s="10"/>
      <c r="P2409" s="25" t="str">
        <f>IFERROR(
IF(OR(O2409="anulado",O2409="stand by"),CONCATENATE(O2409,": ",H2409),
IF(OR(YEAR(M2409)=2022,YEAR(M2409)=2023),CONCATENATE("Se activó en ",YEAR(M2409)),
IF(AND(OR(O2409="En proceso",O2409="facturando"),AND(J2409="-",M2409="")),"Por revisar",
IF(M2409="",IF(J2409="NUEVAS",CONCATENATE("Estado: ",O2409,", ",J2409),
IF(L2409=Meses!$A$3,"Por revisar",
IF(H2409="","Sin registro","En programación Frcst."))),"En programación")))),
"Error")</f>
        <v>Sin registro</v>
      </c>
      <c r="Q2409" s="9" t="str">
        <f t="shared" si="122"/>
        <v/>
      </c>
      <c r="R2409" s="25" t="str">
        <f>IF(P2409="En programación Frcst.",VLOOKUP(L2409,Meses!$A$1:$H$14,3+HLOOKUP(Cronograma!J2409,Meses!$D$1:$G$2,2,FALSE),FALSE),
IF(P2409="En programación",M2409,""))</f>
        <v/>
      </c>
      <c r="S2409" s="25" t="str">
        <f t="shared" si="123"/>
        <v/>
      </c>
      <c r="T2409" s="21" t="str">
        <f>IFERROR(
(VLOOKUP(MONTH(R2409),Meses!$B$3:$C$14,2,FALSE)-DAY(R2409))/VLOOKUP(MONTH(R2409),Meses!$B$3:$C$14,2,FALSE)*U2409,
"")</f>
        <v/>
      </c>
      <c r="U2409" s="22">
        <f t="shared" si="124"/>
        <v>29646</v>
      </c>
    </row>
    <row r="2410" spans="1:21" ht="47.4" hidden="1" thickBot="1" x14ac:dyDescent="0.6">
      <c r="A2410" s="10" t="s">
        <v>3339</v>
      </c>
      <c r="B2410" s="10" t="s">
        <v>3341</v>
      </c>
      <c r="C2410" s="12"/>
      <c r="D2410" s="10" t="s">
        <v>298</v>
      </c>
      <c r="E2410" s="10" t="s">
        <v>298</v>
      </c>
      <c r="F2410" s="10">
        <v>553</v>
      </c>
      <c r="G2410" s="10" t="s">
        <v>15</v>
      </c>
      <c r="H2410" s="10"/>
      <c r="I2410" s="10" t="s">
        <v>43</v>
      </c>
      <c r="J2410" s="10"/>
      <c r="K2410" s="10"/>
      <c r="L2410" s="10"/>
      <c r="M2410" s="12"/>
      <c r="N2410" s="10"/>
      <c r="O2410" s="10"/>
      <c r="P2410" s="25" t="str">
        <f>IFERROR(
IF(OR(O2410="anulado",O2410="stand by"),CONCATENATE(O2410,": ",H2410),
IF(OR(YEAR(M2410)=2022,YEAR(M2410)=2023),CONCATENATE("Se activó en ",YEAR(M2410)),
IF(AND(OR(O2410="En proceso",O2410="facturando"),AND(J2410="-",M2410="")),"Por revisar",
IF(M2410="",IF(J2410="NUEVAS",CONCATENATE("Estado: ",O2410,", ",J2410),
IF(L2410=Meses!$A$3,"Por revisar",
IF(H2410="","Sin registro","En programación Frcst."))),"En programación")))),
"Error")</f>
        <v>Sin registro</v>
      </c>
      <c r="Q2410" s="9" t="str">
        <f t="shared" si="122"/>
        <v/>
      </c>
      <c r="R2410" s="25" t="str">
        <f>IF(P2410="En programación Frcst.",VLOOKUP(L2410,Meses!$A$1:$H$14,3+HLOOKUP(Cronograma!J2410,Meses!$D$1:$G$2,2,FALSE),FALSE),
IF(P2410="En programación",M2410,""))</f>
        <v/>
      </c>
      <c r="S2410" s="25" t="str">
        <f t="shared" si="123"/>
        <v/>
      </c>
      <c r="T2410" s="21" t="str">
        <f>IFERROR(
(VLOOKUP(MONTH(R2410),Meses!$B$3:$C$14,2,FALSE)-DAY(R2410))/VLOOKUP(MONTH(R2410),Meses!$B$3:$C$14,2,FALSE)*U2410,
"")</f>
        <v/>
      </c>
      <c r="U2410" s="22">
        <f t="shared" si="124"/>
        <v>553</v>
      </c>
    </row>
    <row r="2411" spans="1:21" ht="47.4" hidden="1" thickBot="1" x14ac:dyDescent="0.6">
      <c r="A2411" s="10" t="s">
        <v>3342</v>
      </c>
      <c r="B2411" s="10" t="s">
        <v>3343</v>
      </c>
      <c r="C2411" s="12"/>
      <c r="D2411" s="10" t="s">
        <v>14</v>
      </c>
      <c r="E2411" s="10" t="s">
        <v>14</v>
      </c>
      <c r="F2411" s="10">
        <v>54863</v>
      </c>
      <c r="G2411" s="10" t="s">
        <v>15</v>
      </c>
      <c r="H2411" s="10"/>
      <c r="I2411" s="10" t="s">
        <v>18</v>
      </c>
      <c r="J2411" s="10" t="s">
        <v>292</v>
      </c>
      <c r="K2411" s="10" t="s">
        <v>3325</v>
      </c>
      <c r="L2411" s="10" t="s">
        <v>2292</v>
      </c>
      <c r="M2411" s="12">
        <v>45408</v>
      </c>
      <c r="N2411" s="10"/>
      <c r="O2411" s="10"/>
      <c r="P2411" s="25" t="str">
        <f>IFERROR(
IF(OR(O2411="anulado",O2411="stand by"),CONCATENATE(O2411,": ",H2411),
IF(OR(YEAR(M2411)=2022,YEAR(M2411)=2023),CONCATENATE("Se activó en ",YEAR(M2411)),
IF(AND(OR(O2411="En proceso",O2411="facturando"),AND(J2411="-",M2411="")),"Por revisar",
IF(M2411="",IF(J2411="NUEVAS",CONCATENATE("Estado: ",O2411,", ",J2411),
IF(L2411=Meses!$A$3,"Por revisar",
IF(H2411="","Sin registro","En programación Frcst."))),"En programación")))),
"Error")</f>
        <v>En programación</v>
      </c>
      <c r="Q2411" s="9" t="str">
        <f t="shared" si="122"/>
        <v/>
      </c>
      <c r="R2411" s="25">
        <f>IF(P2411="En programación Frcst.",VLOOKUP(L2411,Meses!$A$1:$H$14,3+HLOOKUP(Cronograma!J2411,Meses!$D$1:$G$2,2,FALSE),FALSE),
IF(P2411="En programación",M2411,""))</f>
        <v>45408</v>
      </c>
      <c r="S2411" s="25" t="str">
        <f t="shared" si="123"/>
        <v>2024/4</v>
      </c>
      <c r="T2411" s="21">
        <f>IFERROR(
(VLOOKUP(MONTH(R2411),Meses!$B$3:$C$14,2,FALSE)-DAY(R2411))/VLOOKUP(MONTH(R2411),Meses!$B$3:$C$14,2,FALSE)*U2411,
"")</f>
        <v>7315.0666666666666</v>
      </c>
      <c r="U2411" s="22">
        <f t="shared" si="124"/>
        <v>54863</v>
      </c>
    </row>
    <row r="2412" spans="1:21" ht="63" hidden="1" thickBot="1" x14ac:dyDescent="0.6">
      <c r="A2412" s="10" t="s">
        <v>3344</v>
      </c>
      <c r="B2412" s="10" t="s">
        <v>3345</v>
      </c>
      <c r="C2412" s="12"/>
      <c r="D2412" s="10" t="s">
        <v>74</v>
      </c>
      <c r="E2412" s="10" t="s">
        <v>74</v>
      </c>
      <c r="F2412" s="10">
        <v>719</v>
      </c>
      <c r="G2412" s="10" t="s">
        <v>15</v>
      </c>
      <c r="H2412" s="10"/>
      <c r="I2412" s="10" t="s">
        <v>43</v>
      </c>
      <c r="J2412" s="10"/>
      <c r="K2412" s="10"/>
      <c r="L2412" s="10"/>
      <c r="M2412" s="12"/>
      <c r="N2412" s="10"/>
      <c r="O2412" s="10"/>
      <c r="P2412" s="25" t="str">
        <f>IFERROR(
IF(OR(O2412="anulado",O2412="stand by"),CONCATENATE(O2412,": ",H2412),
IF(OR(YEAR(M2412)=2022,YEAR(M2412)=2023),CONCATENATE("Se activó en ",YEAR(M2412)),
IF(AND(OR(O2412="En proceso",O2412="facturando"),AND(J2412="-",M2412="")),"Por revisar",
IF(M2412="",IF(J2412="NUEVAS",CONCATENATE("Estado: ",O2412,", ",J2412),
IF(L2412=Meses!$A$3,"Por revisar",
IF(H2412="","Sin registro","En programación Frcst."))),"En programación")))),
"Error")</f>
        <v>Sin registro</v>
      </c>
      <c r="Q2412" s="9" t="str">
        <f t="shared" si="122"/>
        <v/>
      </c>
      <c r="R2412" s="25" t="str">
        <f>IF(P2412="En programación Frcst.",VLOOKUP(L2412,Meses!$A$1:$H$14,3+HLOOKUP(Cronograma!J2412,Meses!$D$1:$G$2,2,FALSE),FALSE),
IF(P2412="En programación",M2412,""))</f>
        <v/>
      </c>
      <c r="S2412" s="25" t="str">
        <f t="shared" si="123"/>
        <v/>
      </c>
      <c r="T2412" s="21" t="str">
        <f>IFERROR(
(VLOOKUP(MONTH(R2412),Meses!$B$3:$C$14,2,FALSE)-DAY(R2412))/VLOOKUP(MONTH(R2412),Meses!$B$3:$C$14,2,FALSE)*U2412,
"")</f>
        <v/>
      </c>
      <c r="U2412" s="22">
        <f t="shared" si="124"/>
        <v>719</v>
      </c>
    </row>
    <row r="2413" spans="1:21" ht="63" hidden="1" thickBot="1" x14ac:dyDescent="0.6">
      <c r="A2413" s="10" t="s">
        <v>3344</v>
      </c>
      <c r="B2413" s="10" t="s">
        <v>3346</v>
      </c>
      <c r="C2413" s="12"/>
      <c r="D2413" s="10" t="s">
        <v>74</v>
      </c>
      <c r="E2413" s="10" t="s">
        <v>74</v>
      </c>
      <c r="F2413" s="10">
        <v>1484</v>
      </c>
      <c r="G2413" s="10" t="s">
        <v>15</v>
      </c>
      <c r="H2413" s="10"/>
      <c r="I2413" s="10" t="s">
        <v>43</v>
      </c>
      <c r="J2413" s="10"/>
      <c r="K2413" s="10"/>
      <c r="L2413" s="10"/>
      <c r="M2413" s="12"/>
      <c r="N2413" s="10"/>
      <c r="O2413" s="10"/>
      <c r="P2413" s="25" t="str">
        <f>IFERROR(
IF(OR(O2413="anulado",O2413="stand by"),CONCATENATE(O2413,": ",H2413),
IF(OR(YEAR(M2413)=2022,YEAR(M2413)=2023),CONCATENATE("Se activó en ",YEAR(M2413)),
IF(AND(OR(O2413="En proceso",O2413="facturando"),AND(J2413="-",M2413="")),"Por revisar",
IF(M2413="",IF(J2413="NUEVAS",CONCATENATE("Estado: ",O2413,", ",J2413),
IF(L2413=Meses!$A$3,"Por revisar",
IF(H2413="","Sin registro","En programación Frcst."))),"En programación")))),
"Error")</f>
        <v>Sin registro</v>
      </c>
      <c r="Q2413" s="9" t="str">
        <f t="shared" si="122"/>
        <v/>
      </c>
      <c r="R2413" s="25" t="str">
        <f>IF(P2413="En programación Frcst.",VLOOKUP(L2413,Meses!$A$1:$H$14,3+HLOOKUP(Cronograma!J2413,Meses!$D$1:$G$2,2,FALSE),FALSE),
IF(P2413="En programación",M2413,""))</f>
        <v/>
      </c>
      <c r="S2413" s="25" t="str">
        <f t="shared" si="123"/>
        <v/>
      </c>
      <c r="T2413" s="21" t="str">
        <f>IFERROR(
(VLOOKUP(MONTH(R2413),Meses!$B$3:$C$14,2,FALSE)-DAY(R2413))/VLOOKUP(MONTH(R2413),Meses!$B$3:$C$14,2,FALSE)*U2413,
"")</f>
        <v/>
      </c>
      <c r="U2413" s="22">
        <f t="shared" si="124"/>
        <v>1484</v>
      </c>
    </row>
    <row r="2414" spans="1:21" ht="47.4" hidden="1" thickBot="1" x14ac:dyDescent="0.6">
      <c r="A2414" s="10" t="s">
        <v>3184</v>
      </c>
      <c r="B2414" s="10" t="s">
        <v>3347</v>
      </c>
      <c r="C2414" s="12"/>
      <c r="D2414" s="10" t="s">
        <v>3185</v>
      </c>
      <c r="E2414" s="10" t="s">
        <v>3185</v>
      </c>
      <c r="F2414" s="10">
        <v>17000</v>
      </c>
      <c r="G2414" s="10"/>
      <c r="H2414" s="10"/>
      <c r="I2414" s="10" t="s">
        <v>43</v>
      </c>
      <c r="J2414" s="10"/>
      <c r="K2414" s="10"/>
      <c r="L2414" s="10"/>
      <c r="M2414" s="12"/>
      <c r="N2414" s="10"/>
      <c r="O2414" s="10"/>
      <c r="P2414" s="25" t="str">
        <f>IFERROR(
IF(OR(O2414="anulado",O2414="stand by"),CONCATENATE(O2414,": ",H2414),
IF(OR(YEAR(M2414)=2022,YEAR(M2414)=2023),CONCATENATE("Se activó en ",YEAR(M2414)),
IF(AND(OR(O2414="En proceso",O2414="facturando"),AND(J2414="-",M2414="")),"Por revisar",
IF(M2414="",IF(J2414="NUEVAS",CONCATENATE("Estado: ",O2414,", ",J2414),
IF(L2414=Meses!$A$3,"Por revisar",
IF(H2414="","Sin registro","En programación Frcst."))),"En programación")))),
"Error")</f>
        <v>Sin registro</v>
      </c>
      <c r="Q2414" s="9" t="str">
        <f t="shared" si="122"/>
        <v/>
      </c>
      <c r="R2414" s="25" t="str">
        <f>IF(P2414="En programación Frcst.",VLOOKUP(L2414,Meses!$A$1:$H$14,3+HLOOKUP(Cronograma!J2414,Meses!$D$1:$G$2,2,FALSE),FALSE),
IF(P2414="En programación",M2414,""))</f>
        <v/>
      </c>
      <c r="S2414" s="25" t="str">
        <f t="shared" si="123"/>
        <v/>
      </c>
      <c r="T2414" s="21" t="str">
        <f>IFERROR(
(VLOOKUP(MONTH(R2414),Meses!$B$3:$C$14,2,FALSE)-DAY(R2414))/VLOOKUP(MONTH(R2414),Meses!$B$3:$C$14,2,FALSE)*U2414,
"")</f>
        <v/>
      </c>
      <c r="U2414" s="22">
        <f t="shared" si="124"/>
        <v>17000</v>
      </c>
    </row>
    <row r="2415" spans="1:21" ht="47.4" hidden="1" thickBot="1" x14ac:dyDescent="0.6">
      <c r="A2415" s="10" t="s">
        <v>3184</v>
      </c>
      <c r="B2415" s="10" t="s">
        <v>3348</v>
      </c>
      <c r="C2415" s="12"/>
      <c r="D2415" s="10" t="s">
        <v>3185</v>
      </c>
      <c r="E2415" s="10" t="s">
        <v>3185</v>
      </c>
      <c r="F2415" s="10">
        <v>7000</v>
      </c>
      <c r="G2415" s="10"/>
      <c r="H2415" s="10"/>
      <c r="I2415" s="10" t="s">
        <v>43</v>
      </c>
      <c r="J2415" s="10"/>
      <c r="K2415" s="10"/>
      <c r="L2415" s="10"/>
      <c r="M2415" s="12"/>
      <c r="N2415" s="10"/>
      <c r="O2415" s="10"/>
      <c r="P2415" s="25" t="str">
        <f>IFERROR(
IF(OR(O2415="anulado",O2415="stand by"),CONCATENATE(O2415,": ",H2415),
IF(OR(YEAR(M2415)=2022,YEAR(M2415)=2023),CONCATENATE("Se activó en ",YEAR(M2415)),
IF(AND(OR(O2415="En proceso",O2415="facturando"),AND(J2415="-",M2415="")),"Por revisar",
IF(M2415="",IF(J2415="NUEVAS",CONCATENATE("Estado: ",O2415,", ",J2415),
IF(L2415=Meses!$A$3,"Por revisar",
IF(H2415="","Sin registro","En programación Frcst."))),"En programación")))),
"Error")</f>
        <v>Sin registro</v>
      </c>
      <c r="Q2415" s="9" t="str">
        <f t="shared" si="122"/>
        <v/>
      </c>
      <c r="R2415" s="25" t="str">
        <f>IF(P2415="En programación Frcst.",VLOOKUP(L2415,Meses!$A$1:$H$14,3+HLOOKUP(Cronograma!J2415,Meses!$D$1:$G$2,2,FALSE),FALSE),
IF(P2415="En programación",M2415,""))</f>
        <v/>
      </c>
      <c r="S2415" s="25" t="str">
        <f t="shared" si="123"/>
        <v/>
      </c>
      <c r="T2415" s="21" t="str">
        <f>IFERROR(
(VLOOKUP(MONTH(R2415),Meses!$B$3:$C$14,2,FALSE)-DAY(R2415))/VLOOKUP(MONTH(R2415),Meses!$B$3:$C$14,2,FALSE)*U2415,
"")</f>
        <v/>
      </c>
      <c r="U2415" s="22">
        <f t="shared" si="124"/>
        <v>7000</v>
      </c>
    </row>
    <row r="2416" spans="1:21" ht="47.4" hidden="1" thickBot="1" x14ac:dyDescent="0.6">
      <c r="A2416" s="10" t="s">
        <v>3349</v>
      </c>
      <c r="B2416" s="10" t="s">
        <v>3350</v>
      </c>
      <c r="C2416" s="12"/>
      <c r="D2416" s="10" t="s">
        <v>3182</v>
      </c>
      <c r="E2416" s="10" t="s">
        <v>3182</v>
      </c>
      <c r="F2416" s="10">
        <v>171970</v>
      </c>
      <c r="G2416" s="10"/>
      <c r="H2416" s="10"/>
      <c r="I2416" s="10" t="s">
        <v>43</v>
      </c>
      <c r="J2416" s="10"/>
      <c r="K2416" s="10"/>
      <c r="L2416" s="10"/>
      <c r="M2416" s="12"/>
      <c r="N2416" s="10"/>
      <c r="O2416" s="10"/>
      <c r="P2416" s="25" t="str">
        <f>IFERROR(
IF(OR(O2416="anulado",O2416="stand by"),CONCATENATE(O2416,": ",H2416),
IF(OR(YEAR(M2416)=2022,YEAR(M2416)=2023),CONCATENATE("Se activó en ",YEAR(M2416)),
IF(AND(OR(O2416="En proceso",O2416="facturando"),AND(J2416="-",M2416="")),"Por revisar",
IF(M2416="",IF(J2416="NUEVAS",CONCATENATE("Estado: ",O2416,", ",J2416),
IF(L2416=Meses!$A$3,"Por revisar",
IF(H2416="","Sin registro","En programación Frcst."))),"En programación")))),
"Error")</f>
        <v>Sin registro</v>
      </c>
      <c r="Q2416" s="9" t="str">
        <f t="shared" si="122"/>
        <v/>
      </c>
      <c r="R2416" s="25" t="str">
        <f>IF(P2416="En programación Frcst.",VLOOKUP(L2416,Meses!$A$1:$H$14,3+HLOOKUP(Cronograma!J2416,Meses!$D$1:$G$2,2,FALSE),FALSE),
IF(P2416="En programación",M2416,""))</f>
        <v/>
      </c>
      <c r="S2416" s="25" t="str">
        <f t="shared" si="123"/>
        <v/>
      </c>
      <c r="T2416" s="21" t="str">
        <f>IFERROR(
(VLOOKUP(MONTH(R2416),Meses!$B$3:$C$14,2,FALSE)-DAY(R2416))/VLOOKUP(MONTH(R2416),Meses!$B$3:$C$14,2,FALSE)*U2416,
"")</f>
        <v/>
      </c>
      <c r="U2416" s="22">
        <f t="shared" si="124"/>
        <v>171970</v>
      </c>
    </row>
    <row r="2417" spans="1:21" ht="31.8" hidden="1" thickBot="1" x14ac:dyDescent="0.6">
      <c r="A2417" s="10" t="s">
        <v>3351</v>
      </c>
      <c r="B2417" s="10" t="s">
        <v>3352</v>
      </c>
      <c r="C2417" s="12"/>
      <c r="D2417" s="10" t="s">
        <v>3182</v>
      </c>
      <c r="E2417" s="10" t="s">
        <v>3182</v>
      </c>
      <c r="F2417" s="10">
        <v>8595</v>
      </c>
      <c r="G2417" s="10"/>
      <c r="H2417" s="10"/>
      <c r="I2417" s="10" t="s">
        <v>43</v>
      </c>
      <c r="J2417" s="10"/>
      <c r="K2417" s="10"/>
      <c r="L2417" s="10"/>
      <c r="M2417" s="12"/>
      <c r="N2417" s="10"/>
      <c r="O2417" s="10"/>
      <c r="P2417" s="25" t="str">
        <f>IFERROR(
IF(OR(O2417="anulado",O2417="stand by"),CONCATENATE(O2417,": ",H2417),
IF(OR(YEAR(M2417)=2022,YEAR(M2417)=2023),CONCATENATE("Se activó en ",YEAR(M2417)),
IF(AND(OR(O2417="En proceso",O2417="facturando"),AND(J2417="-",M2417="")),"Por revisar",
IF(M2417="",IF(J2417="NUEVAS",CONCATENATE("Estado: ",O2417,", ",J2417),
IF(L2417=Meses!$A$3,"Por revisar",
IF(H2417="","Sin registro","En programación Frcst."))),"En programación")))),
"Error")</f>
        <v>Sin registro</v>
      </c>
      <c r="Q2417" s="9" t="str">
        <f t="shared" si="122"/>
        <v/>
      </c>
      <c r="R2417" s="25" t="str">
        <f>IF(P2417="En programación Frcst.",VLOOKUP(L2417,Meses!$A$1:$H$14,3+HLOOKUP(Cronograma!J2417,Meses!$D$1:$G$2,2,FALSE),FALSE),
IF(P2417="En programación",M2417,""))</f>
        <v/>
      </c>
      <c r="S2417" s="25" t="str">
        <f t="shared" si="123"/>
        <v/>
      </c>
      <c r="T2417" s="21" t="str">
        <f>IFERROR(
(VLOOKUP(MONTH(R2417),Meses!$B$3:$C$14,2,FALSE)-DAY(R2417))/VLOOKUP(MONTH(R2417),Meses!$B$3:$C$14,2,FALSE)*U2417,
"")</f>
        <v/>
      </c>
      <c r="U2417" s="22">
        <f t="shared" si="124"/>
        <v>8595</v>
      </c>
    </row>
    <row r="2418" spans="1:21" ht="47.4" hidden="1" thickBot="1" x14ac:dyDescent="0.6">
      <c r="A2418" s="10" t="s">
        <v>3353</v>
      </c>
      <c r="B2418" s="10" t="s">
        <v>3354</v>
      </c>
      <c r="C2418" s="12"/>
      <c r="D2418" s="10" t="s">
        <v>3182</v>
      </c>
      <c r="E2418" s="10" t="s">
        <v>3182</v>
      </c>
      <c r="F2418" s="10">
        <v>11933</v>
      </c>
      <c r="G2418" s="10"/>
      <c r="H2418" s="10"/>
      <c r="I2418" s="10" t="s">
        <v>43</v>
      </c>
      <c r="J2418" s="10"/>
      <c r="K2418" s="10"/>
      <c r="L2418" s="10"/>
      <c r="M2418" s="12"/>
      <c r="N2418" s="10"/>
      <c r="O2418" s="10"/>
      <c r="P2418" s="25" t="str">
        <f>IFERROR(
IF(OR(O2418="anulado",O2418="stand by"),CONCATENATE(O2418,": ",H2418),
IF(OR(YEAR(M2418)=2022,YEAR(M2418)=2023),CONCATENATE("Se activó en ",YEAR(M2418)),
IF(AND(OR(O2418="En proceso",O2418="facturando"),AND(J2418="-",M2418="")),"Por revisar",
IF(M2418="",IF(J2418="NUEVAS",CONCATENATE("Estado: ",O2418,", ",J2418),
IF(L2418=Meses!$A$3,"Por revisar",
IF(H2418="","Sin registro","En programación Frcst."))),"En programación")))),
"Error")</f>
        <v>Sin registro</v>
      </c>
      <c r="Q2418" s="9" t="str">
        <f t="shared" si="122"/>
        <v/>
      </c>
      <c r="R2418" s="25" t="str">
        <f>IF(P2418="En programación Frcst.",VLOOKUP(L2418,Meses!$A$1:$H$14,3+HLOOKUP(Cronograma!J2418,Meses!$D$1:$G$2,2,FALSE),FALSE),
IF(P2418="En programación",M2418,""))</f>
        <v/>
      </c>
      <c r="S2418" s="25" t="str">
        <f t="shared" si="123"/>
        <v/>
      </c>
      <c r="T2418" s="21" t="str">
        <f>IFERROR(
(VLOOKUP(MONTH(R2418),Meses!$B$3:$C$14,2,FALSE)-DAY(R2418))/VLOOKUP(MONTH(R2418),Meses!$B$3:$C$14,2,FALSE)*U2418,
"")</f>
        <v/>
      </c>
      <c r="U2418" s="22">
        <f t="shared" si="124"/>
        <v>11933</v>
      </c>
    </row>
    <row r="2419" spans="1:21" ht="47.4" hidden="1" thickBot="1" x14ac:dyDescent="0.6">
      <c r="A2419" s="10" t="s">
        <v>3353</v>
      </c>
      <c r="B2419" s="10" t="s">
        <v>3355</v>
      </c>
      <c r="C2419" s="12"/>
      <c r="D2419" s="10" t="s">
        <v>3182</v>
      </c>
      <c r="E2419" s="10" t="s">
        <v>3182</v>
      </c>
      <c r="F2419" s="10">
        <v>42907</v>
      </c>
      <c r="G2419" s="10"/>
      <c r="H2419" s="10"/>
      <c r="I2419" s="10" t="s">
        <v>43</v>
      </c>
      <c r="J2419" s="10"/>
      <c r="K2419" s="10"/>
      <c r="L2419" s="10"/>
      <c r="M2419" s="12"/>
      <c r="N2419" s="10"/>
      <c r="O2419" s="10"/>
      <c r="P2419" s="25" t="str">
        <f>IFERROR(
IF(OR(O2419="anulado",O2419="stand by"),CONCATENATE(O2419,": ",H2419),
IF(OR(YEAR(M2419)=2022,YEAR(M2419)=2023),CONCATENATE("Se activó en ",YEAR(M2419)),
IF(AND(OR(O2419="En proceso",O2419="facturando"),AND(J2419="-",M2419="")),"Por revisar",
IF(M2419="",IF(J2419="NUEVAS",CONCATENATE("Estado: ",O2419,", ",J2419),
IF(L2419=Meses!$A$3,"Por revisar",
IF(H2419="","Sin registro","En programación Frcst."))),"En programación")))),
"Error")</f>
        <v>Sin registro</v>
      </c>
      <c r="Q2419" s="9" t="str">
        <f t="shared" si="122"/>
        <v/>
      </c>
      <c r="R2419" s="25" t="str">
        <f>IF(P2419="En programación Frcst.",VLOOKUP(L2419,Meses!$A$1:$H$14,3+HLOOKUP(Cronograma!J2419,Meses!$D$1:$G$2,2,FALSE),FALSE),
IF(P2419="En programación",M2419,""))</f>
        <v/>
      </c>
      <c r="S2419" s="25" t="str">
        <f t="shared" si="123"/>
        <v/>
      </c>
      <c r="T2419" s="21" t="str">
        <f>IFERROR(
(VLOOKUP(MONTH(R2419),Meses!$B$3:$C$14,2,FALSE)-DAY(R2419))/VLOOKUP(MONTH(R2419),Meses!$B$3:$C$14,2,FALSE)*U2419,
"")</f>
        <v/>
      </c>
      <c r="U2419" s="22">
        <f t="shared" si="124"/>
        <v>42907</v>
      </c>
    </row>
    <row r="2420" spans="1:21" ht="47.4" hidden="1" thickBot="1" x14ac:dyDescent="0.6">
      <c r="A2420" s="10" t="s">
        <v>3353</v>
      </c>
      <c r="B2420" s="10" t="s">
        <v>3356</v>
      </c>
      <c r="C2420" s="12"/>
      <c r="D2420" s="10" t="s">
        <v>3182</v>
      </c>
      <c r="E2420" s="10" t="s">
        <v>3182</v>
      </c>
      <c r="F2420" s="10">
        <v>62959</v>
      </c>
      <c r="G2420" s="10"/>
      <c r="H2420" s="10"/>
      <c r="I2420" s="10" t="s">
        <v>43</v>
      </c>
      <c r="J2420" s="10"/>
      <c r="K2420" s="10"/>
      <c r="L2420" s="10"/>
      <c r="M2420" s="12"/>
      <c r="N2420" s="10"/>
      <c r="O2420" s="10"/>
      <c r="P2420" s="25" t="str">
        <f>IFERROR(
IF(OR(O2420="anulado",O2420="stand by"),CONCATENATE(O2420,": ",H2420),
IF(OR(YEAR(M2420)=2022,YEAR(M2420)=2023),CONCATENATE("Se activó en ",YEAR(M2420)),
IF(AND(OR(O2420="En proceso",O2420="facturando"),AND(J2420="-",M2420="")),"Por revisar",
IF(M2420="",IF(J2420="NUEVAS",CONCATENATE("Estado: ",O2420,", ",J2420),
IF(L2420=Meses!$A$3,"Por revisar",
IF(H2420="","Sin registro","En programación Frcst."))),"En programación")))),
"Error")</f>
        <v>Sin registro</v>
      </c>
      <c r="Q2420" s="9" t="str">
        <f t="shared" si="122"/>
        <v/>
      </c>
      <c r="R2420" s="25" t="str">
        <f>IF(P2420="En programación Frcst.",VLOOKUP(L2420,Meses!$A$1:$H$14,3+HLOOKUP(Cronograma!J2420,Meses!$D$1:$G$2,2,FALSE),FALSE),
IF(P2420="En programación",M2420,""))</f>
        <v/>
      </c>
      <c r="S2420" s="25" t="str">
        <f t="shared" si="123"/>
        <v/>
      </c>
      <c r="T2420" s="21" t="str">
        <f>IFERROR(
(VLOOKUP(MONTH(R2420),Meses!$B$3:$C$14,2,FALSE)-DAY(R2420))/VLOOKUP(MONTH(R2420),Meses!$B$3:$C$14,2,FALSE)*U2420,
"")</f>
        <v/>
      </c>
      <c r="U2420" s="22">
        <f t="shared" si="124"/>
        <v>62959</v>
      </c>
    </row>
    <row r="2421" spans="1:21" ht="31.8" hidden="1" thickBot="1" x14ac:dyDescent="0.6">
      <c r="A2421" s="10" t="s">
        <v>3357</v>
      </c>
      <c r="B2421" s="10" t="s">
        <v>3358</v>
      </c>
      <c r="C2421" s="12"/>
      <c r="D2421" s="10" t="s">
        <v>3182</v>
      </c>
      <c r="E2421" s="10" t="s">
        <v>3182</v>
      </c>
      <c r="F2421" s="10">
        <v>4041</v>
      </c>
      <c r="G2421" s="10"/>
      <c r="H2421" s="10"/>
      <c r="I2421" s="10" t="s">
        <v>43</v>
      </c>
      <c r="J2421" s="10"/>
      <c r="K2421" s="10"/>
      <c r="L2421" s="10"/>
      <c r="M2421" s="12"/>
      <c r="N2421" s="10"/>
      <c r="O2421" s="10"/>
      <c r="P2421" s="25" t="str">
        <f>IFERROR(
IF(OR(O2421="anulado",O2421="stand by"),CONCATENATE(O2421,": ",H2421),
IF(OR(YEAR(M2421)=2022,YEAR(M2421)=2023),CONCATENATE("Se activó en ",YEAR(M2421)),
IF(AND(OR(O2421="En proceso",O2421="facturando"),AND(J2421="-",M2421="")),"Por revisar",
IF(M2421="",IF(J2421="NUEVAS",CONCATENATE("Estado: ",O2421,", ",J2421),
IF(L2421=Meses!$A$3,"Por revisar",
IF(H2421="","Sin registro","En programación Frcst."))),"En programación")))),
"Error")</f>
        <v>Sin registro</v>
      </c>
      <c r="Q2421" s="9" t="str">
        <f t="shared" si="122"/>
        <v/>
      </c>
      <c r="R2421" s="25" t="str">
        <f>IF(P2421="En programación Frcst.",VLOOKUP(L2421,Meses!$A$1:$H$14,3+HLOOKUP(Cronograma!J2421,Meses!$D$1:$G$2,2,FALSE),FALSE),
IF(P2421="En programación",M2421,""))</f>
        <v/>
      </c>
      <c r="S2421" s="25" t="str">
        <f t="shared" si="123"/>
        <v/>
      </c>
      <c r="T2421" s="21" t="str">
        <f>IFERROR(
(VLOOKUP(MONTH(R2421),Meses!$B$3:$C$14,2,FALSE)-DAY(R2421))/VLOOKUP(MONTH(R2421),Meses!$B$3:$C$14,2,FALSE)*U2421,
"")</f>
        <v/>
      </c>
      <c r="U2421" s="22">
        <f t="shared" si="124"/>
        <v>4041</v>
      </c>
    </row>
    <row r="2422" spans="1:21" ht="31.8" hidden="1" thickBot="1" x14ac:dyDescent="0.6">
      <c r="A2422" s="10" t="s">
        <v>3357</v>
      </c>
      <c r="B2422" s="10" t="s">
        <v>3359</v>
      </c>
      <c r="C2422" s="12"/>
      <c r="D2422" s="10" t="s">
        <v>3182</v>
      </c>
      <c r="E2422" s="10" t="s">
        <v>3182</v>
      </c>
      <c r="F2422" s="10">
        <v>2322</v>
      </c>
      <c r="G2422" s="10"/>
      <c r="H2422" s="10"/>
      <c r="I2422" s="10" t="s">
        <v>43</v>
      </c>
      <c r="J2422" s="10"/>
      <c r="K2422" s="10"/>
      <c r="L2422" s="10"/>
      <c r="M2422" s="12"/>
      <c r="N2422" s="10"/>
      <c r="O2422" s="10"/>
      <c r="P2422" s="25" t="str">
        <f>IFERROR(
IF(OR(O2422="anulado",O2422="stand by"),CONCATENATE(O2422,": ",H2422),
IF(OR(YEAR(M2422)=2022,YEAR(M2422)=2023),CONCATENATE("Se activó en ",YEAR(M2422)),
IF(AND(OR(O2422="En proceso",O2422="facturando"),AND(J2422="-",M2422="")),"Por revisar",
IF(M2422="",IF(J2422="NUEVAS",CONCATENATE("Estado: ",O2422,", ",J2422),
IF(L2422=Meses!$A$3,"Por revisar",
IF(H2422="","Sin registro","En programación Frcst."))),"En programación")))),
"Error")</f>
        <v>Sin registro</v>
      </c>
      <c r="Q2422" s="9" t="str">
        <f t="shared" si="122"/>
        <v/>
      </c>
      <c r="R2422" s="25" t="str">
        <f>IF(P2422="En programación Frcst.",VLOOKUP(L2422,Meses!$A$1:$H$14,3+HLOOKUP(Cronograma!J2422,Meses!$D$1:$G$2,2,FALSE),FALSE),
IF(P2422="En programación",M2422,""))</f>
        <v/>
      </c>
      <c r="S2422" s="25" t="str">
        <f t="shared" si="123"/>
        <v/>
      </c>
      <c r="T2422" s="21" t="str">
        <f>IFERROR(
(VLOOKUP(MONTH(R2422),Meses!$B$3:$C$14,2,FALSE)-DAY(R2422))/VLOOKUP(MONTH(R2422),Meses!$B$3:$C$14,2,FALSE)*U2422,
"")</f>
        <v/>
      </c>
      <c r="U2422" s="22">
        <f t="shared" si="124"/>
        <v>2322</v>
      </c>
    </row>
    <row r="2423" spans="1:21" ht="31.8" hidden="1" thickBot="1" x14ac:dyDescent="0.6">
      <c r="A2423" s="10" t="s">
        <v>3357</v>
      </c>
      <c r="B2423" s="10" t="s">
        <v>3360</v>
      </c>
      <c r="C2423" s="12"/>
      <c r="D2423" s="10" t="s">
        <v>3182</v>
      </c>
      <c r="E2423" s="10" t="s">
        <v>3182</v>
      </c>
      <c r="F2423" s="10">
        <v>4404</v>
      </c>
      <c r="G2423" s="10"/>
      <c r="H2423" s="10"/>
      <c r="I2423" s="10" t="s">
        <v>43</v>
      </c>
      <c r="J2423" s="10"/>
      <c r="K2423" s="10"/>
      <c r="L2423" s="10"/>
      <c r="M2423" s="12"/>
      <c r="N2423" s="10"/>
      <c r="O2423" s="10"/>
      <c r="P2423" s="25" t="str">
        <f>IFERROR(
IF(OR(O2423="anulado",O2423="stand by"),CONCATENATE(O2423,": ",H2423),
IF(OR(YEAR(M2423)=2022,YEAR(M2423)=2023),CONCATENATE("Se activó en ",YEAR(M2423)),
IF(AND(OR(O2423="En proceso",O2423="facturando"),AND(J2423="-",M2423="")),"Por revisar",
IF(M2423="",IF(J2423="NUEVAS",CONCATENATE("Estado: ",O2423,", ",J2423),
IF(L2423=Meses!$A$3,"Por revisar",
IF(H2423="","Sin registro","En programación Frcst."))),"En programación")))),
"Error")</f>
        <v>Sin registro</v>
      </c>
      <c r="Q2423" s="9" t="str">
        <f t="shared" si="122"/>
        <v/>
      </c>
      <c r="R2423" s="25" t="str">
        <f>IF(P2423="En programación Frcst.",VLOOKUP(L2423,Meses!$A$1:$H$14,3+HLOOKUP(Cronograma!J2423,Meses!$D$1:$G$2,2,FALSE),FALSE),
IF(P2423="En programación",M2423,""))</f>
        <v/>
      </c>
      <c r="S2423" s="25" t="str">
        <f t="shared" si="123"/>
        <v/>
      </c>
      <c r="T2423" s="21" t="str">
        <f>IFERROR(
(VLOOKUP(MONTH(R2423),Meses!$B$3:$C$14,2,FALSE)-DAY(R2423))/VLOOKUP(MONTH(R2423),Meses!$B$3:$C$14,2,FALSE)*U2423,
"")</f>
        <v/>
      </c>
      <c r="U2423" s="22">
        <f t="shared" si="124"/>
        <v>4404</v>
      </c>
    </row>
    <row r="2424" spans="1:21" ht="31.8" hidden="1" thickBot="1" x14ac:dyDescent="0.6">
      <c r="A2424" s="10" t="s">
        <v>3357</v>
      </c>
      <c r="B2424" s="10" t="s">
        <v>3361</v>
      </c>
      <c r="C2424" s="12"/>
      <c r="D2424" s="10" t="s">
        <v>3182</v>
      </c>
      <c r="E2424" s="10" t="s">
        <v>3182</v>
      </c>
      <c r="F2424" s="10">
        <v>3261</v>
      </c>
      <c r="G2424" s="10"/>
      <c r="H2424" s="10"/>
      <c r="I2424" s="10" t="s">
        <v>43</v>
      </c>
      <c r="J2424" s="10"/>
      <c r="K2424" s="10"/>
      <c r="L2424" s="10"/>
      <c r="M2424" s="12"/>
      <c r="N2424" s="10"/>
      <c r="O2424" s="10"/>
      <c r="P2424" s="25" t="str">
        <f>IFERROR(
IF(OR(O2424="anulado",O2424="stand by"),CONCATENATE(O2424,": ",H2424),
IF(OR(YEAR(M2424)=2022,YEAR(M2424)=2023),CONCATENATE("Se activó en ",YEAR(M2424)),
IF(AND(OR(O2424="En proceso",O2424="facturando"),AND(J2424="-",M2424="")),"Por revisar",
IF(M2424="",IF(J2424="NUEVAS",CONCATENATE("Estado: ",O2424,", ",J2424),
IF(L2424=Meses!$A$3,"Por revisar",
IF(H2424="","Sin registro","En programación Frcst."))),"En programación")))),
"Error")</f>
        <v>Sin registro</v>
      </c>
      <c r="Q2424" s="9" t="str">
        <f t="shared" si="122"/>
        <v/>
      </c>
      <c r="R2424" s="25" t="str">
        <f>IF(P2424="En programación Frcst.",VLOOKUP(L2424,Meses!$A$1:$H$14,3+HLOOKUP(Cronograma!J2424,Meses!$D$1:$G$2,2,FALSE),FALSE),
IF(P2424="En programación",M2424,""))</f>
        <v/>
      </c>
      <c r="S2424" s="25" t="str">
        <f t="shared" si="123"/>
        <v/>
      </c>
      <c r="T2424" s="21" t="str">
        <f>IFERROR(
(VLOOKUP(MONTH(R2424),Meses!$B$3:$C$14,2,FALSE)-DAY(R2424))/VLOOKUP(MONTH(R2424),Meses!$B$3:$C$14,2,FALSE)*U2424,
"")</f>
        <v/>
      </c>
      <c r="U2424" s="22">
        <f t="shared" si="124"/>
        <v>3261</v>
      </c>
    </row>
    <row r="2425" spans="1:21" ht="31.8" hidden="1" thickBot="1" x14ac:dyDescent="0.6">
      <c r="A2425" s="10" t="s">
        <v>3357</v>
      </c>
      <c r="B2425" s="10" t="s">
        <v>3362</v>
      </c>
      <c r="C2425" s="12"/>
      <c r="D2425" s="10" t="s">
        <v>3182</v>
      </c>
      <c r="E2425" s="10" t="s">
        <v>3182</v>
      </c>
      <c r="F2425" s="10">
        <v>2640</v>
      </c>
      <c r="G2425" s="10"/>
      <c r="H2425" s="10"/>
      <c r="I2425" s="10" t="s">
        <v>43</v>
      </c>
      <c r="J2425" s="10"/>
      <c r="K2425" s="10"/>
      <c r="L2425" s="10"/>
      <c r="M2425" s="12"/>
      <c r="N2425" s="10"/>
      <c r="O2425" s="10"/>
      <c r="P2425" s="25" t="str">
        <f>IFERROR(
IF(OR(O2425="anulado",O2425="stand by"),CONCATENATE(O2425,": ",H2425),
IF(OR(YEAR(M2425)=2022,YEAR(M2425)=2023),CONCATENATE("Se activó en ",YEAR(M2425)),
IF(AND(OR(O2425="En proceso",O2425="facturando"),AND(J2425="-",M2425="")),"Por revisar",
IF(M2425="",IF(J2425="NUEVAS",CONCATENATE("Estado: ",O2425,", ",J2425),
IF(L2425=Meses!$A$3,"Por revisar",
IF(H2425="","Sin registro","En programación Frcst."))),"En programación")))),
"Error")</f>
        <v>Sin registro</v>
      </c>
      <c r="Q2425" s="9" t="str">
        <f t="shared" si="122"/>
        <v/>
      </c>
      <c r="R2425" s="25" t="str">
        <f>IF(P2425="En programación Frcst.",VLOOKUP(L2425,Meses!$A$1:$H$14,3+HLOOKUP(Cronograma!J2425,Meses!$D$1:$G$2,2,FALSE),FALSE),
IF(P2425="En programación",M2425,""))</f>
        <v/>
      </c>
      <c r="S2425" s="25" t="str">
        <f t="shared" si="123"/>
        <v/>
      </c>
      <c r="T2425" s="21" t="str">
        <f>IFERROR(
(VLOOKUP(MONTH(R2425),Meses!$B$3:$C$14,2,FALSE)-DAY(R2425))/VLOOKUP(MONTH(R2425),Meses!$B$3:$C$14,2,FALSE)*U2425,
"")</f>
        <v/>
      </c>
      <c r="U2425" s="22">
        <f t="shared" si="124"/>
        <v>2640</v>
      </c>
    </row>
    <row r="2426" spans="1:21" ht="31.8" hidden="1" thickBot="1" x14ac:dyDescent="0.6">
      <c r="A2426" s="10" t="s">
        <v>3363</v>
      </c>
      <c r="B2426" s="10" t="s">
        <v>3364</v>
      </c>
      <c r="C2426" s="12"/>
      <c r="D2426" s="10" t="s">
        <v>3182</v>
      </c>
      <c r="E2426" s="10" t="s">
        <v>3182</v>
      </c>
      <c r="F2426" s="10">
        <v>1550</v>
      </c>
      <c r="G2426" s="10"/>
      <c r="H2426" s="10"/>
      <c r="I2426" s="10" t="s">
        <v>43</v>
      </c>
      <c r="J2426" s="10"/>
      <c r="K2426" s="10"/>
      <c r="L2426" s="10"/>
      <c r="M2426" s="12"/>
      <c r="N2426" s="10"/>
      <c r="O2426" s="10"/>
      <c r="P2426" s="25" t="str">
        <f>IFERROR(
IF(OR(O2426="anulado",O2426="stand by"),CONCATENATE(O2426,": ",H2426),
IF(OR(YEAR(M2426)=2022,YEAR(M2426)=2023),CONCATENATE("Se activó en ",YEAR(M2426)),
IF(AND(OR(O2426="En proceso",O2426="facturando"),AND(J2426="-",M2426="")),"Por revisar",
IF(M2426="",IF(J2426="NUEVAS",CONCATENATE("Estado: ",O2426,", ",J2426),
IF(L2426=Meses!$A$3,"Por revisar",
IF(H2426="","Sin registro","En programación Frcst."))),"En programación")))),
"Error")</f>
        <v>Sin registro</v>
      </c>
      <c r="Q2426" s="9" t="str">
        <f t="shared" si="122"/>
        <v/>
      </c>
      <c r="R2426" s="25" t="str">
        <f>IF(P2426="En programación Frcst.",VLOOKUP(L2426,Meses!$A$1:$H$14,3+HLOOKUP(Cronograma!J2426,Meses!$D$1:$G$2,2,FALSE),FALSE),
IF(P2426="En programación",M2426,""))</f>
        <v/>
      </c>
      <c r="S2426" s="25" t="str">
        <f t="shared" si="123"/>
        <v/>
      </c>
      <c r="T2426" s="21" t="str">
        <f>IFERROR(
(VLOOKUP(MONTH(R2426),Meses!$B$3:$C$14,2,FALSE)-DAY(R2426))/VLOOKUP(MONTH(R2426),Meses!$B$3:$C$14,2,FALSE)*U2426,
"")</f>
        <v/>
      </c>
      <c r="U2426" s="22">
        <f t="shared" si="124"/>
        <v>1550</v>
      </c>
    </row>
    <row r="2427" spans="1:21" ht="31.8" hidden="1" thickBot="1" x14ac:dyDescent="0.6">
      <c r="A2427" s="10" t="s">
        <v>3363</v>
      </c>
      <c r="B2427" s="10" t="s">
        <v>3365</v>
      </c>
      <c r="C2427" s="12"/>
      <c r="D2427" s="10" t="s">
        <v>3182</v>
      </c>
      <c r="E2427" s="10" t="s">
        <v>3182</v>
      </c>
      <c r="F2427" s="10">
        <v>1471</v>
      </c>
      <c r="G2427" s="10"/>
      <c r="H2427" s="10"/>
      <c r="I2427" s="10" t="s">
        <v>43</v>
      </c>
      <c r="J2427" s="10"/>
      <c r="K2427" s="10"/>
      <c r="L2427" s="10"/>
      <c r="M2427" s="12"/>
      <c r="N2427" s="10"/>
      <c r="O2427" s="10"/>
      <c r="P2427" s="25" t="str">
        <f>IFERROR(
IF(OR(O2427="anulado",O2427="stand by"),CONCATENATE(O2427,": ",H2427),
IF(OR(YEAR(M2427)=2022,YEAR(M2427)=2023),CONCATENATE("Se activó en ",YEAR(M2427)),
IF(AND(OR(O2427="En proceso",O2427="facturando"),AND(J2427="-",M2427="")),"Por revisar",
IF(M2427="",IF(J2427="NUEVAS",CONCATENATE("Estado: ",O2427,", ",J2427),
IF(L2427=Meses!$A$3,"Por revisar",
IF(H2427="","Sin registro","En programación Frcst."))),"En programación")))),
"Error")</f>
        <v>Sin registro</v>
      </c>
      <c r="Q2427" s="9" t="str">
        <f t="shared" si="122"/>
        <v/>
      </c>
      <c r="R2427" s="25" t="str">
        <f>IF(P2427="En programación Frcst.",VLOOKUP(L2427,Meses!$A$1:$H$14,3+HLOOKUP(Cronograma!J2427,Meses!$D$1:$G$2,2,FALSE),FALSE),
IF(P2427="En programación",M2427,""))</f>
        <v/>
      </c>
      <c r="S2427" s="25" t="str">
        <f t="shared" si="123"/>
        <v/>
      </c>
      <c r="T2427" s="21" t="str">
        <f>IFERROR(
(VLOOKUP(MONTH(R2427),Meses!$B$3:$C$14,2,FALSE)-DAY(R2427))/VLOOKUP(MONTH(R2427),Meses!$B$3:$C$14,2,FALSE)*U2427,
"")</f>
        <v/>
      </c>
      <c r="U2427" s="22">
        <f t="shared" si="124"/>
        <v>1471</v>
      </c>
    </row>
    <row r="2428" spans="1:21" ht="31.8" hidden="1" thickBot="1" x14ac:dyDescent="0.6">
      <c r="A2428" s="10" t="s">
        <v>3366</v>
      </c>
      <c r="B2428" s="10" t="s">
        <v>3367</v>
      </c>
      <c r="C2428" s="12"/>
      <c r="D2428" s="10" t="s">
        <v>3182</v>
      </c>
      <c r="E2428" s="10" t="s">
        <v>3182</v>
      </c>
      <c r="F2428" s="10">
        <v>8234</v>
      </c>
      <c r="G2428" s="10"/>
      <c r="H2428" s="10"/>
      <c r="I2428" s="10" t="s">
        <v>43</v>
      </c>
      <c r="J2428" s="10"/>
      <c r="K2428" s="10"/>
      <c r="L2428" s="10"/>
      <c r="M2428" s="12"/>
      <c r="N2428" s="10"/>
      <c r="O2428" s="10"/>
      <c r="P2428" s="25" t="str">
        <f>IFERROR(
IF(OR(O2428="anulado",O2428="stand by"),CONCATENATE(O2428,": ",H2428),
IF(OR(YEAR(M2428)=2022,YEAR(M2428)=2023),CONCATENATE("Se activó en ",YEAR(M2428)),
IF(AND(OR(O2428="En proceso",O2428="facturando"),AND(J2428="-",M2428="")),"Por revisar",
IF(M2428="",IF(J2428="NUEVAS",CONCATENATE("Estado: ",O2428,", ",J2428),
IF(L2428=Meses!$A$3,"Por revisar",
IF(H2428="","Sin registro","En programación Frcst."))),"En programación")))),
"Error")</f>
        <v>Sin registro</v>
      </c>
      <c r="Q2428" s="9" t="str">
        <f t="shared" si="122"/>
        <v/>
      </c>
      <c r="R2428" s="25" t="str">
        <f>IF(P2428="En programación Frcst.",VLOOKUP(L2428,Meses!$A$1:$H$14,3+HLOOKUP(Cronograma!J2428,Meses!$D$1:$G$2,2,FALSE),FALSE),
IF(P2428="En programación",M2428,""))</f>
        <v/>
      </c>
      <c r="S2428" s="25" t="str">
        <f t="shared" si="123"/>
        <v/>
      </c>
      <c r="T2428" s="21" t="str">
        <f>IFERROR(
(VLOOKUP(MONTH(R2428),Meses!$B$3:$C$14,2,FALSE)-DAY(R2428))/VLOOKUP(MONTH(R2428),Meses!$B$3:$C$14,2,FALSE)*U2428,
"")</f>
        <v/>
      </c>
      <c r="U2428" s="22">
        <f t="shared" si="124"/>
        <v>8234</v>
      </c>
    </row>
    <row r="2429" spans="1:21" ht="63" hidden="1" thickBot="1" x14ac:dyDescent="0.6">
      <c r="A2429" s="10" t="s">
        <v>3368</v>
      </c>
      <c r="B2429" s="10" t="s">
        <v>3369</v>
      </c>
      <c r="C2429" s="12"/>
      <c r="D2429" s="10" t="s">
        <v>3182</v>
      </c>
      <c r="E2429" s="10" t="s">
        <v>3182</v>
      </c>
      <c r="F2429" s="10">
        <v>4377</v>
      </c>
      <c r="G2429" s="10"/>
      <c r="H2429" s="10"/>
      <c r="I2429" s="10" t="s">
        <v>43</v>
      </c>
      <c r="J2429" s="10"/>
      <c r="K2429" s="10"/>
      <c r="L2429" s="10"/>
      <c r="M2429" s="12"/>
      <c r="N2429" s="10"/>
      <c r="O2429" s="10"/>
      <c r="P2429" s="25" t="str">
        <f>IFERROR(
IF(OR(O2429="anulado",O2429="stand by"),CONCATENATE(O2429,": ",H2429),
IF(OR(YEAR(M2429)=2022,YEAR(M2429)=2023),CONCATENATE("Se activó en ",YEAR(M2429)),
IF(AND(OR(O2429="En proceso",O2429="facturando"),AND(J2429="-",M2429="")),"Por revisar",
IF(M2429="",IF(J2429="NUEVAS",CONCATENATE("Estado: ",O2429,", ",J2429),
IF(L2429=Meses!$A$3,"Por revisar",
IF(H2429="","Sin registro","En programación Frcst."))),"En programación")))),
"Error")</f>
        <v>Sin registro</v>
      </c>
      <c r="Q2429" s="9" t="str">
        <f t="shared" si="122"/>
        <v/>
      </c>
      <c r="R2429" s="25" t="str">
        <f>IF(P2429="En programación Frcst.",VLOOKUP(L2429,Meses!$A$1:$H$14,3+HLOOKUP(Cronograma!J2429,Meses!$D$1:$G$2,2,FALSE),FALSE),
IF(P2429="En programación",M2429,""))</f>
        <v/>
      </c>
      <c r="S2429" s="25" t="str">
        <f t="shared" si="123"/>
        <v/>
      </c>
      <c r="T2429" s="21" t="str">
        <f>IFERROR(
(VLOOKUP(MONTH(R2429),Meses!$B$3:$C$14,2,FALSE)-DAY(R2429))/VLOOKUP(MONTH(R2429),Meses!$B$3:$C$14,2,FALSE)*U2429,
"")</f>
        <v/>
      </c>
      <c r="U2429" s="22">
        <f t="shared" si="124"/>
        <v>4377</v>
      </c>
    </row>
    <row r="2430" spans="1:21" ht="63" hidden="1" thickBot="1" x14ac:dyDescent="0.6">
      <c r="A2430" s="10" t="s">
        <v>3368</v>
      </c>
      <c r="B2430" s="10" t="s">
        <v>3370</v>
      </c>
      <c r="C2430" s="12"/>
      <c r="D2430" s="10" t="s">
        <v>3182</v>
      </c>
      <c r="E2430" s="10" t="s">
        <v>3182</v>
      </c>
      <c r="F2430" s="10">
        <v>2204</v>
      </c>
      <c r="G2430" s="10"/>
      <c r="H2430" s="10"/>
      <c r="I2430" s="10" t="s">
        <v>43</v>
      </c>
      <c r="J2430" s="10"/>
      <c r="K2430" s="10"/>
      <c r="L2430" s="10"/>
      <c r="M2430" s="12"/>
      <c r="N2430" s="10"/>
      <c r="O2430" s="10"/>
      <c r="P2430" s="25" t="str">
        <f>IFERROR(
IF(OR(O2430="anulado",O2430="stand by"),CONCATENATE(O2430,": ",H2430),
IF(OR(YEAR(M2430)=2022,YEAR(M2430)=2023),CONCATENATE("Se activó en ",YEAR(M2430)),
IF(AND(OR(O2430="En proceso",O2430="facturando"),AND(J2430="-",M2430="")),"Por revisar",
IF(M2430="",IF(J2430="NUEVAS",CONCATENATE("Estado: ",O2430,", ",J2430),
IF(L2430=Meses!$A$3,"Por revisar",
IF(H2430="","Sin registro","En programación Frcst."))),"En programación")))),
"Error")</f>
        <v>Sin registro</v>
      </c>
      <c r="Q2430" s="9" t="str">
        <f t="shared" si="122"/>
        <v/>
      </c>
      <c r="R2430" s="25" t="str">
        <f>IF(P2430="En programación Frcst.",VLOOKUP(L2430,Meses!$A$1:$H$14,3+HLOOKUP(Cronograma!J2430,Meses!$D$1:$G$2,2,FALSE),FALSE),
IF(P2430="En programación",M2430,""))</f>
        <v/>
      </c>
      <c r="S2430" s="25" t="str">
        <f t="shared" si="123"/>
        <v/>
      </c>
      <c r="T2430" s="21" t="str">
        <f>IFERROR(
(VLOOKUP(MONTH(R2430),Meses!$B$3:$C$14,2,FALSE)-DAY(R2430))/VLOOKUP(MONTH(R2430),Meses!$B$3:$C$14,2,FALSE)*U2430,
"")</f>
        <v/>
      </c>
      <c r="U2430" s="22">
        <f t="shared" si="124"/>
        <v>2204</v>
      </c>
    </row>
    <row r="2431" spans="1:21" ht="63" hidden="1" thickBot="1" x14ac:dyDescent="0.6">
      <c r="A2431" s="10" t="s">
        <v>3368</v>
      </c>
      <c r="B2431" s="10" t="s">
        <v>3371</v>
      </c>
      <c r="C2431" s="12"/>
      <c r="D2431" s="10" t="s">
        <v>3182</v>
      </c>
      <c r="E2431" s="10" t="s">
        <v>3182</v>
      </c>
      <c r="F2431" s="10">
        <v>3915</v>
      </c>
      <c r="G2431" s="10"/>
      <c r="H2431" s="10"/>
      <c r="I2431" s="10" t="s">
        <v>43</v>
      </c>
      <c r="J2431" s="10"/>
      <c r="K2431" s="10"/>
      <c r="L2431" s="10"/>
      <c r="M2431" s="12"/>
      <c r="N2431" s="10"/>
      <c r="O2431" s="10"/>
      <c r="P2431" s="25" t="str">
        <f>IFERROR(
IF(OR(O2431="anulado",O2431="stand by"),CONCATENATE(O2431,": ",H2431),
IF(OR(YEAR(M2431)=2022,YEAR(M2431)=2023),CONCATENATE("Se activó en ",YEAR(M2431)),
IF(AND(OR(O2431="En proceso",O2431="facturando"),AND(J2431="-",M2431="")),"Por revisar",
IF(M2431="",IF(J2431="NUEVAS",CONCATENATE("Estado: ",O2431,", ",J2431),
IF(L2431=Meses!$A$3,"Por revisar",
IF(H2431="","Sin registro","En programación Frcst."))),"En programación")))),
"Error")</f>
        <v>Sin registro</v>
      </c>
      <c r="Q2431" s="9" t="str">
        <f t="shared" si="122"/>
        <v/>
      </c>
      <c r="R2431" s="25" t="str">
        <f>IF(P2431="En programación Frcst.",VLOOKUP(L2431,Meses!$A$1:$H$14,3+HLOOKUP(Cronograma!J2431,Meses!$D$1:$G$2,2,FALSE),FALSE),
IF(P2431="En programación",M2431,""))</f>
        <v/>
      </c>
      <c r="S2431" s="25" t="str">
        <f t="shared" si="123"/>
        <v/>
      </c>
      <c r="T2431" s="21" t="str">
        <f>IFERROR(
(VLOOKUP(MONTH(R2431),Meses!$B$3:$C$14,2,FALSE)-DAY(R2431))/VLOOKUP(MONTH(R2431),Meses!$B$3:$C$14,2,FALSE)*U2431,
"")</f>
        <v/>
      </c>
      <c r="U2431" s="22">
        <f t="shared" si="124"/>
        <v>3915</v>
      </c>
    </row>
    <row r="2432" spans="1:21" ht="31.8" hidden="1" thickBot="1" x14ac:dyDescent="0.6">
      <c r="A2432" s="10" t="s">
        <v>3351</v>
      </c>
      <c r="B2432" s="10" t="s">
        <v>3372</v>
      </c>
      <c r="C2432" s="12"/>
      <c r="D2432" s="10" t="s">
        <v>3182</v>
      </c>
      <c r="E2432" s="10" t="s">
        <v>3182</v>
      </c>
      <c r="F2432" s="10">
        <v>3847</v>
      </c>
      <c r="G2432" s="10"/>
      <c r="H2432" s="10"/>
      <c r="I2432" s="10" t="s">
        <v>43</v>
      </c>
      <c r="J2432" s="10"/>
      <c r="K2432" s="10"/>
      <c r="L2432" s="10"/>
      <c r="M2432" s="12"/>
      <c r="N2432" s="10"/>
      <c r="O2432" s="10"/>
      <c r="P2432" s="25" t="str">
        <f>IFERROR(
IF(OR(O2432="anulado",O2432="stand by"),CONCATENATE(O2432,": ",H2432),
IF(OR(YEAR(M2432)=2022,YEAR(M2432)=2023),CONCATENATE("Se activó en ",YEAR(M2432)),
IF(AND(OR(O2432="En proceso",O2432="facturando"),AND(J2432="-",M2432="")),"Por revisar",
IF(M2432="",IF(J2432="NUEVAS",CONCATENATE("Estado: ",O2432,", ",J2432),
IF(L2432=Meses!$A$3,"Por revisar",
IF(H2432="","Sin registro","En programación Frcst."))),"En programación")))),
"Error")</f>
        <v>Sin registro</v>
      </c>
      <c r="Q2432" s="9" t="str">
        <f t="shared" si="122"/>
        <v/>
      </c>
      <c r="R2432" s="25" t="str">
        <f>IF(P2432="En programación Frcst.",VLOOKUP(L2432,Meses!$A$1:$H$14,3+HLOOKUP(Cronograma!J2432,Meses!$D$1:$G$2,2,FALSE),FALSE),
IF(P2432="En programación",M2432,""))</f>
        <v/>
      </c>
      <c r="S2432" s="25" t="str">
        <f t="shared" si="123"/>
        <v/>
      </c>
      <c r="T2432" s="21" t="str">
        <f>IFERROR(
(VLOOKUP(MONTH(R2432),Meses!$B$3:$C$14,2,FALSE)-DAY(R2432))/VLOOKUP(MONTH(R2432),Meses!$B$3:$C$14,2,FALSE)*U2432,
"")</f>
        <v/>
      </c>
      <c r="U2432" s="22">
        <f t="shared" si="124"/>
        <v>3847</v>
      </c>
    </row>
    <row r="2433" spans="1:21" ht="47.4" hidden="1" thickBot="1" x14ac:dyDescent="0.6">
      <c r="A2433" s="10" t="s">
        <v>3373</v>
      </c>
      <c r="B2433" s="10" t="s">
        <v>3374</v>
      </c>
      <c r="C2433" s="12"/>
      <c r="D2433" s="10" t="s">
        <v>3182</v>
      </c>
      <c r="E2433" s="10" t="s">
        <v>3182</v>
      </c>
      <c r="F2433" s="10">
        <v>3200</v>
      </c>
      <c r="G2433" s="10"/>
      <c r="H2433" s="10"/>
      <c r="I2433" s="10" t="s">
        <v>43</v>
      </c>
      <c r="J2433" s="10"/>
      <c r="K2433" s="10"/>
      <c r="L2433" s="10"/>
      <c r="M2433" s="12"/>
      <c r="N2433" s="10"/>
      <c r="O2433" s="10"/>
      <c r="P2433" s="25" t="str">
        <f>IFERROR(
IF(OR(O2433="anulado",O2433="stand by"),CONCATENATE(O2433,": ",H2433),
IF(OR(YEAR(M2433)=2022,YEAR(M2433)=2023),CONCATENATE("Se activó en ",YEAR(M2433)),
IF(AND(OR(O2433="En proceso",O2433="facturando"),AND(J2433="-",M2433="")),"Por revisar",
IF(M2433="",IF(J2433="NUEVAS",CONCATENATE("Estado: ",O2433,", ",J2433),
IF(L2433=Meses!$A$3,"Por revisar",
IF(H2433="","Sin registro","En programación Frcst."))),"En programación")))),
"Error")</f>
        <v>Sin registro</v>
      </c>
      <c r="Q2433" s="9" t="str">
        <f t="shared" si="122"/>
        <v/>
      </c>
      <c r="R2433" s="25" t="str">
        <f>IF(P2433="En programación Frcst.",VLOOKUP(L2433,Meses!$A$1:$H$14,3+HLOOKUP(Cronograma!J2433,Meses!$D$1:$G$2,2,FALSE),FALSE),
IF(P2433="En programación",M2433,""))</f>
        <v/>
      </c>
      <c r="S2433" s="25" t="str">
        <f t="shared" si="123"/>
        <v/>
      </c>
      <c r="T2433" s="21" t="str">
        <f>IFERROR(
(VLOOKUP(MONTH(R2433),Meses!$B$3:$C$14,2,FALSE)-DAY(R2433))/VLOOKUP(MONTH(R2433),Meses!$B$3:$C$14,2,FALSE)*U2433,
"")</f>
        <v/>
      </c>
      <c r="U2433" s="22">
        <f t="shared" si="124"/>
        <v>3200</v>
      </c>
    </row>
    <row r="2434" spans="1:21" ht="47.4" hidden="1" thickBot="1" x14ac:dyDescent="0.6">
      <c r="A2434" s="10" t="s">
        <v>3373</v>
      </c>
      <c r="B2434" s="10" t="s">
        <v>3375</v>
      </c>
      <c r="C2434" s="12"/>
      <c r="D2434" s="10" t="s">
        <v>3182</v>
      </c>
      <c r="E2434" s="10" t="s">
        <v>3182</v>
      </c>
      <c r="F2434" s="10">
        <v>2800</v>
      </c>
      <c r="G2434" s="10"/>
      <c r="H2434" s="10"/>
      <c r="I2434" s="10" t="s">
        <v>43</v>
      </c>
      <c r="J2434" s="10"/>
      <c r="K2434" s="10"/>
      <c r="L2434" s="10"/>
      <c r="M2434" s="12"/>
      <c r="N2434" s="10"/>
      <c r="O2434" s="10"/>
      <c r="P2434" s="25" t="str">
        <f>IFERROR(
IF(OR(O2434="anulado",O2434="stand by"),CONCATENATE(O2434,": ",H2434),
IF(OR(YEAR(M2434)=2022,YEAR(M2434)=2023),CONCATENATE("Se activó en ",YEAR(M2434)),
IF(AND(OR(O2434="En proceso",O2434="facturando"),AND(J2434="-",M2434="")),"Por revisar",
IF(M2434="",IF(J2434="NUEVAS",CONCATENATE("Estado: ",O2434,", ",J2434),
IF(L2434=Meses!$A$3,"Por revisar",
IF(H2434="","Sin registro","En programación Frcst."))),"En programación")))),
"Error")</f>
        <v>Sin registro</v>
      </c>
      <c r="Q2434" s="9" t="str">
        <f t="shared" si="122"/>
        <v/>
      </c>
      <c r="R2434" s="25" t="str">
        <f>IF(P2434="En programación Frcst.",VLOOKUP(L2434,Meses!$A$1:$H$14,3+HLOOKUP(Cronograma!J2434,Meses!$D$1:$G$2,2,FALSE),FALSE),
IF(P2434="En programación",M2434,""))</f>
        <v/>
      </c>
      <c r="S2434" s="25" t="str">
        <f t="shared" si="123"/>
        <v/>
      </c>
      <c r="T2434" s="21" t="str">
        <f>IFERROR(
(VLOOKUP(MONTH(R2434),Meses!$B$3:$C$14,2,FALSE)-DAY(R2434))/VLOOKUP(MONTH(R2434),Meses!$B$3:$C$14,2,FALSE)*U2434,
"")</f>
        <v/>
      </c>
      <c r="U2434" s="22">
        <f t="shared" si="124"/>
        <v>2800</v>
      </c>
    </row>
    <row r="2435" spans="1:21" ht="31.8" hidden="1" thickBot="1" x14ac:dyDescent="0.6">
      <c r="A2435" s="10" t="s">
        <v>3376</v>
      </c>
      <c r="B2435" s="10" t="s">
        <v>3377</v>
      </c>
      <c r="C2435" s="12"/>
      <c r="D2435" s="10" t="s">
        <v>3182</v>
      </c>
      <c r="E2435" s="10" t="s">
        <v>3182</v>
      </c>
      <c r="F2435" s="10">
        <v>3150</v>
      </c>
      <c r="G2435" s="10"/>
      <c r="H2435" s="10"/>
      <c r="I2435" s="10" t="s">
        <v>43</v>
      </c>
      <c r="J2435" s="10"/>
      <c r="K2435" s="10"/>
      <c r="L2435" s="10"/>
      <c r="M2435" s="12"/>
      <c r="N2435" s="10"/>
      <c r="O2435" s="10"/>
      <c r="P2435" s="25" t="str">
        <f>IFERROR(
IF(OR(O2435="anulado",O2435="stand by"),CONCATENATE(O2435,": ",H2435),
IF(OR(YEAR(M2435)=2022,YEAR(M2435)=2023),CONCATENATE("Se activó en ",YEAR(M2435)),
IF(AND(OR(O2435="En proceso",O2435="facturando"),AND(J2435="-",M2435="")),"Por revisar",
IF(M2435="",IF(J2435="NUEVAS",CONCATENATE("Estado: ",O2435,", ",J2435),
IF(L2435=Meses!$A$3,"Por revisar",
IF(H2435="","Sin registro","En programación Frcst."))),"En programación")))),
"Error")</f>
        <v>Sin registro</v>
      </c>
      <c r="Q2435" s="9" t="str">
        <f t="shared" si="122"/>
        <v/>
      </c>
      <c r="R2435" s="25" t="str">
        <f>IF(P2435="En programación Frcst.",VLOOKUP(L2435,Meses!$A$1:$H$14,3+HLOOKUP(Cronograma!J2435,Meses!$D$1:$G$2,2,FALSE),FALSE),
IF(P2435="En programación",M2435,""))</f>
        <v/>
      </c>
      <c r="S2435" s="25" t="str">
        <f t="shared" si="123"/>
        <v/>
      </c>
      <c r="T2435" s="21" t="str">
        <f>IFERROR(
(VLOOKUP(MONTH(R2435),Meses!$B$3:$C$14,2,FALSE)-DAY(R2435))/VLOOKUP(MONTH(R2435),Meses!$B$3:$C$14,2,FALSE)*U2435,
"")</f>
        <v/>
      </c>
      <c r="U2435" s="22">
        <f t="shared" si="124"/>
        <v>3150</v>
      </c>
    </row>
    <row r="2436" spans="1:21" ht="31.8" hidden="1" thickBot="1" x14ac:dyDescent="0.6">
      <c r="A2436" s="10" t="s">
        <v>3376</v>
      </c>
      <c r="B2436" s="10" t="s">
        <v>3378</v>
      </c>
      <c r="C2436" s="12"/>
      <c r="D2436" s="10" t="s">
        <v>3182</v>
      </c>
      <c r="E2436" s="10" t="s">
        <v>3182</v>
      </c>
      <c r="F2436" s="10">
        <v>1500</v>
      </c>
      <c r="G2436" s="10"/>
      <c r="H2436" s="10"/>
      <c r="I2436" s="10" t="s">
        <v>43</v>
      </c>
      <c r="J2436" s="10"/>
      <c r="K2436" s="10"/>
      <c r="L2436" s="10"/>
      <c r="M2436" s="12"/>
      <c r="N2436" s="10"/>
      <c r="O2436" s="10"/>
      <c r="P2436" s="25" t="str">
        <f>IFERROR(
IF(OR(O2436="anulado",O2436="stand by"),CONCATENATE(O2436,": ",H2436),
IF(OR(YEAR(M2436)=2022,YEAR(M2436)=2023),CONCATENATE("Se activó en ",YEAR(M2436)),
IF(AND(OR(O2436="En proceso",O2436="facturando"),AND(J2436="-",M2436="")),"Por revisar",
IF(M2436="",IF(J2436="NUEVAS",CONCATENATE("Estado: ",O2436,", ",J2436),
IF(L2436=Meses!$A$3,"Por revisar",
IF(H2436="","Sin registro","En programación Frcst."))),"En programación")))),
"Error")</f>
        <v>Sin registro</v>
      </c>
      <c r="Q2436" s="9" t="str">
        <f t="shared" si="122"/>
        <v/>
      </c>
      <c r="R2436" s="25" t="str">
        <f>IF(P2436="En programación Frcst.",VLOOKUP(L2436,Meses!$A$1:$H$14,3+HLOOKUP(Cronograma!J2436,Meses!$D$1:$G$2,2,FALSE),FALSE),
IF(P2436="En programación",M2436,""))</f>
        <v/>
      </c>
      <c r="S2436" s="25" t="str">
        <f t="shared" si="123"/>
        <v/>
      </c>
      <c r="T2436" s="21" t="str">
        <f>IFERROR(
(VLOOKUP(MONTH(R2436),Meses!$B$3:$C$14,2,FALSE)-DAY(R2436))/VLOOKUP(MONTH(R2436),Meses!$B$3:$C$14,2,FALSE)*U2436,
"")</f>
        <v/>
      </c>
      <c r="U2436" s="22">
        <f t="shared" si="124"/>
        <v>1500</v>
      </c>
    </row>
    <row r="2437" spans="1:21" ht="31.8" hidden="1" thickBot="1" x14ac:dyDescent="0.6">
      <c r="A2437" s="10" t="s">
        <v>3376</v>
      </c>
      <c r="B2437" s="10" t="s">
        <v>3379</v>
      </c>
      <c r="C2437" s="12"/>
      <c r="D2437" s="10" t="s">
        <v>3182</v>
      </c>
      <c r="E2437" s="10" t="s">
        <v>3182</v>
      </c>
      <c r="F2437" s="10">
        <v>4900</v>
      </c>
      <c r="G2437" s="10"/>
      <c r="H2437" s="10"/>
      <c r="I2437" s="10" t="s">
        <v>43</v>
      </c>
      <c r="J2437" s="10"/>
      <c r="K2437" s="10"/>
      <c r="L2437" s="10"/>
      <c r="M2437" s="12"/>
      <c r="N2437" s="10"/>
      <c r="O2437" s="10"/>
      <c r="P2437" s="25" t="str">
        <f>IFERROR(
IF(OR(O2437="anulado",O2437="stand by"),CONCATENATE(O2437,": ",H2437),
IF(OR(YEAR(M2437)=2022,YEAR(M2437)=2023),CONCATENATE("Se activó en ",YEAR(M2437)),
IF(AND(OR(O2437="En proceso",O2437="facturando"),AND(J2437="-",M2437="")),"Por revisar",
IF(M2437="",IF(J2437="NUEVAS",CONCATENATE("Estado: ",O2437,", ",J2437),
IF(L2437=Meses!$A$3,"Por revisar",
IF(H2437="","Sin registro","En programación Frcst."))),"En programación")))),
"Error")</f>
        <v>Sin registro</v>
      </c>
      <c r="Q2437" s="9" t="str">
        <f t="shared" si="122"/>
        <v/>
      </c>
      <c r="R2437" s="25" t="str">
        <f>IF(P2437="En programación Frcst.",VLOOKUP(L2437,Meses!$A$1:$H$14,3+HLOOKUP(Cronograma!J2437,Meses!$D$1:$G$2,2,FALSE),FALSE),
IF(P2437="En programación",M2437,""))</f>
        <v/>
      </c>
      <c r="S2437" s="25" t="str">
        <f t="shared" si="123"/>
        <v/>
      </c>
      <c r="T2437" s="21" t="str">
        <f>IFERROR(
(VLOOKUP(MONTH(R2437),Meses!$B$3:$C$14,2,FALSE)-DAY(R2437))/VLOOKUP(MONTH(R2437),Meses!$B$3:$C$14,2,FALSE)*U2437,
"")</f>
        <v/>
      </c>
      <c r="U2437" s="22">
        <f t="shared" si="124"/>
        <v>4900</v>
      </c>
    </row>
    <row r="2438" spans="1:21" ht="31.8" hidden="1" thickBot="1" x14ac:dyDescent="0.6">
      <c r="A2438" s="10" t="s">
        <v>3380</v>
      </c>
      <c r="B2438" s="10" t="s">
        <v>3381</v>
      </c>
      <c r="C2438" s="12"/>
      <c r="D2438" s="10" t="s">
        <v>3182</v>
      </c>
      <c r="E2438" s="10" t="s">
        <v>3182</v>
      </c>
      <c r="F2438" s="10">
        <v>1385</v>
      </c>
      <c r="G2438" s="10"/>
      <c r="H2438" s="10"/>
      <c r="I2438" s="10" t="s">
        <v>43</v>
      </c>
      <c r="J2438" s="10"/>
      <c r="K2438" s="10"/>
      <c r="L2438" s="10"/>
      <c r="M2438" s="12"/>
      <c r="N2438" s="10"/>
      <c r="O2438" s="10"/>
      <c r="P2438" s="25" t="str">
        <f>IFERROR(
IF(OR(O2438="anulado",O2438="stand by"),CONCATENATE(O2438,": ",H2438),
IF(OR(YEAR(M2438)=2022,YEAR(M2438)=2023),CONCATENATE("Se activó en ",YEAR(M2438)),
IF(AND(OR(O2438="En proceso",O2438="facturando"),AND(J2438="-",M2438="")),"Por revisar",
IF(M2438="",IF(J2438="NUEVAS",CONCATENATE("Estado: ",O2438,", ",J2438),
IF(L2438=Meses!$A$3,"Por revisar",
IF(H2438="","Sin registro","En programación Frcst."))),"En programación")))),
"Error")</f>
        <v>Sin registro</v>
      </c>
      <c r="Q2438" s="9" t="str">
        <f t="shared" si="122"/>
        <v/>
      </c>
      <c r="R2438" s="25" t="str">
        <f>IF(P2438="En programación Frcst.",VLOOKUP(L2438,Meses!$A$1:$H$14,3+HLOOKUP(Cronograma!J2438,Meses!$D$1:$G$2,2,FALSE),FALSE),
IF(P2438="En programación",M2438,""))</f>
        <v/>
      </c>
      <c r="S2438" s="25" t="str">
        <f t="shared" si="123"/>
        <v/>
      </c>
      <c r="T2438" s="21" t="str">
        <f>IFERROR(
(VLOOKUP(MONTH(R2438),Meses!$B$3:$C$14,2,FALSE)-DAY(R2438))/VLOOKUP(MONTH(R2438),Meses!$B$3:$C$14,2,FALSE)*U2438,
"")</f>
        <v/>
      </c>
      <c r="U2438" s="22">
        <f t="shared" si="124"/>
        <v>1385</v>
      </c>
    </row>
    <row r="2439" spans="1:21" ht="31.8" hidden="1" thickBot="1" x14ac:dyDescent="0.6">
      <c r="A2439" s="10" t="s">
        <v>3380</v>
      </c>
      <c r="B2439" s="10" t="s">
        <v>3382</v>
      </c>
      <c r="C2439" s="12"/>
      <c r="D2439" s="10" t="s">
        <v>3182</v>
      </c>
      <c r="E2439" s="10" t="s">
        <v>3182</v>
      </c>
      <c r="F2439" s="10">
        <v>4101</v>
      </c>
      <c r="G2439" s="10"/>
      <c r="H2439" s="10"/>
      <c r="I2439" s="10" t="s">
        <v>43</v>
      </c>
      <c r="J2439" s="10"/>
      <c r="K2439" s="10"/>
      <c r="L2439" s="10"/>
      <c r="M2439" s="12"/>
      <c r="N2439" s="10"/>
      <c r="O2439" s="10"/>
      <c r="P2439" s="25" t="str">
        <f>IFERROR(
IF(OR(O2439="anulado",O2439="stand by"),CONCATENATE(O2439,": ",H2439),
IF(OR(YEAR(M2439)=2022,YEAR(M2439)=2023),CONCATENATE("Se activó en ",YEAR(M2439)),
IF(AND(OR(O2439="En proceso",O2439="facturando"),AND(J2439="-",M2439="")),"Por revisar",
IF(M2439="",IF(J2439="NUEVAS",CONCATENATE("Estado: ",O2439,", ",J2439),
IF(L2439=Meses!$A$3,"Por revisar",
IF(H2439="","Sin registro","En programación Frcst."))),"En programación")))),
"Error")</f>
        <v>Sin registro</v>
      </c>
      <c r="Q2439" s="9" t="str">
        <f t="shared" si="122"/>
        <v/>
      </c>
      <c r="R2439" s="25" t="str">
        <f>IF(P2439="En programación Frcst.",VLOOKUP(L2439,Meses!$A$1:$H$14,3+HLOOKUP(Cronograma!J2439,Meses!$D$1:$G$2,2,FALSE),FALSE),
IF(P2439="En programación",M2439,""))</f>
        <v/>
      </c>
      <c r="S2439" s="25" t="str">
        <f t="shared" si="123"/>
        <v/>
      </c>
      <c r="T2439" s="21" t="str">
        <f>IFERROR(
(VLOOKUP(MONTH(R2439),Meses!$B$3:$C$14,2,FALSE)-DAY(R2439))/VLOOKUP(MONTH(R2439),Meses!$B$3:$C$14,2,FALSE)*U2439,
"")</f>
        <v/>
      </c>
      <c r="U2439" s="22">
        <f t="shared" si="124"/>
        <v>4101</v>
      </c>
    </row>
    <row r="2440" spans="1:21" ht="47.4" hidden="1" thickBot="1" x14ac:dyDescent="0.6">
      <c r="A2440" s="10" t="s">
        <v>3383</v>
      </c>
      <c r="B2440" s="10" t="s">
        <v>3384</v>
      </c>
      <c r="C2440" s="12"/>
      <c r="D2440" s="10" t="s">
        <v>3182</v>
      </c>
      <c r="E2440" s="10" t="s">
        <v>3182</v>
      </c>
      <c r="F2440" s="10">
        <v>1856</v>
      </c>
      <c r="G2440" s="10"/>
      <c r="H2440" s="10"/>
      <c r="I2440" s="10" t="s">
        <v>43</v>
      </c>
      <c r="J2440" s="10"/>
      <c r="K2440" s="10"/>
      <c r="L2440" s="10"/>
      <c r="M2440" s="12"/>
      <c r="N2440" s="10"/>
      <c r="O2440" s="10"/>
      <c r="P2440" s="25" t="str">
        <f>IFERROR(
IF(OR(O2440="anulado",O2440="stand by"),CONCATENATE(O2440,": ",H2440),
IF(OR(YEAR(M2440)=2022,YEAR(M2440)=2023),CONCATENATE("Se activó en ",YEAR(M2440)),
IF(AND(OR(O2440="En proceso",O2440="facturando"),AND(J2440="-",M2440="")),"Por revisar",
IF(M2440="",IF(J2440="NUEVAS",CONCATENATE("Estado: ",O2440,", ",J2440),
IF(L2440=Meses!$A$3,"Por revisar",
IF(H2440="","Sin registro","En programación Frcst."))),"En programación")))),
"Error")</f>
        <v>Sin registro</v>
      </c>
      <c r="Q2440" s="9" t="str">
        <f t="shared" si="122"/>
        <v/>
      </c>
      <c r="R2440" s="25" t="str">
        <f>IF(P2440="En programación Frcst.",VLOOKUP(L2440,Meses!$A$1:$H$14,3+HLOOKUP(Cronograma!J2440,Meses!$D$1:$G$2,2,FALSE),FALSE),
IF(P2440="En programación",M2440,""))</f>
        <v/>
      </c>
      <c r="S2440" s="25" t="str">
        <f t="shared" si="123"/>
        <v/>
      </c>
      <c r="T2440" s="21" t="str">
        <f>IFERROR(
(VLOOKUP(MONTH(R2440),Meses!$B$3:$C$14,2,FALSE)-DAY(R2440))/VLOOKUP(MONTH(R2440),Meses!$B$3:$C$14,2,FALSE)*U2440,
"")</f>
        <v/>
      </c>
      <c r="U2440" s="22">
        <f t="shared" si="124"/>
        <v>1856</v>
      </c>
    </row>
    <row r="2441" spans="1:21" ht="31.8" hidden="1" thickBot="1" x14ac:dyDescent="0.6">
      <c r="A2441" s="10" t="s">
        <v>3385</v>
      </c>
      <c r="B2441" s="10" t="s">
        <v>3386</v>
      </c>
      <c r="C2441" s="12"/>
      <c r="D2441" s="10" t="s">
        <v>3182</v>
      </c>
      <c r="E2441" s="10" t="s">
        <v>3182</v>
      </c>
      <c r="F2441" s="10">
        <v>23823</v>
      </c>
      <c r="G2441" s="10"/>
      <c r="H2441" s="10"/>
      <c r="I2441" s="10" t="s">
        <v>43</v>
      </c>
      <c r="J2441" s="10"/>
      <c r="K2441" s="10"/>
      <c r="L2441" s="10"/>
      <c r="M2441" s="12"/>
      <c r="N2441" s="10"/>
      <c r="O2441" s="10"/>
      <c r="P2441" s="25" t="str">
        <f>IFERROR(
IF(OR(O2441="anulado",O2441="stand by"),CONCATENATE(O2441,": ",H2441),
IF(OR(YEAR(M2441)=2022,YEAR(M2441)=2023),CONCATENATE("Se activó en ",YEAR(M2441)),
IF(AND(OR(O2441="En proceso",O2441="facturando"),AND(J2441="-",M2441="")),"Por revisar",
IF(M2441="",IF(J2441="NUEVAS",CONCATENATE("Estado: ",O2441,", ",J2441),
IF(L2441=Meses!$A$3,"Por revisar",
IF(H2441="","Sin registro","En programación Frcst."))),"En programación")))),
"Error")</f>
        <v>Sin registro</v>
      </c>
      <c r="Q2441" s="9" t="str">
        <f t="shared" si="122"/>
        <v/>
      </c>
      <c r="R2441" s="25" t="str">
        <f>IF(P2441="En programación Frcst.",VLOOKUP(L2441,Meses!$A$1:$H$14,3+HLOOKUP(Cronograma!J2441,Meses!$D$1:$G$2,2,FALSE),FALSE),
IF(P2441="En programación",M2441,""))</f>
        <v/>
      </c>
      <c r="S2441" s="25" t="str">
        <f t="shared" si="123"/>
        <v/>
      </c>
      <c r="T2441" s="21" t="str">
        <f>IFERROR(
(VLOOKUP(MONTH(R2441),Meses!$B$3:$C$14,2,FALSE)-DAY(R2441))/VLOOKUP(MONTH(R2441),Meses!$B$3:$C$14,2,FALSE)*U2441,
"")</f>
        <v/>
      </c>
      <c r="U2441" s="22">
        <f t="shared" si="124"/>
        <v>23823</v>
      </c>
    </row>
    <row r="2442" spans="1:21" ht="31.8" hidden="1" thickBot="1" x14ac:dyDescent="0.6">
      <c r="A2442" s="10" t="s">
        <v>3387</v>
      </c>
      <c r="B2442" s="10" t="s">
        <v>3388</v>
      </c>
      <c r="C2442" s="12"/>
      <c r="D2442" s="10" t="s">
        <v>3389</v>
      </c>
      <c r="E2442" s="10" t="s">
        <v>3389</v>
      </c>
      <c r="F2442" s="10">
        <v>2888</v>
      </c>
      <c r="G2442" s="10"/>
      <c r="H2442" s="10"/>
      <c r="I2442" s="10" t="s">
        <v>43</v>
      </c>
      <c r="J2442" s="10"/>
      <c r="K2442" s="10"/>
      <c r="L2442" s="10"/>
      <c r="M2442" s="12"/>
      <c r="N2442" s="10"/>
      <c r="O2442" s="10"/>
      <c r="P2442" s="25" t="str">
        <f>IFERROR(
IF(OR(O2442="anulado",O2442="stand by"),CONCATENATE(O2442,": ",H2442),
IF(OR(YEAR(M2442)=2022,YEAR(M2442)=2023),CONCATENATE("Se activó en ",YEAR(M2442)),
IF(AND(OR(O2442="En proceso",O2442="facturando"),AND(J2442="-",M2442="")),"Por revisar",
IF(M2442="",IF(J2442="NUEVAS",CONCATENATE("Estado: ",O2442,", ",J2442),
IF(L2442=Meses!$A$3,"Por revisar",
IF(H2442="","Sin registro","En programación Frcst."))),"En programación")))),
"Error")</f>
        <v>Sin registro</v>
      </c>
      <c r="Q2442" s="9" t="str">
        <f t="shared" si="122"/>
        <v/>
      </c>
      <c r="R2442" s="25" t="str">
        <f>IF(P2442="En programación Frcst.",VLOOKUP(L2442,Meses!$A$1:$H$14,3+HLOOKUP(Cronograma!J2442,Meses!$D$1:$G$2,2,FALSE),FALSE),
IF(P2442="En programación",M2442,""))</f>
        <v/>
      </c>
      <c r="S2442" s="25" t="str">
        <f t="shared" si="123"/>
        <v/>
      </c>
      <c r="T2442" s="21" t="str">
        <f>IFERROR(
(VLOOKUP(MONTH(R2442),Meses!$B$3:$C$14,2,FALSE)-DAY(R2442))/VLOOKUP(MONTH(R2442),Meses!$B$3:$C$14,2,FALSE)*U2442,
"")</f>
        <v/>
      </c>
      <c r="U2442" s="22">
        <f t="shared" si="124"/>
        <v>2888</v>
      </c>
    </row>
    <row r="2443" spans="1:21" ht="31.8" hidden="1" thickBot="1" x14ac:dyDescent="0.6">
      <c r="A2443" s="10" t="s">
        <v>3387</v>
      </c>
      <c r="B2443" s="10" t="s">
        <v>3390</v>
      </c>
      <c r="C2443" s="12"/>
      <c r="D2443" s="10" t="s">
        <v>3185</v>
      </c>
      <c r="E2443" s="10" t="s">
        <v>3185</v>
      </c>
      <c r="F2443" s="10">
        <v>2721</v>
      </c>
      <c r="G2443" s="10"/>
      <c r="H2443" s="10"/>
      <c r="I2443" s="10" t="s">
        <v>43</v>
      </c>
      <c r="J2443" s="10"/>
      <c r="K2443" s="10"/>
      <c r="L2443" s="10"/>
      <c r="M2443" s="12"/>
      <c r="N2443" s="10"/>
      <c r="O2443" s="10"/>
      <c r="P2443" s="25" t="str">
        <f>IFERROR(
IF(OR(O2443="anulado",O2443="stand by"),CONCATENATE(O2443,": ",H2443),
IF(OR(YEAR(M2443)=2022,YEAR(M2443)=2023),CONCATENATE("Se activó en ",YEAR(M2443)),
IF(AND(OR(O2443="En proceso",O2443="facturando"),AND(J2443="-",M2443="")),"Por revisar",
IF(M2443="",IF(J2443="NUEVAS",CONCATENATE("Estado: ",O2443,", ",J2443),
IF(L2443=Meses!$A$3,"Por revisar",
IF(H2443="","Sin registro","En programación Frcst."))),"En programación")))),
"Error")</f>
        <v>Sin registro</v>
      </c>
      <c r="Q2443" s="9" t="str">
        <f t="shared" si="122"/>
        <v/>
      </c>
      <c r="R2443" s="25" t="str">
        <f>IF(P2443="En programación Frcst.",VLOOKUP(L2443,Meses!$A$1:$H$14,3+HLOOKUP(Cronograma!J2443,Meses!$D$1:$G$2,2,FALSE),FALSE),
IF(P2443="En programación",M2443,""))</f>
        <v/>
      </c>
      <c r="S2443" s="25" t="str">
        <f t="shared" si="123"/>
        <v/>
      </c>
      <c r="T2443" s="21" t="str">
        <f>IFERROR(
(VLOOKUP(MONTH(R2443),Meses!$B$3:$C$14,2,FALSE)-DAY(R2443))/VLOOKUP(MONTH(R2443),Meses!$B$3:$C$14,2,FALSE)*U2443,
"")</f>
        <v/>
      </c>
      <c r="U2443" s="22">
        <f t="shared" si="124"/>
        <v>2721</v>
      </c>
    </row>
    <row r="2444" spans="1:21" ht="31.8" hidden="1" thickBot="1" x14ac:dyDescent="0.6">
      <c r="A2444" s="10" t="s">
        <v>3387</v>
      </c>
      <c r="B2444" s="10" t="s">
        <v>3391</v>
      </c>
      <c r="C2444" s="12"/>
      <c r="D2444" s="10" t="s">
        <v>3185</v>
      </c>
      <c r="E2444" s="10" t="s">
        <v>3185</v>
      </c>
      <c r="F2444" s="10">
        <v>2721</v>
      </c>
      <c r="G2444" s="10"/>
      <c r="H2444" s="10"/>
      <c r="I2444" s="10" t="s">
        <v>43</v>
      </c>
      <c r="J2444" s="10"/>
      <c r="K2444" s="10"/>
      <c r="L2444" s="10"/>
      <c r="M2444" s="12"/>
      <c r="N2444" s="10"/>
      <c r="O2444" s="10"/>
      <c r="P2444" s="25" t="str">
        <f>IFERROR(
IF(OR(O2444="anulado",O2444="stand by"),CONCATENATE(O2444,": ",H2444),
IF(OR(YEAR(M2444)=2022,YEAR(M2444)=2023),CONCATENATE("Se activó en ",YEAR(M2444)),
IF(AND(OR(O2444="En proceso",O2444="facturando"),AND(J2444="-",M2444="")),"Por revisar",
IF(M2444="",IF(J2444="NUEVAS",CONCATENATE("Estado: ",O2444,", ",J2444),
IF(L2444=Meses!$A$3,"Por revisar",
IF(H2444="","Sin registro","En programación Frcst."))),"En programación")))),
"Error")</f>
        <v>Sin registro</v>
      </c>
      <c r="Q2444" s="9" t="str">
        <f t="shared" si="122"/>
        <v/>
      </c>
      <c r="R2444" s="25" t="str">
        <f>IF(P2444="En programación Frcst.",VLOOKUP(L2444,Meses!$A$1:$H$14,3+HLOOKUP(Cronograma!J2444,Meses!$D$1:$G$2,2,FALSE),FALSE),
IF(P2444="En programación",M2444,""))</f>
        <v/>
      </c>
      <c r="S2444" s="25" t="str">
        <f t="shared" si="123"/>
        <v/>
      </c>
      <c r="T2444" s="21" t="str">
        <f>IFERROR(
(VLOOKUP(MONTH(R2444),Meses!$B$3:$C$14,2,FALSE)-DAY(R2444))/VLOOKUP(MONTH(R2444),Meses!$B$3:$C$14,2,FALSE)*U2444,
"")</f>
        <v/>
      </c>
      <c r="U2444" s="22">
        <f t="shared" si="124"/>
        <v>2721</v>
      </c>
    </row>
    <row r="2445" spans="1:21" ht="31.8" hidden="1" thickBot="1" x14ac:dyDescent="0.6">
      <c r="A2445" s="10" t="s">
        <v>3387</v>
      </c>
      <c r="B2445" s="10" t="s">
        <v>3392</v>
      </c>
      <c r="C2445" s="12"/>
      <c r="D2445" s="10" t="s">
        <v>3185</v>
      </c>
      <c r="E2445" s="10" t="s">
        <v>3185</v>
      </c>
      <c r="F2445" s="10">
        <v>3528</v>
      </c>
      <c r="G2445" s="10"/>
      <c r="H2445" s="10"/>
      <c r="I2445" s="10" t="s">
        <v>43</v>
      </c>
      <c r="J2445" s="10"/>
      <c r="K2445" s="10"/>
      <c r="L2445" s="10"/>
      <c r="M2445" s="12"/>
      <c r="N2445" s="10"/>
      <c r="O2445" s="10"/>
      <c r="P2445" s="25" t="str">
        <f>IFERROR(
IF(OR(O2445="anulado",O2445="stand by"),CONCATENATE(O2445,": ",H2445),
IF(OR(YEAR(M2445)=2022,YEAR(M2445)=2023),CONCATENATE("Se activó en ",YEAR(M2445)),
IF(AND(OR(O2445="En proceso",O2445="facturando"),AND(J2445="-",M2445="")),"Por revisar",
IF(M2445="",IF(J2445="NUEVAS",CONCATENATE("Estado: ",O2445,", ",J2445),
IF(L2445=Meses!$A$3,"Por revisar",
IF(H2445="","Sin registro","En programación Frcst."))),"En programación")))),
"Error")</f>
        <v>Sin registro</v>
      </c>
      <c r="Q2445" s="9" t="str">
        <f t="shared" si="122"/>
        <v/>
      </c>
      <c r="R2445" s="25" t="str">
        <f>IF(P2445="En programación Frcst.",VLOOKUP(L2445,Meses!$A$1:$H$14,3+HLOOKUP(Cronograma!J2445,Meses!$D$1:$G$2,2,FALSE),FALSE),
IF(P2445="En programación",M2445,""))</f>
        <v/>
      </c>
      <c r="S2445" s="25" t="str">
        <f t="shared" si="123"/>
        <v/>
      </c>
      <c r="T2445" s="21" t="str">
        <f>IFERROR(
(VLOOKUP(MONTH(R2445),Meses!$B$3:$C$14,2,FALSE)-DAY(R2445))/VLOOKUP(MONTH(R2445),Meses!$B$3:$C$14,2,FALSE)*U2445,
"")</f>
        <v/>
      </c>
      <c r="U2445" s="22">
        <f t="shared" si="124"/>
        <v>3528</v>
      </c>
    </row>
    <row r="2446" spans="1:21" ht="31.8" hidden="1" thickBot="1" x14ac:dyDescent="0.6">
      <c r="A2446" s="10" t="s">
        <v>3387</v>
      </c>
      <c r="B2446" s="10" t="s">
        <v>3393</v>
      </c>
      <c r="C2446" s="12"/>
      <c r="D2446" s="10" t="s">
        <v>3185</v>
      </c>
      <c r="E2446" s="10" t="s">
        <v>3185</v>
      </c>
      <c r="F2446" s="10">
        <v>3528</v>
      </c>
      <c r="G2446" s="10"/>
      <c r="H2446" s="10"/>
      <c r="I2446" s="10" t="s">
        <v>43</v>
      </c>
      <c r="J2446" s="10"/>
      <c r="K2446" s="10"/>
      <c r="L2446" s="10"/>
      <c r="M2446" s="12"/>
      <c r="N2446" s="10"/>
      <c r="O2446" s="10"/>
      <c r="P2446" s="25" t="str">
        <f>IFERROR(
IF(OR(O2446="anulado",O2446="stand by"),CONCATENATE(O2446,": ",H2446),
IF(OR(YEAR(M2446)=2022,YEAR(M2446)=2023),CONCATENATE("Se activó en ",YEAR(M2446)),
IF(AND(OR(O2446="En proceso",O2446="facturando"),AND(J2446="-",M2446="")),"Por revisar",
IF(M2446="",IF(J2446="NUEVAS",CONCATENATE("Estado: ",O2446,", ",J2446),
IF(L2446=Meses!$A$3,"Por revisar",
IF(H2446="","Sin registro","En programación Frcst."))),"En programación")))),
"Error")</f>
        <v>Sin registro</v>
      </c>
      <c r="Q2446" s="9" t="str">
        <f t="shared" si="122"/>
        <v/>
      </c>
      <c r="R2446" s="25" t="str">
        <f>IF(P2446="En programación Frcst.",VLOOKUP(L2446,Meses!$A$1:$H$14,3+HLOOKUP(Cronograma!J2446,Meses!$D$1:$G$2,2,FALSE),FALSE),
IF(P2446="En programación",M2446,""))</f>
        <v/>
      </c>
      <c r="S2446" s="25" t="str">
        <f t="shared" si="123"/>
        <v/>
      </c>
      <c r="T2446" s="21" t="str">
        <f>IFERROR(
(VLOOKUP(MONTH(R2446),Meses!$B$3:$C$14,2,FALSE)-DAY(R2446))/VLOOKUP(MONTH(R2446),Meses!$B$3:$C$14,2,FALSE)*U2446,
"")</f>
        <v/>
      </c>
      <c r="U2446" s="22">
        <f t="shared" si="124"/>
        <v>3528</v>
      </c>
    </row>
    <row r="2447" spans="1:21" ht="31.8" hidden="1" thickBot="1" x14ac:dyDescent="0.6">
      <c r="A2447" s="10" t="s">
        <v>3387</v>
      </c>
      <c r="B2447" s="10" t="s">
        <v>3394</v>
      </c>
      <c r="C2447" s="12"/>
      <c r="D2447" s="10" t="s">
        <v>3185</v>
      </c>
      <c r="E2447" s="10" t="s">
        <v>3185</v>
      </c>
      <c r="F2447" s="10">
        <v>2060</v>
      </c>
      <c r="G2447" s="10"/>
      <c r="H2447" s="10"/>
      <c r="I2447" s="10" t="s">
        <v>43</v>
      </c>
      <c r="J2447" s="10"/>
      <c r="K2447" s="10"/>
      <c r="L2447" s="10"/>
      <c r="M2447" s="12"/>
      <c r="N2447" s="10"/>
      <c r="O2447" s="10"/>
      <c r="P2447" s="25" t="str">
        <f>IFERROR(
IF(OR(O2447="anulado",O2447="stand by"),CONCATENATE(O2447,": ",H2447),
IF(OR(YEAR(M2447)=2022,YEAR(M2447)=2023),CONCATENATE("Se activó en ",YEAR(M2447)),
IF(AND(OR(O2447="En proceso",O2447="facturando"),AND(J2447="-",M2447="")),"Por revisar",
IF(M2447="",IF(J2447="NUEVAS",CONCATENATE("Estado: ",O2447,", ",J2447),
IF(L2447=Meses!$A$3,"Por revisar",
IF(H2447="","Sin registro","En programación Frcst."))),"En programación")))),
"Error")</f>
        <v>Sin registro</v>
      </c>
      <c r="Q2447" s="9" t="str">
        <f t="shared" si="122"/>
        <v/>
      </c>
      <c r="R2447" s="25" t="str">
        <f>IF(P2447="En programación Frcst.",VLOOKUP(L2447,Meses!$A$1:$H$14,3+HLOOKUP(Cronograma!J2447,Meses!$D$1:$G$2,2,FALSE),FALSE),
IF(P2447="En programación",M2447,""))</f>
        <v/>
      </c>
      <c r="S2447" s="25" t="str">
        <f t="shared" si="123"/>
        <v/>
      </c>
      <c r="T2447" s="21" t="str">
        <f>IFERROR(
(VLOOKUP(MONTH(R2447),Meses!$B$3:$C$14,2,FALSE)-DAY(R2447))/VLOOKUP(MONTH(R2447),Meses!$B$3:$C$14,2,FALSE)*U2447,
"")</f>
        <v/>
      </c>
      <c r="U2447" s="22">
        <f t="shared" si="124"/>
        <v>2060</v>
      </c>
    </row>
    <row r="2448" spans="1:21" ht="31.8" hidden="1" thickBot="1" x14ac:dyDescent="0.6">
      <c r="A2448" s="10" t="s">
        <v>3387</v>
      </c>
      <c r="B2448" s="10" t="s">
        <v>3395</v>
      </c>
      <c r="C2448" s="12"/>
      <c r="D2448" s="10" t="s">
        <v>3185</v>
      </c>
      <c r="E2448" s="10" t="s">
        <v>3185</v>
      </c>
      <c r="F2448" s="10">
        <v>3528</v>
      </c>
      <c r="G2448" s="10"/>
      <c r="H2448" s="10"/>
      <c r="I2448" s="10" t="s">
        <v>43</v>
      </c>
      <c r="J2448" s="10"/>
      <c r="K2448" s="10"/>
      <c r="L2448" s="10"/>
      <c r="M2448" s="12"/>
      <c r="N2448" s="10"/>
      <c r="O2448" s="10"/>
      <c r="P2448" s="25" t="str">
        <f>IFERROR(
IF(OR(O2448="anulado",O2448="stand by"),CONCATENATE(O2448,": ",H2448),
IF(OR(YEAR(M2448)=2022,YEAR(M2448)=2023),CONCATENATE("Se activó en ",YEAR(M2448)),
IF(AND(OR(O2448="En proceso",O2448="facturando"),AND(J2448="-",M2448="")),"Por revisar",
IF(M2448="",IF(J2448="NUEVAS",CONCATENATE("Estado: ",O2448,", ",J2448),
IF(L2448=Meses!$A$3,"Por revisar",
IF(H2448="","Sin registro","En programación Frcst."))),"En programación")))),
"Error")</f>
        <v>Sin registro</v>
      </c>
      <c r="Q2448" s="9" t="str">
        <f t="shared" si="122"/>
        <v/>
      </c>
      <c r="R2448" s="25" t="str">
        <f>IF(P2448="En programación Frcst.",VLOOKUP(L2448,Meses!$A$1:$H$14,3+HLOOKUP(Cronograma!J2448,Meses!$D$1:$G$2,2,FALSE),FALSE),
IF(P2448="En programación",M2448,""))</f>
        <v/>
      </c>
      <c r="S2448" s="25" t="str">
        <f t="shared" si="123"/>
        <v/>
      </c>
      <c r="T2448" s="21" t="str">
        <f>IFERROR(
(VLOOKUP(MONTH(R2448),Meses!$B$3:$C$14,2,FALSE)-DAY(R2448))/VLOOKUP(MONTH(R2448),Meses!$B$3:$C$14,2,FALSE)*U2448,
"")</f>
        <v/>
      </c>
      <c r="U2448" s="22">
        <f t="shared" si="124"/>
        <v>3528</v>
      </c>
    </row>
    <row r="2449" spans="1:21" ht="31.8" hidden="1" thickBot="1" x14ac:dyDescent="0.6">
      <c r="A2449" s="10" t="s">
        <v>3387</v>
      </c>
      <c r="B2449" s="10" t="s">
        <v>3396</v>
      </c>
      <c r="C2449" s="12"/>
      <c r="D2449" s="10" t="s">
        <v>3185</v>
      </c>
      <c r="E2449" s="10" t="s">
        <v>3185</v>
      </c>
      <c r="F2449" s="10">
        <v>3528</v>
      </c>
      <c r="G2449" s="10"/>
      <c r="H2449" s="10"/>
      <c r="I2449" s="10" t="s">
        <v>43</v>
      </c>
      <c r="J2449" s="10"/>
      <c r="K2449" s="10"/>
      <c r="L2449" s="10"/>
      <c r="M2449" s="12"/>
      <c r="N2449" s="10"/>
      <c r="O2449" s="10"/>
      <c r="P2449" s="25" t="str">
        <f>IFERROR(
IF(OR(O2449="anulado",O2449="stand by"),CONCATENATE(O2449,": ",H2449),
IF(OR(YEAR(M2449)=2022,YEAR(M2449)=2023),CONCATENATE("Se activó en ",YEAR(M2449)),
IF(AND(OR(O2449="En proceso",O2449="facturando"),AND(J2449="-",M2449="")),"Por revisar",
IF(M2449="",IF(J2449="NUEVAS",CONCATENATE("Estado: ",O2449,", ",J2449),
IF(L2449=Meses!$A$3,"Por revisar",
IF(H2449="","Sin registro","En programación Frcst."))),"En programación")))),
"Error")</f>
        <v>Sin registro</v>
      </c>
      <c r="Q2449" s="9" t="str">
        <f t="shared" si="122"/>
        <v/>
      </c>
      <c r="R2449" s="25" t="str">
        <f>IF(P2449="En programación Frcst.",VLOOKUP(L2449,Meses!$A$1:$H$14,3+HLOOKUP(Cronograma!J2449,Meses!$D$1:$G$2,2,FALSE),FALSE),
IF(P2449="En programación",M2449,""))</f>
        <v/>
      </c>
      <c r="S2449" s="25" t="str">
        <f t="shared" si="123"/>
        <v/>
      </c>
      <c r="T2449" s="21" t="str">
        <f>IFERROR(
(VLOOKUP(MONTH(R2449),Meses!$B$3:$C$14,2,FALSE)-DAY(R2449))/VLOOKUP(MONTH(R2449),Meses!$B$3:$C$14,2,FALSE)*U2449,
"")</f>
        <v/>
      </c>
      <c r="U2449" s="22">
        <f t="shared" si="124"/>
        <v>3528</v>
      </c>
    </row>
    <row r="2450" spans="1:21" ht="31.8" hidden="1" thickBot="1" x14ac:dyDescent="0.6">
      <c r="A2450" s="10" t="s">
        <v>3387</v>
      </c>
      <c r="B2450" s="10" t="s">
        <v>3397</v>
      </c>
      <c r="C2450" s="12"/>
      <c r="D2450" s="10" t="s">
        <v>3182</v>
      </c>
      <c r="E2450" s="10" t="s">
        <v>3182</v>
      </c>
      <c r="F2450" s="10">
        <v>4283</v>
      </c>
      <c r="G2450" s="10"/>
      <c r="H2450" s="10"/>
      <c r="I2450" s="10" t="s">
        <v>43</v>
      </c>
      <c r="J2450" s="10"/>
      <c r="K2450" s="10"/>
      <c r="L2450" s="10"/>
      <c r="M2450" s="12"/>
      <c r="N2450" s="10"/>
      <c r="O2450" s="10"/>
      <c r="P2450" s="25" t="str">
        <f>IFERROR(
IF(OR(O2450="anulado",O2450="stand by"),CONCATENATE(O2450,": ",H2450),
IF(OR(YEAR(M2450)=2022,YEAR(M2450)=2023),CONCATENATE("Se activó en ",YEAR(M2450)),
IF(AND(OR(O2450="En proceso",O2450="facturando"),AND(J2450="-",M2450="")),"Por revisar",
IF(M2450="",IF(J2450="NUEVAS",CONCATENATE("Estado: ",O2450,", ",J2450),
IF(L2450=Meses!$A$3,"Por revisar",
IF(H2450="","Sin registro","En programación Frcst."))),"En programación")))),
"Error")</f>
        <v>Sin registro</v>
      </c>
      <c r="Q2450" s="9" t="str">
        <f t="shared" si="122"/>
        <v/>
      </c>
      <c r="R2450" s="25" t="str">
        <f>IF(P2450="En programación Frcst.",VLOOKUP(L2450,Meses!$A$1:$H$14,3+HLOOKUP(Cronograma!J2450,Meses!$D$1:$G$2,2,FALSE),FALSE),
IF(P2450="En programación",M2450,""))</f>
        <v/>
      </c>
      <c r="S2450" s="25" t="str">
        <f t="shared" si="123"/>
        <v/>
      </c>
      <c r="T2450" s="21" t="str">
        <f>IFERROR(
(VLOOKUP(MONTH(R2450),Meses!$B$3:$C$14,2,FALSE)-DAY(R2450))/VLOOKUP(MONTH(R2450),Meses!$B$3:$C$14,2,FALSE)*U2450,
"")</f>
        <v/>
      </c>
      <c r="U2450" s="22">
        <f t="shared" si="124"/>
        <v>4283</v>
      </c>
    </row>
    <row r="2451" spans="1:21" ht="31.8" hidden="1" thickBot="1" x14ac:dyDescent="0.6">
      <c r="A2451" s="10" t="s">
        <v>3387</v>
      </c>
      <c r="B2451" s="10" t="s">
        <v>3398</v>
      </c>
      <c r="C2451" s="12"/>
      <c r="D2451" s="10" t="s">
        <v>3182</v>
      </c>
      <c r="E2451" s="10" t="s">
        <v>3182</v>
      </c>
      <c r="F2451" s="10">
        <v>3556</v>
      </c>
      <c r="G2451" s="10"/>
      <c r="H2451" s="10"/>
      <c r="I2451" s="10" t="s">
        <v>43</v>
      </c>
      <c r="J2451" s="10"/>
      <c r="K2451" s="10"/>
      <c r="L2451" s="10"/>
      <c r="M2451" s="12"/>
      <c r="N2451" s="10"/>
      <c r="O2451" s="10"/>
      <c r="P2451" s="25" t="str">
        <f>IFERROR(
IF(OR(O2451="anulado",O2451="stand by"),CONCATENATE(O2451,": ",H2451),
IF(OR(YEAR(M2451)=2022,YEAR(M2451)=2023),CONCATENATE("Se activó en ",YEAR(M2451)),
IF(AND(OR(O2451="En proceso",O2451="facturando"),AND(J2451="-",M2451="")),"Por revisar",
IF(M2451="",IF(J2451="NUEVAS",CONCATENATE("Estado: ",O2451,", ",J2451),
IF(L2451=Meses!$A$3,"Por revisar",
IF(H2451="","Sin registro","En programación Frcst."))),"En programación")))),
"Error")</f>
        <v>Sin registro</v>
      </c>
      <c r="Q2451" s="9" t="str">
        <f t="shared" si="122"/>
        <v/>
      </c>
      <c r="R2451" s="25" t="str">
        <f>IF(P2451="En programación Frcst.",VLOOKUP(L2451,Meses!$A$1:$H$14,3+HLOOKUP(Cronograma!J2451,Meses!$D$1:$G$2,2,FALSE),FALSE),
IF(P2451="En programación",M2451,""))</f>
        <v/>
      </c>
      <c r="S2451" s="25" t="str">
        <f t="shared" si="123"/>
        <v/>
      </c>
      <c r="T2451" s="21" t="str">
        <f>IFERROR(
(VLOOKUP(MONTH(R2451),Meses!$B$3:$C$14,2,FALSE)-DAY(R2451))/VLOOKUP(MONTH(R2451),Meses!$B$3:$C$14,2,FALSE)*U2451,
"")</f>
        <v/>
      </c>
      <c r="U2451" s="22">
        <f t="shared" si="124"/>
        <v>3556</v>
      </c>
    </row>
    <row r="2452" spans="1:21" ht="31.8" hidden="1" thickBot="1" x14ac:dyDescent="0.6">
      <c r="A2452" s="10" t="s">
        <v>3387</v>
      </c>
      <c r="B2452" s="10" t="s">
        <v>3399</v>
      </c>
      <c r="C2452" s="12"/>
      <c r="D2452" s="10" t="s">
        <v>3182</v>
      </c>
      <c r="E2452" s="10" t="s">
        <v>3182</v>
      </c>
      <c r="F2452" s="10">
        <v>2837</v>
      </c>
      <c r="G2452" s="10"/>
      <c r="H2452" s="10"/>
      <c r="I2452" s="10" t="s">
        <v>43</v>
      </c>
      <c r="J2452" s="10"/>
      <c r="K2452" s="10"/>
      <c r="L2452" s="10"/>
      <c r="M2452" s="12"/>
      <c r="N2452" s="10"/>
      <c r="O2452" s="10"/>
      <c r="P2452" s="25" t="str">
        <f>IFERROR(
IF(OR(O2452="anulado",O2452="stand by"),CONCATENATE(O2452,": ",H2452),
IF(OR(YEAR(M2452)=2022,YEAR(M2452)=2023),CONCATENATE("Se activó en ",YEAR(M2452)),
IF(AND(OR(O2452="En proceso",O2452="facturando"),AND(J2452="-",M2452="")),"Por revisar",
IF(M2452="",IF(J2452="NUEVAS",CONCATENATE("Estado: ",O2452,", ",J2452),
IF(L2452=Meses!$A$3,"Por revisar",
IF(H2452="","Sin registro","En programación Frcst."))),"En programación")))),
"Error")</f>
        <v>Sin registro</v>
      </c>
      <c r="Q2452" s="9" t="str">
        <f t="shared" si="122"/>
        <v/>
      </c>
      <c r="R2452" s="25" t="str">
        <f>IF(P2452="En programación Frcst.",VLOOKUP(L2452,Meses!$A$1:$H$14,3+HLOOKUP(Cronograma!J2452,Meses!$D$1:$G$2,2,FALSE),FALSE),
IF(P2452="En programación",M2452,""))</f>
        <v/>
      </c>
      <c r="S2452" s="25" t="str">
        <f t="shared" si="123"/>
        <v/>
      </c>
      <c r="T2452" s="21" t="str">
        <f>IFERROR(
(VLOOKUP(MONTH(R2452),Meses!$B$3:$C$14,2,FALSE)-DAY(R2452))/VLOOKUP(MONTH(R2452),Meses!$B$3:$C$14,2,FALSE)*U2452,
"")</f>
        <v/>
      </c>
      <c r="U2452" s="22">
        <f t="shared" si="124"/>
        <v>2837</v>
      </c>
    </row>
    <row r="2453" spans="1:21" ht="31.8" hidden="1" thickBot="1" x14ac:dyDescent="0.6">
      <c r="A2453" s="10" t="s">
        <v>3387</v>
      </c>
      <c r="B2453" s="10" t="s">
        <v>3400</v>
      </c>
      <c r="C2453" s="12"/>
      <c r="D2453" s="10" t="s">
        <v>3182</v>
      </c>
      <c r="E2453" s="10" t="s">
        <v>3182</v>
      </c>
      <c r="F2453" s="10">
        <v>3300</v>
      </c>
      <c r="G2453" s="10"/>
      <c r="H2453" s="10"/>
      <c r="I2453" s="10" t="s">
        <v>43</v>
      </c>
      <c r="J2453" s="10"/>
      <c r="K2453" s="10"/>
      <c r="L2453" s="10"/>
      <c r="M2453" s="12"/>
      <c r="N2453" s="10"/>
      <c r="O2453" s="10"/>
      <c r="P2453" s="25" t="str">
        <f>IFERROR(
IF(OR(O2453="anulado",O2453="stand by"),CONCATENATE(O2453,": ",H2453),
IF(OR(YEAR(M2453)=2022,YEAR(M2453)=2023),CONCATENATE("Se activó en ",YEAR(M2453)),
IF(AND(OR(O2453="En proceso",O2453="facturando"),AND(J2453="-",M2453="")),"Por revisar",
IF(M2453="",IF(J2453="NUEVAS",CONCATENATE("Estado: ",O2453,", ",J2453),
IF(L2453=Meses!$A$3,"Por revisar",
IF(H2453="","Sin registro","En programación Frcst."))),"En programación")))),
"Error")</f>
        <v>Sin registro</v>
      </c>
      <c r="Q2453" s="9" t="str">
        <f t="shared" si="122"/>
        <v/>
      </c>
      <c r="R2453" s="25" t="str">
        <f>IF(P2453="En programación Frcst.",VLOOKUP(L2453,Meses!$A$1:$H$14,3+HLOOKUP(Cronograma!J2453,Meses!$D$1:$G$2,2,FALSE),FALSE),
IF(P2453="En programación",M2453,""))</f>
        <v/>
      </c>
      <c r="S2453" s="25" t="str">
        <f t="shared" si="123"/>
        <v/>
      </c>
      <c r="T2453" s="21" t="str">
        <f>IFERROR(
(VLOOKUP(MONTH(R2453),Meses!$B$3:$C$14,2,FALSE)-DAY(R2453))/VLOOKUP(MONTH(R2453),Meses!$B$3:$C$14,2,FALSE)*U2453,
"")</f>
        <v/>
      </c>
      <c r="U2453" s="22">
        <f t="shared" si="124"/>
        <v>3300</v>
      </c>
    </row>
    <row r="2454" spans="1:21" ht="31.8" hidden="1" thickBot="1" x14ac:dyDescent="0.6">
      <c r="A2454" s="10" t="s">
        <v>3387</v>
      </c>
      <c r="B2454" s="10" t="s">
        <v>3401</v>
      </c>
      <c r="C2454" s="12"/>
      <c r="D2454" s="10" t="s">
        <v>3402</v>
      </c>
      <c r="E2454" s="10" t="s">
        <v>3402</v>
      </c>
      <c r="F2454" s="10">
        <v>1798</v>
      </c>
      <c r="G2454" s="10" t="s">
        <v>15</v>
      </c>
      <c r="H2454" s="10"/>
      <c r="I2454" s="10" t="s">
        <v>3311</v>
      </c>
      <c r="J2454" s="10"/>
      <c r="K2454" s="10"/>
      <c r="L2454" s="10"/>
      <c r="M2454" s="12"/>
      <c r="N2454" s="10"/>
      <c r="O2454" s="10"/>
      <c r="P2454" s="25" t="str">
        <f>IFERROR(
IF(OR(O2454="anulado",O2454="stand by"),CONCATENATE(O2454,": ",H2454),
IF(OR(YEAR(M2454)=2022,YEAR(M2454)=2023),CONCATENATE("Se activó en ",YEAR(M2454)),
IF(AND(OR(O2454="En proceso",O2454="facturando"),AND(J2454="-",M2454="")),"Por revisar",
IF(M2454="",IF(J2454="NUEVAS",CONCATENATE("Estado: ",O2454,", ",J2454),
IF(L2454=Meses!$A$3,"Por revisar",
IF(H2454="","Sin registro","En programación Frcst."))),"En programación")))),
"Error")</f>
        <v>Sin registro</v>
      </c>
      <c r="Q2454" s="9" t="str">
        <f t="shared" si="122"/>
        <v/>
      </c>
      <c r="R2454" s="25" t="str">
        <f>IF(P2454="En programación Frcst.",VLOOKUP(L2454,Meses!$A$1:$H$14,3+HLOOKUP(Cronograma!J2454,Meses!$D$1:$G$2,2,FALSE),FALSE),
IF(P2454="En programación",M2454,""))</f>
        <v/>
      </c>
      <c r="S2454" s="25" t="str">
        <f t="shared" si="123"/>
        <v/>
      </c>
      <c r="T2454" s="21" t="str">
        <f>IFERROR(
(VLOOKUP(MONTH(R2454),Meses!$B$3:$C$14,2,FALSE)-DAY(R2454))/VLOOKUP(MONTH(R2454),Meses!$B$3:$C$14,2,FALSE)*U2454,
"")</f>
        <v/>
      </c>
      <c r="U2454" s="22">
        <f t="shared" si="124"/>
        <v>1798</v>
      </c>
    </row>
    <row r="2455" spans="1:21" ht="31.8" hidden="1" thickBot="1" x14ac:dyDescent="0.6">
      <c r="A2455" s="10" t="s">
        <v>3387</v>
      </c>
      <c r="B2455" s="10" t="s">
        <v>3403</v>
      </c>
      <c r="C2455" s="12"/>
      <c r="D2455" s="10" t="s">
        <v>3402</v>
      </c>
      <c r="E2455" s="10" t="s">
        <v>3402</v>
      </c>
      <c r="F2455" s="10">
        <v>374</v>
      </c>
      <c r="G2455" s="10" t="s">
        <v>15</v>
      </c>
      <c r="H2455" s="10"/>
      <c r="I2455" s="10" t="s">
        <v>3311</v>
      </c>
      <c r="J2455" s="10"/>
      <c r="K2455" s="10"/>
      <c r="L2455" s="10"/>
      <c r="M2455" s="12"/>
      <c r="N2455" s="10"/>
      <c r="O2455" s="10"/>
      <c r="P2455" s="25" t="str">
        <f>IFERROR(
IF(OR(O2455="anulado",O2455="stand by"),CONCATENATE(O2455,": ",H2455),
IF(OR(YEAR(M2455)=2022,YEAR(M2455)=2023),CONCATENATE("Se activó en ",YEAR(M2455)),
IF(AND(OR(O2455="En proceso",O2455="facturando"),AND(J2455="-",M2455="")),"Por revisar",
IF(M2455="",IF(J2455="NUEVAS",CONCATENATE("Estado: ",O2455,", ",J2455),
IF(L2455=Meses!$A$3,"Por revisar",
IF(H2455="","Sin registro","En programación Frcst."))),"En programación")))),
"Error")</f>
        <v>Sin registro</v>
      </c>
      <c r="Q2455" s="9" t="str">
        <f t="shared" si="122"/>
        <v/>
      </c>
      <c r="R2455" s="25" t="str">
        <f>IF(P2455="En programación Frcst.",VLOOKUP(L2455,Meses!$A$1:$H$14,3+HLOOKUP(Cronograma!J2455,Meses!$D$1:$G$2,2,FALSE),FALSE),
IF(P2455="En programación",M2455,""))</f>
        <v/>
      </c>
      <c r="S2455" s="25" t="str">
        <f t="shared" si="123"/>
        <v/>
      </c>
      <c r="T2455" s="21" t="str">
        <f>IFERROR(
(VLOOKUP(MONTH(R2455),Meses!$B$3:$C$14,2,FALSE)-DAY(R2455))/VLOOKUP(MONTH(R2455),Meses!$B$3:$C$14,2,FALSE)*U2455,
"")</f>
        <v/>
      </c>
      <c r="U2455" s="22">
        <f t="shared" si="124"/>
        <v>374</v>
      </c>
    </row>
    <row r="2456" spans="1:21" ht="31.8" hidden="1" thickBot="1" x14ac:dyDescent="0.6">
      <c r="A2456" s="10" t="s">
        <v>3387</v>
      </c>
      <c r="B2456" s="10" t="s">
        <v>3404</v>
      </c>
      <c r="C2456" s="12"/>
      <c r="D2456" s="10" t="s">
        <v>3402</v>
      </c>
      <c r="E2456" s="10" t="s">
        <v>3402</v>
      </c>
      <c r="F2456" s="10">
        <v>374</v>
      </c>
      <c r="G2456" s="10" t="s">
        <v>15</v>
      </c>
      <c r="H2456" s="10"/>
      <c r="I2456" s="10" t="s">
        <v>3311</v>
      </c>
      <c r="J2456" s="10"/>
      <c r="K2456" s="10"/>
      <c r="L2456" s="10"/>
      <c r="M2456" s="12"/>
      <c r="N2456" s="10"/>
      <c r="O2456" s="10"/>
      <c r="P2456" s="25" t="str">
        <f>IFERROR(
IF(OR(O2456="anulado",O2456="stand by"),CONCATENATE(O2456,": ",H2456),
IF(OR(YEAR(M2456)=2022,YEAR(M2456)=2023),CONCATENATE("Se activó en ",YEAR(M2456)),
IF(AND(OR(O2456="En proceso",O2456="facturando"),AND(J2456="-",M2456="")),"Por revisar",
IF(M2456="",IF(J2456="NUEVAS",CONCATENATE("Estado: ",O2456,", ",J2456),
IF(L2456=Meses!$A$3,"Por revisar",
IF(H2456="","Sin registro","En programación Frcst."))),"En programación")))),
"Error")</f>
        <v>Sin registro</v>
      </c>
      <c r="Q2456" s="9" t="str">
        <f t="shared" si="122"/>
        <v/>
      </c>
      <c r="R2456" s="25" t="str">
        <f>IF(P2456="En programación Frcst.",VLOOKUP(L2456,Meses!$A$1:$H$14,3+HLOOKUP(Cronograma!J2456,Meses!$D$1:$G$2,2,FALSE),FALSE),
IF(P2456="En programación",M2456,""))</f>
        <v/>
      </c>
      <c r="S2456" s="25" t="str">
        <f t="shared" si="123"/>
        <v/>
      </c>
      <c r="T2456" s="21" t="str">
        <f>IFERROR(
(VLOOKUP(MONTH(R2456),Meses!$B$3:$C$14,2,FALSE)-DAY(R2456))/VLOOKUP(MONTH(R2456),Meses!$B$3:$C$14,2,FALSE)*U2456,
"")</f>
        <v/>
      </c>
      <c r="U2456" s="22">
        <f t="shared" si="124"/>
        <v>374</v>
      </c>
    </row>
    <row r="2457" spans="1:21" ht="31.8" hidden="1" thickBot="1" x14ac:dyDescent="0.6">
      <c r="A2457" s="10" t="s">
        <v>3387</v>
      </c>
      <c r="B2457" s="10" t="s">
        <v>3405</v>
      </c>
      <c r="C2457" s="12"/>
      <c r="D2457" s="10" t="s">
        <v>3402</v>
      </c>
      <c r="E2457" s="10" t="s">
        <v>3402</v>
      </c>
      <c r="F2457" s="10">
        <v>450</v>
      </c>
      <c r="G2457" s="10" t="s">
        <v>15</v>
      </c>
      <c r="H2457" s="10"/>
      <c r="I2457" s="10" t="s">
        <v>3311</v>
      </c>
      <c r="J2457" s="10"/>
      <c r="K2457" s="10"/>
      <c r="L2457" s="10"/>
      <c r="M2457" s="12"/>
      <c r="N2457" s="10"/>
      <c r="O2457" s="10"/>
      <c r="P2457" s="25" t="str">
        <f>IFERROR(
IF(OR(O2457="anulado",O2457="stand by"),CONCATENATE(O2457,": ",H2457),
IF(OR(YEAR(M2457)=2022,YEAR(M2457)=2023),CONCATENATE("Se activó en ",YEAR(M2457)),
IF(AND(OR(O2457="En proceso",O2457="facturando"),AND(J2457="-",M2457="")),"Por revisar",
IF(M2457="",IF(J2457="NUEVAS",CONCATENATE("Estado: ",O2457,", ",J2457),
IF(L2457=Meses!$A$3,"Por revisar",
IF(H2457="","Sin registro","En programación Frcst."))),"En programación")))),
"Error")</f>
        <v>Sin registro</v>
      </c>
      <c r="Q2457" s="9" t="str">
        <f t="shared" si="122"/>
        <v/>
      </c>
      <c r="R2457" s="25" t="str">
        <f>IF(P2457="En programación Frcst.",VLOOKUP(L2457,Meses!$A$1:$H$14,3+HLOOKUP(Cronograma!J2457,Meses!$D$1:$G$2,2,FALSE),FALSE),
IF(P2457="En programación",M2457,""))</f>
        <v/>
      </c>
      <c r="S2457" s="25" t="str">
        <f t="shared" si="123"/>
        <v/>
      </c>
      <c r="T2457" s="21" t="str">
        <f>IFERROR(
(VLOOKUP(MONTH(R2457),Meses!$B$3:$C$14,2,FALSE)-DAY(R2457))/VLOOKUP(MONTH(R2457),Meses!$B$3:$C$14,2,FALSE)*U2457,
"")</f>
        <v/>
      </c>
      <c r="U2457" s="22">
        <f t="shared" si="124"/>
        <v>450</v>
      </c>
    </row>
    <row r="2458" spans="1:21" ht="31.8" hidden="1" thickBot="1" x14ac:dyDescent="0.6">
      <c r="A2458" s="10" t="s">
        <v>3387</v>
      </c>
      <c r="B2458" s="10" t="s">
        <v>3406</v>
      </c>
      <c r="C2458" s="12"/>
      <c r="D2458" s="10" t="s">
        <v>3402</v>
      </c>
      <c r="E2458" s="10" t="s">
        <v>3402</v>
      </c>
      <c r="F2458" s="10">
        <v>450</v>
      </c>
      <c r="G2458" s="10" t="s">
        <v>15</v>
      </c>
      <c r="H2458" s="10"/>
      <c r="I2458" s="10" t="s">
        <v>3311</v>
      </c>
      <c r="J2458" s="10"/>
      <c r="K2458" s="10"/>
      <c r="L2458" s="10"/>
      <c r="M2458" s="12"/>
      <c r="N2458" s="10"/>
      <c r="O2458" s="10"/>
      <c r="P2458" s="25" t="str">
        <f>IFERROR(
IF(OR(O2458="anulado",O2458="stand by"),CONCATENATE(O2458,": ",H2458),
IF(OR(YEAR(M2458)=2022,YEAR(M2458)=2023),CONCATENATE("Se activó en ",YEAR(M2458)),
IF(AND(OR(O2458="En proceso",O2458="facturando"),AND(J2458="-",M2458="")),"Por revisar",
IF(M2458="",IF(J2458="NUEVAS",CONCATENATE("Estado: ",O2458,", ",J2458),
IF(L2458=Meses!$A$3,"Por revisar",
IF(H2458="","Sin registro","En programación Frcst."))),"En programación")))),
"Error")</f>
        <v>Sin registro</v>
      </c>
      <c r="Q2458" s="9" t="str">
        <f t="shared" si="122"/>
        <v/>
      </c>
      <c r="R2458" s="25" t="str">
        <f>IF(P2458="En programación Frcst.",VLOOKUP(L2458,Meses!$A$1:$H$14,3+HLOOKUP(Cronograma!J2458,Meses!$D$1:$G$2,2,FALSE),FALSE),
IF(P2458="En programación",M2458,""))</f>
        <v/>
      </c>
      <c r="S2458" s="25" t="str">
        <f t="shared" si="123"/>
        <v/>
      </c>
      <c r="T2458" s="21" t="str">
        <f>IFERROR(
(VLOOKUP(MONTH(R2458),Meses!$B$3:$C$14,2,FALSE)-DAY(R2458))/VLOOKUP(MONTH(R2458),Meses!$B$3:$C$14,2,FALSE)*U2458,
"")</f>
        <v/>
      </c>
      <c r="U2458" s="22">
        <f t="shared" si="124"/>
        <v>450</v>
      </c>
    </row>
    <row r="2459" spans="1:21" ht="31.8" hidden="1" thickBot="1" x14ac:dyDescent="0.6">
      <c r="A2459" s="10" t="s">
        <v>3387</v>
      </c>
      <c r="B2459" s="10" t="s">
        <v>3407</v>
      </c>
      <c r="C2459" s="12"/>
      <c r="D2459" s="10" t="s">
        <v>3402</v>
      </c>
      <c r="E2459" s="10" t="s">
        <v>3402</v>
      </c>
      <c r="F2459" s="10">
        <v>982</v>
      </c>
      <c r="G2459" s="10" t="s">
        <v>15</v>
      </c>
      <c r="H2459" s="10"/>
      <c r="I2459" s="10" t="s">
        <v>3311</v>
      </c>
      <c r="J2459" s="10"/>
      <c r="K2459" s="10"/>
      <c r="L2459" s="10"/>
      <c r="M2459" s="12"/>
      <c r="N2459" s="10"/>
      <c r="O2459" s="10"/>
      <c r="P2459" s="25" t="str">
        <f>IFERROR(
IF(OR(O2459="anulado",O2459="stand by"),CONCATENATE(O2459,": ",H2459),
IF(OR(YEAR(M2459)=2022,YEAR(M2459)=2023),CONCATENATE("Se activó en ",YEAR(M2459)),
IF(AND(OR(O2459="En proceso",O2459="facturando"),AND(J2459="-",M2459="")),"Por revisar",
IF(M2459="",IF(J2459="NUEVAS",CONCATENATE("Estado: ",O2459,", ",J2459),
IF(L2459=Meses!$A$3,"Por revisar",
IF(H2459="","Sin registro","En programación Frcst."))),"En programación")))),
"Error")</f>
        <v>Sin registro</v>
      </c>
      <c r="Q2459" s="9" t="str">
        <f t="shared" si="122"/>
        <v/>
      </c>
      <c r="R2459" s="25" t="str">
        <f>IF(P2459="En programación Frcst.",VLOOKUP(L2459,Meses!$A$1:$H$14,3+HLOOKUP(Cronograma!J2459,Meses!$D$1:$G$2,2,FALSE),FALSE),
IF(P2459="En programación",M2459,""))</f>
        <v/>
      </c>
      <c r="S2459" s="25" t="str">
        <f t="shared" si="123"/>
        <v/>
      </c>
      <c r="T2459" s="21" t="str">
        <f>IFERROR(
(VLOOKUP(MONTH(R2459),Meses!$B$3:$C$14,2,FALSE)-DAY(R2459))/VLOOKUP(MONTH(R2459),Meses!$B$3:$C$14,2,FALSE)*U2459,
"")</f>
        <v/>
      </c>
      <c r="U2459" s="22">
        <f t="shared" si="124"/>
        <v>982</v>
      </c>
    </row>
    <row r="2460" spans="1:21" ht="31.8" hidden="1" thickBot="1" x14ac:dyDescent="0.6">
      <c r="A2460" s="10" t="s">
        <v>3387</v>
      </c>
      <c r="B2460" s="10" t="s">
        <v>3408</v>
      </c>
      <c r="C2460" s="12"/>
      <c r="D2460" s="10" t="s">
        <v>3409</v>
      </c>
      <c r="E2460" s="10" t="s">
        <v>3409</v>
      </c>
      <c r="F2460" s="10">
        <v>3647</v>
      </c>
      <c r="G2460" s="10" t="s">
        <v>15</v>
      </c>
      <c r="H2460" s="10"/>
      <c r="I2460" s="10" t="s">
        <v>3311</v>
      </c>
      <c r="J2460" s="10"/>
      <c r="K2460" s="10"/>
      <c r="L2460" s="10"/>
      <c r="M2460" s="12"/>
      <c r="N2460" s="10"/>
      <c r="O2460" s="10"/>
      <c r="P2460" s="25" t="str">
        <f>IFERROR(
IF(OR(O2460="anulado",O2460="stand by"),CONCATENATE(O2460,": ",H2460),
IF(OR(YEAR(M2460)=2022,YEAR(M2460)=2023),CONCATENATE("Se activó en ",YEAR(M2460)),
IF(AND(OR(O2460="En proceso",O2460="facturando"),AND(J2460="-",M2460="")),"Por revisar",
IF(M2460="",IF(J2460="NUEVAS",CONCATENATE("Estado: ",O2460,", ",J2460),
IF(L2460=Meses!$A$3,"Por revisar",
IF(H2460="","Sin registro","En programación Frcst."))),"En programación")))),
"Error")</f>
        <v>Sin registro</v>
      </c>
      <c r="Q2460" s="9" t="str">
        <f t="shared" si="122"/>
        <v/>
      </c>
      <c r="R2460" s="25" t="str">
        <f>IF(P2460="En programación Frcst.",VLOOKUP(L2460,Meses!$A$1:$H$14,3+HLOOKUP(Cronograma!J2460,Meses!$D$1:$G$2,2,FALSE),FALSE),
IF(P2460="En programación",M2460,""))</f>
        <v/>
      </c>
      <c r="S2460" s="25" t="str">
        <f t="shared" si="123"/>
        <v/>
      </c>
      <c r="T2460" s="21" t="str">
        <f>IFERROR(
(VLOOKUP(MONTH(R2460),Meses!$B$3:$C$14,2,FALSE)-DAY(R2460))/VLOOKUP(MONTH(R2460),Meses!$B$3:$C$14,2,FALSE)*U2460,
"")</f>
        <v/>
      </c>
      <c r="U2460" s="22">
        <f t="shared" si="124"/>
        <v>3647</v>
      </c>
    </row>
    <row r="2461" spans="1:21" ht="31.8" hidden="1" thickBot="1" x14ac:dyDescent="0.6">
      <c r="A2461" s="10" t="s">
        <v>3387</v>
      </c>
      <c r="B2461" s="10" t="s">
        <v>3410</v>
      </c>
      <c r="C2461" s="12"/>
      <c r="D2461" s="10" t="s">
        <v>3409</v>
      </c>
      <c r="E2461" s="10" t="s">
        <v>3409</v>
      </c>
      <c r="F2461" s="10">
        <v>995</v>
      </c>
      <c r="G2461" s="10" t="s">
        <v>15</v>
      </c>
      <c r="H2461" s="10"/>
      <c r="I2461" s="10" t="s">
        <v>3311</v>
      </c>
      <c r="J2461" s="10"/>
      <c r="K2461" s="10"/>
      <c r="L2461" s="10"/>
      <c r="M2461" s="12"/>
      <c r="N2461" s="10"/>
      <c r="O2461" s="10"/>
      <c r="P2461" s="25" t="str">
        <f>IFERROR(
IF(OR(O2461="anulado",O2461="stand by"),CONCATENATE(O2461,": ",H2461),
IF(OR(YEAR(M2461)=2022,YEAR(M2461)=2023),CONCATENATE("Se activó en ",YEAR(M2461)),
IF(AND(OR(O2461="En proceso",O2461="facturando"),AND(J2461="-",M2461="")),"Por revisar",
IF(M2461="",IF(J2461="NUEVAS",CONCATENATE("Estado: ",O2461,", ",J2461),
IF(L2461=Meses!$A$3,"Por revisar",
IF(H2461="","Sin registro","En programación Frcst."))),"En programación")))),
"Error")</f>
        <v>Sin registro</v>
      </c>
      <c r="Q2461" s="9" t="str">
        <f t="shared" si="122"/>
        <v/>
      </c>
      <c r="R2461" s="25" t="str">
        <f>IF(P2461="En programación Frcst.",VLOOKUP(L2461,Meses!$A$1:$H$14,3+HLOOKUP(Cronograma!J2461,Meses!$D$1:$G$2,2,FALSE),FALSE),
IF(P2461="En programación",M2461,""))</f>
        <v/>
      </c>
      <c r="S2461" s="25" t="str">
        <f t="shared" si="123"/>
        <v/>
      </c>
      <c r="T2461" s="21" t="str">
        <f>IFERROR(
(VLOOKUP(MONTH(R2461),Meses!$B$3:$C$14,2,FALSE)-DAY(R2461))/VLOOKUP(MONTH(R2461),Meses!$B$3:$C$14,2,FALSE)*U2461,
"")</f>
        <v/>
      </c>
      <c r="U2461" s="22">
        <f t="shared" si="124"/>
        <v>995</v>
      </c>
    </row>
    <row r="2462" spans="1:21" ht="31.8" hidden="1" thickBot="1" x14ac:dyDescent="0.6">
      <c r="A2462" s="10" t="s">
        <v>3387</v>
      </c>
      <c r="B2462" s="10" t="s">
        <v>3411</v>
      </c>
      <c r="C2462" s="12"/>
      <c r="D2462" s="10" t="s">
        <v>3409</v>
      </c>
      <c r="E2462" s="10" t="s">
        <v>3409</v>
      </c>
      <c r="F2462" s="10">
        <v>873</v>
      </c>
      <c r="G2462" s="10" t="s">
        <v>15</v>
      </c>
      <c r="H2462" s="10"/>
      <c r="I2462" s="10" t="s">
        <v>3311</v>
      </c>
      <c r="J2462" s="10"/>
      <c r="K2462" s="10"/>
      <c r="L2462" s="10"/>
      <c r="M2462" s="12"/>
      <c r="N2462" s="10"/>
      <c r="O2462" s="10"/>
      <c r="P2462" s="25" t="str">
        <f>IFERROR(
IF(OR(O2462="anulado",O2462="stand by"),CONCATENATE(O2462,": ",H2462),
IF(OR(YEAR(M2462)=2022,YEAR(M2462)=2023),CONCATENATE("Se activó en ",YEAR(M2462)),
IF(AND(OR(O2462="En proceso",O2462="facturando"),AND(J2462="-",M2462="")),"Por revisar",
IF(M2462="",IF(J2462="NUEVAS",CONCATENATE("Estado: ",O2462,", ",J2462),
IF(L2462=Meses!$A$3,"Por revisar",
IF(H2462="","Sin registro","En programación Frcst."))),"En programación")))),
"Error")</f>
        <v>Sin registro</v>
      </c>
      <c r="Q2462" s="9" t="str">
        <f t="shared" si="122"/>
        <v/>
      </c>
      <c r="R2462" s="25" t="str">
        <f>IF(P2462="En programación Frcst.",VLOOKUP(L2462,Meses!$A$1:$H$14,3+HLOOKUP(Cronograma!J2462,Meses!$D$1:$G$2,2,FALSE),FALSE),
IF(P2462="En programación",M2462,""))</f>
        <v/>
      </c>
      <c r="S2462" s="25" t="str">
        <f t="shared" si="123"/>
        <v/>
      </c>
      <c r="T2462" s="21" t="str">
        <f>IFERROR(
(VLOOKUP(MONTH(R2462),Meses!$B$3:$C$14,2,FALSE)-DAY(R2462))/VLOOKUP(MONTH(R2462),Meses!$B$3:$C$14,2,FALSE)*U2462,
"")</f>
        <v/>
      </c>
      <c r="U2462" s="22">
        <f t="shared" si="124"/>
        <v>873</v>
      </c>
    </row>
    <row r="2463" spans="1:21" ht="31.8" hidden="1" thickBot="1" x14ac:dyDescent="0.6">
      <c r="A2463" s="10" t="s">
        <v>3387</v>
      </c>
      <c r="B2463" s="10" t="s">
        <v>3412</v>
      </c>
      <c r="C2463" s="12"/>
      <c r="D2463" s="10" t="s">
        <v>3413</v>
      </c>
      <c r="E2463" s="10" t="s">
        <v>3413</v>
      </c>
      <c r="F2463" s="10">
        <v>2645</v>
      </c>
      <c r="G2463" s="10"/>
      <c r="H2463" s="10"/>
      <c r="I2463" s="10" t="s">
        <v>18</v>
      </c>
      <c r="J2463" s="10"/>
      <c r="K2463" s="10"/>
      <c r="L2463" s="10"/>
      <c r="M2463" s="12"/>
      <c r="N2463" s="10"/>
      <c r="O2463" s="10"/>
      <c r="P2463" s="25" t="str">
        <f>IFERROR(
IF(OR(O2463="anulado",O2463="stand by"),CONCATENATE(O2463,": ",H2463),
IF(OR(YEAR(M2463)=2022,YEAR(M2463)=2023),CONCATENATE("Se activó en ",YEAR(M2463)),
IF(AND(OR(O2463="En proceso",O2463="facturando"),AND(J2463="-",M2463="")),"Por revisar",
IF(M2463="",IF(J2463="NUEVAS",CONCATENATE("Estado: ",O2463,", ",J2463),
IF(L2463=Meses!$A$3,"Por revisar",
IF(H2463="","Sin registro","En programación Frcst."))),"En programación")))),
"Error")</f>
        <v>Sin registro</v>
      </c>
      <c r="Q2463" s="9" t="str">
        <f t="shared" si="122"/>
        <v/>
      </c>
      <c r="R2463" s="25" t="str">
        <f>IF(P2463="En programación Frcst.",VLOOKUP(L2463,Meses!$A$1:$H$14,3+HLOOKUP(Cronograma!J2463,Meses!$D$1:$G$2,2,FALSE),FALSE),
IF(P2463="En programación",M2463,""))</f>
        <v/>
      </c>
      <c r="S2463" s="25" t="str">
        <f t="shared" si="123"/>
        <v/>
      </c>
      <c r="T2463" s="21" t="str">
        <f>IFERROR(
(VLOOKUP(MONTH(R2463),Meses!$B$3:$C$14,2,FALSE)-DAY(R2463))/VLOOKUP(MONTH(R2463),Meses!$B$3:$C$14,2,FALSE)*U2463,
"")</f>
        <v/>
      </c>
      <c r="U2463" s="22">
        <f t="shared" si="124"/>
        <v>2645</v>
      </c>
    </row>
    <row r="2464" spans="1:21" ht="31.8" hidden="1" thickBot="1" x14ac:dyDescent="0.6">
      <c r="A2464" s="10" t="s">
        <v>3387</v>
      </c>
      <c r="B2464" s="10" t="s">
        <v>3414</v>
      </c>
      <c r="C2464" s="12"/>
      <c r="D2464" s="10" t="s">
        <v>3413</v>
      </c>
      <c r="E2464" s="10" t="s">
        <v>3413</v>
      </c>
      <c r="F2464" s="10">
        <v>2474</v>
      </c>
      <c r="G2464" s="10"/>
      <c r="H2464" s="10"/>
      <c r="I2464" s="10" t="s">
        <v>18</v>
      </c>
      <c r="J2464" s="10"/>
      <c r="K2464" s="10"/>
      <c r="L2464" s="10"/>
      <c r="M2464" s="12"/>
      <c r="N2464" s="10"/>
      <c r="O2464" s="10"/>
      <c r="P2464" s="25" t="str">
        <f>IFERROR(
IF(OR(O2464="anulado",O2464="stand by"),CONCATENATE(O2464,": ",H2464),
IF(OR(YEAR(M2464)=2022,YEAR(M2464)=2023),CONCATENATE("Se activó en ",YEAR(M2464)),
IF(AND(OR(O2464="En proceso",O2464="facturando"),AND(J2464="-",M2464="")),"Por revisar",
IF(M2464="",IF(J2464="NUEVAS",CONCATENATE("Estado: ",O2464,", ",J2464),
IF(L2464=Meses!$A$3,"Por revisar",
IF(H2464="","Sin registro","En programación Frcst."))),"En programación")))),
"Error")</f>
        <v>Sin registro</v>
      </c>
      <c r="Q2464" s="9" t="str">
        <f t="shared" si="122"/>
        <v/>
      </c>
      <c r="R2464" s="25" t="str">
        <f>IF(P2464="En programación Frcst.",VLOOKUP(L2464,Meses!$A$1:$H$14,3+HLOOKUP(Cronograma!J2464,Meses!$D$1:$G$2,2,FALSE),FALSE),
IF(P2464="En programación",M2464,""))</f>
        <v/>
      </c>
      <c r="S2464" s="25" t="str">
        <f t="shared" si="123"/>
        <v/>
      </c>
      <c r="T2464" s="21" t="str">
        <f>IFERROR(
(VLOOKUP(MONTH(R2464),Meses!$B$3:$C$14,2,FALSE)-DAY(R2464))/VLOOKUP(MONTH(R2464),Meses!$B$3:$C$14,2,FALSE)*U2464,
"")</f>
        <v/>
      </c>
      <c r="U2464" s="22">
        <f t="shared" si="124"/>
        <v>2474</v>
      </c>
    </row>
    <row r="2465" spans="1:21" ht="31.8" hidden="1" thickBot="1" x14ac:dyDescent="0.6">
      <c r="A2465" s="10" t="s">
        <v>3387</v>
      </c>
      <c r="B2465" s="10" t="s">
        <v>3415</v>
      </c>
      <c r="C2465" s="12"/>
      <c r="D2465" s="10" t="s">
        <v>3413</v>
      </c>
      <c r="E2465" s="10" t="s">
        <v>3413</v>
      </c>
      <c r="F2465" s="10">
        <v>2474</v>
      </c>
      <c r="G2465" s="10"/>
      <c r="H2465" s="10"/>
      <c r="I2465" s="10" t="s">
        <v>18</v>
      </c>
      <c r="J2465" s="10"/>
      <c r="K2465" s="10"/>
      <c r="L2465" s="10"/>
      <c r="M2465" s="12"/>
      <c r="N2465" s="10"/>
      <c r="O2465" s="10"/>
      <c r="P2465" s="25" t="str">
        <f>IFERROR(
IF(OR(O2465="anulado",O2465="stand by"),CONCATENATE(O2465,": ",H2465),
IF(OR(YEAR(M2465)=2022,YEAR(M2465)=2023),CONCATENATE("Se activó en ",YEAR(M2465)),
IF(AND(OR(O2465="En proceso",O2465="facturando"),AND(J2465="-",M2465="")),"Por revisar",
IF(M2465="",IF(J2465="NUEVAS",CONCATENATE("Estado: ",O2465,", ",J2465),
IF(L2465=Meses!$A$3,"Por revisar",
IF(H2465="","Sin registro","En programación Frcst."))),"En programación")))),
"Error")</f>
        <v>Sin registro</v>
      </c>
      <c r="Q2465" s="9" t="str">
        <f t="shared" si="122"/>
        <v/>
      </c>
      <c r="R2465" s="25" t="str">
        <f>IF(P2465="En programación Frcst.",VLOOKUP(L2465,Meses!$A$1:$H$14,3+HLOOKUP(Cronograma!J2465,Meses!$D$1:$G$2,2,FALSE),FALSE),
IF(P2465="En programación",M2465,""))</f>
        <v/>
      </c>
      <c r="S2465" s="25" t="str">
        <f t="shared" si="123"/>
        <v/>
      </c>
      <c r="T2465" s="21" t="str">
        <f>IFERROR(
(VLOOKUP(MONTH(R2465),Meses!$B$3:$C$14,2,FALSE)-DAY(R2465))/VLOOKUP(MONTH(R2465),Meses!$B$3:$C$14,2,FALSE)*U2465,
"")</f>
        <v/>
      </c>
      <c r="U2465" s="22">
        <f t="shared" si="124"/>
        <v>2474</v>
      </c>
    </row>
    <row r="2466" spans="1:21" ht="31.8" hidden="1" thickBot="1" x14ac:dyDescent="0.6">
      <c r="A2466" s="10" t="s">
        <v>3387</v>
      </c>
      <c r="B2466" s="10" t="s">
        <v>3416</v>
      </c>
      <c r="C2466" s="12"/>
      <c r="D2466" s="10" t="s">
        <v>3413</v>
      </c>
      <c r="E2466" s="10" t="s">
        <v>3413</v>
      </c>
      <c r="F2466" s="10">
        <v>2645</v>
      </c>
      <c r="G2466" s="10"/>
      <c r="H2466" s="10"/>
      <c r="I2466" s="10" t="s">
        <v>18</v>
      </c>
      <c r="J2466" s="10"/>
      <c r="K2466" s="10"/>
      <c r="L2466" s="10"/>
      <c r="M2466" s="12"/>
      <c r="N2466" s="10"/>
      <c r="O2466" s="10"/>
      <c r="P2466" s="25" t="str">
        <f>IFERROR(
IF(OR(O2466="anulado",O2466="stand by"),CONCATENATE(O2466,": ",H2466),
IF(OR(YEAR(M2466)=2022,YEAR(M2466)=2023),CONCATENATE("Se activó en ",YEAR(M2466)),
IF(AND(OR(O2466="En proceso",O2466="facturando"),AND(J2466="-",M2466="")),"Por revisar",
IF(M2466="",IF(J2466="NUEVAS",CONCATENATE("Estado: ",O2466,", ",J2466),
IF(L2466=Meses!$A$3,"Por revisar",
IF(H2466="","Sin registro","En programación Frcst."))),"En programación")))),
"Error")</f>
        <v>Sin registro</v>
      </c>
      <c r="Q2466" s="9" t="str">
        <f t="shared" si="122"/>
        <v/>
      </c>
      <c r="R2466" s="25" t="str">
        <f>IF(P2466="En programación Frcst.",VLOOKUP(L2466,Meses!$A$1:$H$14,3+HLOOKUP(Cronograma!J2466,Meses!$D$1:$G$2,2,FALSE),FALSE),
IF(P2466="En programación",M2466,""))</f>
        <v/>
      </c>
      <c r="S2466" s="25" t="str">
        <f t="shared" si="123"/>
        <v/>
      </c>
      <c r="T2466" s="21" t="str">
        <f>IFERROR(
(VLOOKUP(MONTH(R2466),Meses!$B$3:$C$14,2,FALSE)-DAY(R2466))/VLOOKUP(MONTH(R2466),Meses!$B$3:$C$14,2,FALSE)*U2466,
"")</f>
        <v/>
      </c>
      <c r="U2466" s="22">
        <f t="shared" si="124"/>
        <v>2645</v>
      </c>
    </row>
    <row r="2467" spans="1:21" ht="31.8" hidden="1" thickBot="1" x14ac:dyDescent="0.6">
      <c r="A2467" s="10" t="s">
        <v>3387</v>
      </c>
      <c r="B2467" s="10" t="s">
        <v>3417</v>
      </c>
      <c r="C2467" s="12"/>
      <c r="D2467" s="10" t="s">
        <v>3413</v>
      </c>
      <c r="E2467" s="10" t="s">
        <v>3413</v>
      </c>
      <c r="F2467" s="10">
        <v>527</v>
      </c>
      <c r="G2467" s="10"/>
      <c r="H2467" s="10"/>
      <c r="I2467" s="10" t="s">
        <v>18</v>
      </c>
      <c r="J2467" s="10"/>
      <c r="K2467" s="10"/>
      <c r="L2467" s="10"/>
      <c r="M2467" s="12"/>
      <c r="N2467" s="10"/>
      <c r="O2467" s="10"/>
      <c r="P2467" s="25" t="str">
        <f>IFERROR(
IF(OR(O2467="anulado",O2467="stand by"),CONCATENATE(O2467,": ",H2467),
IF(OR(YEAR(M2467)=2022,YEAR(M2467)=2023),CONCATENATE("Se activó en ",YEAR(M2467)),
IF(AND(OR(O2467="En proceso",O2467="facturando"),AND(J2467="-",M2467="")),"Por revisar",
IF(M2467="",IF(J2467="NUEVAS",CONCATENATE("Estado: ",O2467,", ",J2467),
IF(L2467=Meses!$A$3,"Por revisar",
IF(H2467="","Sin registro","En programación Frcst."))),"En programación")))),
"Error")</f>
        <v>Sin registro</v>
      </c>
      <c r="Q2467" s="9" t="str">
        <f t="shared" si="122"/>
        <v/>
      </c>
      <c r="R2467" s="25" t="str">
        <f>IF(P2467="En programación Frcst.",VLOOKUP(L2467,Meses!$A$1:$H$14,3+HLOOKUP(Cronograma!J2467,Meses!$D$1:$G$2,2,FALSE),FALSE),
IF(P2467="En programación",M2467,""))</f>
        <v/>
      </c>
      <c r="S2467" s="25" t="str">
        <f t="shared" si="123"/>
        <v/>
      </c>
      <c r="T2467" s="21" t="str">
        <f>IFERROR(
(VLOOKUP(MONTH(R2467),Meses!$B$3:$C$14,2,FALSE)-DAY(R2467))/VLOOKUP(MONTH(R2467),Meses!$B$3:$C$14,2,FALSE)*U2467,
"")</f>
        <v/>
      </c>
      <c r="U2467" s="22">
        <f t="shared" si="124"/>
        <v>527</v>
      </c>
    </row>
    <row r="2468" spans="1:21" ht="31.8" hidden="1" thickBot="1" x14ac:dyDescent="0.6">
      <c r="A2468" s="10" t="s">
        <v>3387</v>
      </c>
      <c r="B2468" s="10" t="s">
        <v>3418</v>
      </c>
      <c r="C2468" s="12"/>
      <c r="D2468" s="10" t="s">
        <v>3413</v>
      </c>
      <c r="E2468" s="10" t="s">
        <v>3413</v>
      </c>
      <c r="F2468" s="10">
        <v>2474</v>
      </c>
      <c r="G2468" s="10"/>
      <c r="H2468" s="10"/>
      <c r="I2468" s="10" t="s">
        <v>18</v>
      </c>
      <c r="J2468" s="10"/>
      <c r="K2468" s="10"/>
      <c r="L2468" s="10"/>
      <c r="M2468" s="12"/>
      <c r="N2468" s="10"/>
      <c r="O2468" s="10"/>
      <c r="P2468" s="25" t="str">
        <f>IFERROR(
IF(OR(O2468="anulado",O2468="stand by"),CONCATENATE(O2468,": ",H2468),
IF(OR(YEAR(M2468)=2022,YEAR(M2468)=2023),CONCATENATE("Se activó en ",YEAR(M2468)),
IF(AND(OR(O2468="En proceso",O2468="facturando"),AND(J2468="-",M2468="")),"Por revisar",
IF(M2468="",IF(J2468="NUEVAS",CONCATENATE("Estado: ",O2468,", ",J2468),
IF(L2468=Meses!$A$3,"Por revisar",
IF(H2468="","Sin registro","En programación Frcst."))),"En programación")))),
"Error")</f>
        <v>Sin registro</v>
      </c>
      <c r="Q2468" s="9" t="str">
        <f t="shared" ref="Q2468:Q2529" si="125">IF(P2468="Por revisar",CONCATENATE("programación de act. ",N2468,", estado: ",O2468,", Comercializador: ",D2468,", Etapa: ",H2468),"")</f>
        <v/>
      </c>
      <c r="R2468" s="25" t="str">
        <f>IF(P2468="En programación Frcst.",VLOOKUP(L2468,Meses!$A$1:$H$14,3+HLOOKUP(Cronograma!J2468,Meses!$D$1:$G$2,2,FALSE),FALSE),
IF(P2468="En programación",M2468,""))</f>
        <v/>
      </c>
      <c r="S2468" s="25" t="str">
        <f t="shared" ref="S2468:S2529" si="126">IFERROR(CONCATENATE(YEAR(R2468),"/",MONTH(R2468)),"")</f>
        <v/>
      </c>
      <c r="T2468" s="21" t="str">
        <f>IFERROR(
(VLOOKUP(MONTH(R2468),Meses!$B$3:$C$14,2,FALSE)-DAY(R2468))/VLOOKUP(MONTH(R2468),Meses!$B$3:$C$14,2,FALSE)*U2468,
"")</f>
        <v/>
      </c>
      <c r="U2468" s="22">
        <f t="shared" ref="U2468:U2529" si="127">F2468</f>
        <v>2474</v>
      </c>
    </row>
    <row r="2469" spans="1:21" ht="31.8" hidden="1" thickBot="1" x14ac:dyDescent="0.6">
      <c r="A2469" s="10" t="s">
        <v>3387</v>
      </c>
      <c r="B2469" s="10" t="s">
        <v>3419</v>
      </c>
      <c r="C2469" s="12"/>
      <c r="D2469" s="10" t="s">
        <v>3413</v>
      </c>
      <c r="E2469" s="10" t="s">
        <v>3413</v>
      </c>
      <c r="F2469" s="10">
        <v>2474</v>
      </c>
      <c r="G2469" s="10"/>
      <c r="H2469" s="10"/>
      <c r="I2469" s="10" t="s">
        <v>18</v>
      </c>
      <c r="J2469" s="10"/>
      <c r="K2469" s="10"/>
      <c r="L2469" s="10"/>
      <c r="M2469" s="12"/>
      <c r="N2469" s="10"/>
      <c r="O2469" s="10"/>
      <c r="P2469" s="25" t="str">
        <f>IFERROR(
IF(OR(O2469="anulado",O2469="stand by"),CONCATENATE(O2469,": ",H2469),
IF(OR(YEAR(M2469)=2022,YEAR(M2469)=2023),CONCATENATE("Se activó en ",YEAR(M2469)),
IF(AND(OR(O2469="En proceso",O2469="facturando"),AND(J2469="-",M2469="")),"Por revisar",
IF(M2469="",IF(J2469="NUEVAS",CONCATENATE("Estado: ",O2469,", ",J2469),
IF(L2469=Meses!$A$3,"Por revisar",
IF(H2469="","Sin registro","En programación Frcst."))),"En programación")))),
"Error")</f>
        <v>Sin registro</v>
      </c>
      <c r="Q2469" s="9" t="str">
        <f t="shared" si="125"/>
        <v/>
      </c>
      <c r="R2469" s="25" t="str">
        <f>IF(P2469="En programación Frcst.",VLOOKUP(L2469,Meses!$A$1:$H$14,3+HLOOKUP(Cronograma!J2469,Meses!$D$1:$G$2,2,FALSE),FALSE),
IF(P2469="En programación",M2469,""))</f>
        <v/>
      </c>
      <c r="S2469" s="25" t="str">
        <f t="shared" si="126"/>
        <v/>
      </c>
      <c r="T2469" s="21" t="str">
        <f>IFERROR(
(VLOOKUP(MONTH(R2469),Meses!$B$3:$C$14,2,FALSE)-DAY(R2469))/VLOOKUP(MONTH(R2469),Meses!$B$3:$C$14,2,FALSE)*U2469,
"")</f>
        <v/>
      </c>
      <c r="U2469" s="22">
        <f t="shared" si="127"/>
        <v>2474</v>
      </c>
    </row>
    <row r="2470" spans="1:21" ht="31.8" hidden="1" thickBot="1" x14ac:dyDescent="0.6">
      <c r="A2470" s="10" t="s">
        <v>3387</v>
      </c>
      <c r="B2470" s="10" t="s">
        <v>3420</v>
      </c>
      <c r="C2470" s="12"/>
      <c r="D2470" s="10" t="s">
        <v>3413</v>
      </c>
      <c r="E2470" s="10" t="s">
        <v>3413</v>
      </c>
      <c r="F2470" s="10">
        <v>2474</v>
      </c>
      <c r="G2470" s="10"/>
      <c r="H2470" s="10"/>
      <c r="I2470" s="10" t="s">
        <v>18</v>
      </c>
      <c r="J2470" s="10"/>
      <c r="K2470" s="10"/>
      <c r="L2470" s="10"/>
      <c r="M2470" s="12"/>
      <c r="N2470" s="10"/>
      <c r="O2470" s="10"/>
      <c r="P2470" s="25" t="str">
        <f>IFERROR(
IF(OR(O2470="anulado",O2470="stand by"),CONCATENATE(O2470,": ",H2470),
IF(OR(YEAR(M2470)=2022,YEAR(M2470)=2023),CONCATENATE("Se activó en ",YEAR(M2470)),
IF(AND(OR(O2470="En proceso",O2470="facturando"),AND(J2470="-",M2470="")),"Por revisar",
IF(M2470="",IF(J2470="NUEVAS",CONCATENATE("Estado: ",O2470,", ",J2470),
IF(L2470=Meses!$A$3,"Por revisar",
IF(H2470="","Sin registro","En programación Frcst."))),"En programación")))),
"Error")</f>
        <v>Sin registro</v>
      </c>
      <c r="Q2470" s="9" t="str">
        <f t="shared" si="125"/>
        <v/>
      </c>
      <c r="R2470" s="25" t="str">
        <f>IF(P2470="En programación Frcst.",VLOOKUP(L2470,Meses!$A$1:$H$14,3+HLOOKUP(Cronograma!J2470,Meses!$D$1:$G$2,2,FALSE),FALSE),
IF(P2470="En programación",M2470,""))</f>
        <v/>
      </c>
      <c r="S2470" s="25" t="str">
        <f t="shared" si="126"/>
        <v/>
      </c>
      <c r="T2470" s="21" t="str">
        <f>IFERROR(
(VLOOKUP(MONTH(R2470),Meses!$B$3:$C$14,2,FALSE)-DAY(R2470))/VLOOKUP(MONTH(R2470),Meses!$B$3:$C$14,2,FALSE)*U2470,
"")</f>
        <v/>
      </c>
      <c r="U2470" s="22">
        <f t="shared" si="127"/>
        <v>2474</v>
      </c>
    </row>
    <row r="2471" spans="1:21" ht="47.4" hidden="1" thickBot="1" x14ac:dyDescent="0.6">
      <c r="A2471" s="10" t="s">
        <v>3387</v>
      </c>
      <c r="B2471" s="10" t="s">
        <v>3421</v>
      </c>
      <c r="C2471" s="12"/>
      <c r="D2471" s="10" t="s">
        <v>3422</v>
      </c>
      <c r="E2471" s="10" t="s">
        <v>3422</v>
      </c>
      <c r="F2471" s="10">
        <v>4767</v>
      </c>
      <c r="G2471" s="10" t="s">
        <v>15</v>
      </c>
      <c r="H2471" s="10"/>
      <c r="I2471" s="10" t="s">
        <v>3311</v>
      </c>
      <c r="J2471" s="10"/>
      <c r="K2471" s="10"/>
      <c r="L2471" s="10"/>
      <c r="M2471" s="12"/>
      <c r="N2471" s="10"/>
      <c r="O2471" s="10"/>
      <c r="P2471" s="25" t="str">
        <f>IFERROR(
IF(OR(O2471="anulado",O2471="stand by"),CONCATENATE(O2471,": ",H2471),
IF(OR(YEAR(M2471)=2022,YEAR(M2471)=2023),CONCATENATE("Se activó en ",YEAR(M2471)),
IF(AND(OR(O2471="En proceso",O2471="facturando"),AND(J2471="-",M2471="")),"Por revisar",
IF(M2471="",IF(J2471="NUEVAS",CONCATENATE("Estado: ",O2471,", ",J2471),
IF(L2471=Meses!$A$3,"Por revisar",
IF(H2471="","Sin registro","En programación Frcst."))),"En programación")))),
"Error")</f>
        <v>Sin registro</v>
      </c>
      <c r="Q2471" s="9" t="str">
        <f t="shared" si="125"/>
        <v/>
      </c>
      <c r="R2471" s="25" t="str">
        <f>IF(P2471="En programación Frcst.",VLOOKUP(L2471,Meses!$A$1:$H$14,3+HLOOKUP(Cronograma!J2471,Meses!$D$1:$G$2,2,FALSE),FALSE),
IF(P2471="En programación",M2471,""))</f>
        <v/>
      </c>
      <c r="S2471" s="25" t="str">
        <f t="shared" si="126"/>
        <v/>
      </c>
      <c r="T2471" s="21" t="str">
        <f>IFERROR(
(VLOOKUP(MONTH(R2471),Meses!$B$3:$C$14,2,FALSE)-DAY(R2471))/VLOOKUP(MONTH(R2471),Meses!$B$3:$C$14,2,FALSE)*U2471,
"")</f>
        <v/>
      </c>
      <c r="U2471" s="22">
        <f t="shared" si="127"/>
        <v>4767</v>
      </c>
    </row>
    <row r="2472" spans="1:21" ht="47.4" hidden="1" thickBot="1" x14ac:dyDescent="0.6">
      <c r="A2472" s="10" t="s">
        <v>3387</v>
      </c>
      <c r="B2472" s="10" t="s">
        <v>3423</v>
      </c>
      <c r="C2472" s="12"/>
      <c r="D2472" s="10" t="s">
        <v>3422</v>
      </c>
      <c r="E2472" s="10" t="s">
        <v>3422</v>
      </c>
      <c r="F2472" s="10">
        <v>6740</v>
      </c>
      <c r="G2472" s="10" t="s">
        <v>15</v>
      </c>
      <c r="H2472" s="10"/>
      <c r="I2472" s="10" t="s">
        <v>3311</v>
      </c>
      <c r="J2472" s="10"/>
      <c r="K2472" s="10"/>
      <c r="L2472" s="10"/>
      <c r="M2472" s="12"/>
      <c r="N2472" s="10"/>
      <c r="O2472" s="10"/>
      <c r="P2472" s="25" t="str">
        <f>IFERROR(
IF(OR(O2472="anulado",O2472="stand by"),CONCATENATE(O2472,": ",H2472),
IF(OR(YEAR(M2472)=2022,YEAR(M2472)=2023),CONCATENATE("Se activó en ",YEAR(M2472)),
IF(AND(OR(O2472="En proceso",O2472="facturando"),AND(J2472="-",M2472="")),"Por revisar",
IF(M2472="",IF(J2472="NUEVAS",CONCATENATE("Estado: ",O2472,", ",J2472),
IF(L2472=Meses!$A$3,"Por revisar",
IF(H2472="","Sin registro","En programación Frcst."))),"En programación")))),
"Error")</f>
        <v>Sin registro</v>
      </c>
      <c r="Q2472" s="9" t="str">
        <f t="shared" si="125"/>
        <v/>
      </c>
      <c r="R2472" s="25" t="str">
        <f>IF(P2472="En programación Frcst.",VLOOKUP(L2472,Meses!$A$1:$H$14,3+HLOOKUP(Cronograma!J2472,Meses!$D$1:$G$2,2,FALSE),FALSE),
IF(P2472="En programación",M2472,""))</f>
        <v/>
      </c>
      <c r="S2472" s="25" t="str">
        <f t="shared" si="126"/>
        <v/>
      </c>
      <c r="T2472" s="21" t="str">
        <f>IFERROR(
(VLOOKUP(MONTH(R2472),Meses!$B$3:$C$14,2,FALSE)-DAY(R2472))/VLOOKUP(MONTH(R2472),Meses!$B$3:$C$14,2,FALSE)*U2472,
"")</f>
        <v/>
      </c>
      <c r="U2472" s="22">
        <f t="shared" si="127"/>
        <v>6740</v>
      </c>
    </row>
    <row r="2473" spans="1:21" ht="47.4" hidden="1" thickBot="1" x14ac:dyDescent="0.6">
      <c r="A2473" s="10" t="s">
        <v>3387</v>
      </c>
      <c r="B2473" s="10" t="s">
        <v>3424</v>
      </c>
      <c r="C2473" s="12"/>
      <c r="D2473" s="10" t="s">
        <v>3422</v>
      </c>
      <c r="E2473" s="10" t="s">
        <v>3422</v>
      </c>
      <c r="F2473" s="10">
        <v>6740</v>
      </c>
      <c r="G2473" s="10" t="s">
        <v>15</v>
      </c>
      <c r="H2473" s="10"/>
      <c r="I2473" s="10" t="s">
        <v>3311</v>
      </c>
      <c r="J2473" s="10"/>
      <c r="K2473" s="10"/>
      <c r="L2473" s="10"/>
      <c r="M2473" s="12"/>
      <c r="N2473" s="10"/>
      <c r="O2473" s="10"/>
      <c r="P2473" s="25" t="str">
        <f>IFERROR(
IF(OR(O2473="anulado",O2473="stand by"),CONCATENATE(O2473,": ",H2473),
IF(OR(YEAR(M2473)=2022,YEAR(M2473)=2023),CONCATENATE("Se activó en ",YEAR(M2473)),
IF(AND(OR(O2473="En proceso",O2473="facturando"),AND(J2473="-",M2473="")),"Por revisar",
IF(M2473="",IF(J2473="NUEVAS",CONCATENATE("Estado: ",O2473,", ",J2473),
IF(L2473=Meses!$A$3,"Por revisar",
IF(H2473="","Sin registro","En programación Frcst."))),"En programación")))),
"Error")</f>
        <v>Sin registro</v>
      </c>
      <c r="Q2473" s="9" t="str">
        <f t="shared" si="125"/>
        <v/>
      </c>
      <c r="R2473" s="25" t="str">
        <f>IF(P2473="En programación Frcst.",VLOOKUP(L2473,Meses!$A$1:$H$14,3+HLOOKUP(Cronograma!J2473,Meses!$D$1:$G$2,2,FALSE),FALSE),
IF(P2473="En programación",M2473,""))</f>
        <v/>
      </c>
      <c r="S2473" s="25" t="str">
        <f t="shared" si="126"/>
        <v/>
      </c>
      <c r="T2473" s="21" t="str">
        <f>IFERROR(
(VLOOKUP(MONTH(R2473),Meses!$B$3:$C$14,2,FALSE)-DAY(R2473))/VLOOKUP(MONTH(R2473),Meses!$B$3:$C$14,2,FALSE)*U2473,
"")</f>
        <v/>
      </c>
      <c r="U2473" s="22">
        <f t="shared" si="127"/>
        <v>6740</v>
      </c>
    </row>
    <row r="2474" spans="1:21" ht="31.8" hidden="1" thickBot="1" x14ac:dyDescent="0.6">
      <c r="A2474" s="10" t="s">
        <v>3387</v>
      </c>
      <c r="B2474" s="10" t="s">
        <v>3425</v>
      </c>
      <c r="C2474" s="12"/>
      <c r="D2474" s="10" t="s">
        <v>3426</v>
      </c>
      <c r="E2474" s="10" t="s">
        <v>3426</v>
      </c>
      <c r="F2474" s="10">
        <v>2097</v>
      </c>
      <c r="G2474" s="10"/>
      <c r="H2474" s="10"/>
      <c r="I2474" s="10" t="s">
        <v>43</v>
      </c>
      <c r="J2474" s="10"/>
      <c r="K2474" s="10"/>
      <c r="L2474" s="10"/>
      <c r="M2474" s="12"/>
      <c r="N2474" s="10"/>
      <c r="O2474" s="10"/>
      <c r="P2474" s="25" t="str">
        <f>IFERROR(
IF(OR(O2474="anulado",O2474="stand by"),CONCATENATE(O2474,": ",H2474),
IF(OR(YEAR(M2474)=2022,YEAR(M2474)=2023),CONCATENATE("Se activó en ",YEAR(M2474)),
IF(AND(OR(O2474="En proceso",O2474="facturando"),AND(J2474="-",M2474="")),"Por revisar",
IF(M2474="",IF(J2474="NUEVAS",CONCATENATE("Estado: ",O2474,", ",J2474),
IF(L2474=Meses!$A$3,"Por revisar",
IF(H2474="","Sin registro","En programación Frcst."))),"En programación")))),
"Error")</f>
        <v>Sin registro</v>
      </c>
      <c r="Q2474" s="9" t="str">
        <f t="shared" si="125"/>
        <v/>
      </c>
      <c r="R2474" s="25" t="str">
        <f>IF(P2474="En programación Frcst.",VLOOKUP(L2474,Meses!$A$1:$H$14,3+HLOOKUP(Cronograma!J2474,Meses!$D$1:$G$2,2,FALSE),FALSE),
IF(P2474="En programación",M2474,""))</f>
        <v/>
      </c>
      <c r="S2474" s="25" t="str">
        <f t="shared" si="126"/>
        <v/>
      </c>
      <c r="T2474" s="21" t="str">
        <f>IFERROR(
(VLOOKUP(MONTH(R2474),Meses!$B$3:$C$14,2,FALSE)-DAY(R2474))/VLOOKUP(MONTH(R2474),Meses!$B$3:$C$14,2,FALSE)*U2474,
"")</f>
        <v/>
      </c>
      <c r="U2474" s="22">
        <f t="shared" si="127"/>
        <v>2097</v>
      </c>
    </row>
    <row r="2475" spans="1:21" ht="31.8" hidden="1" thickBot="1" x14ac:dyDescent="0.6">
      <c r="A2475" s="10" t="s">
        <v>3387</v>
      </c>
      <c r="B2475" s="10" t="s">
        <v>3427</v>
      </c>
      <c r="C2475" s="12"/>
      <c r="D2475" s="10" t="s">
        <v>3426</v>
      </c>
      <c r="E2475" s="10" t="s">
        <v>3426</v>
      </c>
      <c r="F2475" s="10">
        <v>2097</v>
      </c>
      <c r="G2475" s="10"/>
      <c r="H2475" s="10"/>
      <c r="I2475" s="10" t="s">
        <v>43</v>
      </c>
      <c r="J2475" s="10"/>
      <c r="K2475" s="10"/>
      <c r="L2475" s="10"/>
      <c r="M2475" s="12"/>
      <c r="N2475" s="10"/>
      <c r="O2475" s="10"/>
      <c r="P2475" s="25" t="str">
        <f>IFERROR(
IF(OR(O2475="anulado",O2475="stand by"),CONCATENATE(O2475,": ",H2475),
IF(OR(YEAR(M2475)=2022,YEAR(M2475)=2023),CONCATENATE("Se activó en ",YEAR(M2475)),
IF(AND(OR(O2475="En proceso",O2475="facturando"),AND(J2475="-",M2475="")),"Por revisar",
IF(M2475="",IF(J2475="NUEVAS",CONCATENATE("Estado: ",O2475,", ",J2475),
IF(L2475=Meses!$A$3,"Por revisar",
IF(H2475="","Sin registro","En programación Frcst."))),"En programación")))),
"Error")</f>
        <v>Sin registro</v>
      </c>
      <c r="Q2475" s="9" t="str">
        <f t="shared" si="125"/>
        <v/>
      </c>
      <c r="R2475" s="25" t="str">
        <f>IF(P2475="En programación Frcst.",VLOOKUP(L2475,Meses!$A$1:$H$14,3+HLOOKUP(Cronograma!J2475,Meses!$D$1:$G$2,2,FALSE),FALSE),
IF(P2475="En programación",M2475,""))</f>
        <v/>
      </c>
      <c r="S2475" s="25" t="str">
        <f t="shared" si="126"/>
        <v/>
      </c>
      <c r="T2475" s="21" t="str">
        <f>IFERROR(
(VLOOKUP(MONTH(R2475),Meses!$B$3:$C$14,2,FALSE)-DAY(R2475))/VLOOKUP(MONTH(R2475),Meses!$B$3:$C$14,2,FALSE)*U2475,
"")</f>
        <v/>
      </c>
      <c r="U2475" s="22">
        <f t="shared" si="127"/>
        <v>2097</v>
      </c>
    </row>
    <row r="2476" spans="1:21" ht="31.8" hidden="1" thickBot="1" x14ac:dyDescent="0.6">
      <c r="A2476" s="10" t="s">
        <v>3387</v>
      </c>
      <c r="B2476" s="10" t="s">
        <v>3428</v>
      </c>
      <c r="C2476" s="12"/>
      <c r="D2476" s="10" t="s">
        <v>3426</v>
      </c>
      <c r="E2476" s="10" t="s">
        <v>3426</v>
      </c>
      <c r="F2476" s="10">
        <v>2097</v>
      </c>
      <c r="G2476" s="10"/>
      <c r="H2476" s="10"/>
      <c r="I2476" s="10" t="s">
        <v>43</v>
      </c>
      <c r="J2476" s="10"/>
      <c r="K2476" s="10"/>
      <c r="L2476" s="10"/>
      <c r="M2476" s="12"/>
      <c r="N2476" s="10"/>
      <c r="O2476" s="10"/>
      <c r="P2476" s="25" t="str">
        <f>IFERROR(
IF(OR(O2476="anulado",O2476="stand by"),CONCATENATE(O2476,": ",H2476),
IF(OR(YEAR(M2476)=2022,YEAR(M2476)=2023),CONCATENATE("Se activó en ",YEAR(M2476)),
IF(AND(OR(O2476="En proceso",O2476="facturando"),AND(J2476="-",M2476="")),"Por revisar",
IF(M2476="",IF(J2476="NUEVAS",CONCATENATE("Estado: ",O2476,", ",J2476),
IF(L2476=Meses!$A$3,"Por revisar",
IF(H2476="","Sin registro","En programación Frcst."))),"En programación")))),
"Error")</f>
        <v>Sin registro</v>
      </c>
      <c r="Q2476" s="9" t="str">
        <f t="shared" si="125"/>
        <v/>
      </c>
      <c r="R2476" s="25" t="str">
        <f>IF(P2476="En programación Frcst.",VLOOKUP(L2476,Meses!$A$1:$H$14,3+HLOOKUP(Cronograma!J2476,Meses!$D$1:$G$2,2,FALSE),FALSE),
IF(P2476="En programación",M2476,""))</f>
        <v/>
      </c>
      <c r="S2476" s="25" t="str">
        <f t="shared" si="126"/>
        <v/>
      </c>
      <c r="T2476" s="21" t="str">
        <f>IFERROR(
(VLOOKUP(MONTH(R2476),Meses!$B$3:$C$14,2,FALSE)-DAY(R2476))/VLOOKUP(MONTH(R2476),Meses!$B$3:$C$14,2,FALSE)*U2476,
"")</f>
        <v/>
      </c>
      <c r="U2476" s="22">
        <f t="shared" si="127"/>
        <v>2097</v>
      </c>
    </row>
    <row r="2477" spans="1:21" ht="31.8" hidden="1" thickBot="1" x14ac:dyDescent="0.6">
      <c r="A2477" s="10" t="s">
        <v>3387</v>
      </c>
      <c r="B2477" s="10" t="s">
        <v>3429</v>
      </c>
      <c r="C2477" s="12"/>
      <c r="D2477" s="10" t="s">
        <v>3430</v>
      </c>
      <c r="E2477" s="10" t="s">
        <v>3430</v>
      </c>
      <c r="F2477" s="10">
        <v>814</v>
      </c>
      <c r="G2477" s="10"/>
      <c r="H2477" s="10"/>
      <c r="I2477" s="10" t="s">
        <v>43</v>
      </c>
      <c r="J2477" s="10"/>
      <c r="K2477" s="10"/>
      <c r="L2477" s="10"/>
      <c r="M2477" s="12"/>
      <c r="N2477" s="10"/>
      <c r="O2477" s="10"/>
      <c r="P2477" s="25" t="str">
        <f>IFERROR(
IF(OR(O2477="anulado",O2477="stand by"),CONCATENATE(O2477,": ",H2477),
IF(OR(YEAR(M2477)=2022,YEAR(M2477)=2023),CONCATENATE("Se activó en ",YEAR(M2477)),
IF(AND(OR(O2477="En proceso",O2477="facturando"),AND(J2477="-",M2477="")),"Por revisar",
IF(M2477="",IF(J2477="NUEVAS",CONCATENATE("Estado: ",O2477,", ",J2477),
IF(L2477=Meses!$A$3,"Por revisar",
IF(H2477="","Sin registro","En programación Frcst."))),"En programación")))),
"Error")</f>
        <v>Sin registro</v>
      </c>
      <c r="Q2477" s="9" t="str">
        <f t="shared" si="125"/>
        <v/>
      </c>
      <c r="R2477" s="25" t="str">
        <f>IF(P2477="En programación Frcst.",VLOOKUP(L2477,Meses!$A$1:$H$14,3+HLOOKUP(Cronograma!J2477,Meses!$D$1:$G$2,2,FALSE),FALSE),
IF(P2477="En programación",M2477,""))</f>
        <v/>
      </c>
      <c r="S2477" s="25" t="str">
        <f t="shared" si="126"/>
        <v/>
      </c>
      <c r="T2477" s="21" t="str">
        <f>IFERROR(
(VLOOKUP(MONTH(R2477),Meses!$B$3:$C$14,2,FALSE)-DAY(R2477))/VLOOKUP(MONTH(R2477),Meses!$B$3:$C$14,2,FALSE)*U2477,
"")</f>
        <v/>
      </c>
      <c r="U2477" s="22">
        <f t="shared" si="127"/>
        <v>814</v>
      </c>
    </row>
    <row r="2478" spans="1:21" ht="31.8" hidden="1" thickBot="1" x14ac:dyDescent="0.6">
      <c r="A2478" s="10" t="s">
        <v>3387</v>
      </c>
      <c r="B2478" s="10" t="s">
        <v>3431</v>
      </c>
      <c r="C2478" s="12"/>
      <c r="D2478" s="10" t="s">
        <v>3432</v>
      </c>
      <c r="E2478" s="10" t="s">
        <v>3432</v>
      </c>
      <c r="F2478" s="10">
        <v>1813</v>
      </c>
      <c r="G2478" s="10" t="s">
        <v>15</v>
      </c>
      <c r="H2478" s="10"/>
      <c r="I2478" s="10" t="s">
        <v>3311</v>
      </c>
      <c r="J2478" s="10"/>
      <c r="K2478" s="10"/>
      <c r="L2478" s="10"/>
      <c r="M2478" s="12"/>
      <c r="N2478" s="10"/>
      <c r="O2478" s="10"/>
      <c r="P2478" s="25" t="str">
        <f>IFERROR(
IF(OR(O2478="anulado",O2478="stand by"),CONCATENATE(O2478,": ",H2478),
IF(OR(YEAR(M2478)=2022,YEAR(M2478)=2023),CONCATENATE("Se activó en ",YEAR(M2478)),
IF(AND(OR(O2478="En proceso",O2478="facturando"),AND(J2478="-",M2478="")),"Por revisar",
IF(M2478="",IF(J2478="NUEVAS",CONCATENATE("Estado: ",O2478,", ",J2478),
IF(L2478=Meses!$A$3,"Por revisar",
IF(H2478="","Sin registro","En programación Frcst."))),"En programación")))),
"Error")</f>
        <v>Sin registro</v>
      </c>
      <c r="Q2478" s="9" t="str">
        <f t="shared" si="125"/>
        <v/>
      </c>
      <c r="R2478" s="25" t="str">
        <f>IF(P2478="En programación Frcst.",VLOOKUP(L2478,Meses!$A$1:$H$14,3+HLOOKUP(Cronograma!J2478,Meses!$D$1:$G$2,2,FALSE),FALSE),
IF(P2478="En programación",M2478,""))</f>
        <v/>
      </c>
      <c r="S2478" s="25" t="str">
        <f t="shared" si="126"/>
        <v/>
      </c>
      <c r="T2478" s="21" t="str">
        <f>IFERROR(
(VLOOKUP(MONTH(R2478),Meses!$B$3:$C$14,2,FALSE)-DAY(R2478))/VLOOKUP(MONTH(R2478),Meses!$B$3:$C$14,2,FALSE)*U2478,
"")</f>
        <v/>
      </c>
      <c r="U2478" s="22">
        <f t="shared" si="127"/>
        <v>1813</v>
      </c>
    </row>
    <row r="2479" spans="1:21" ht="31.8" hidden="1" thickBot="1" x14ac:dyDescent="0.6">
      <c r="A2479" s="10" t="s">
        <v>3387</v>
      </c>
      <c r="B2479" s="10" t="s">
        <v>3433</v>
      </c>
      <c r="C2479" s="12"/>
      <c r="D2479" s="10" t="s">
        <v>3432</v>
      </c>
      <c r="E2479" s="10" t="s">
        <v>3432</v>
      </c>
      <c r="F2479" s="10">
        <v>1813</v>
      </c>
      <c r="G2479" s="10" t="s">
        <v>15</v>
      </c>
      <c r="H2479" s="10"/>
      <c r="I2479" s="10" t="s">
        <v>3311</v>
      </c>
      <c r="J2479" s="10"/>
      <c r="K2479" s="10"/>
      <c r="L2479" s="10"/>
      <c r="M2479" s="12"/>
      <c r="N2479" s="10"/>
      <c r="O2479" s="10"/>
      <c r="P2479" s="25" t="str">
        <f>IFERROR(
IF(OR(O2479="anulado",O2479="stand by"),CONCATENATE(O2479,": ",H2479),
IF(OR(YEAR(M2479)=2022,YEAR(M2479)=2023),CONCATENATE("Se activó en ",YEAR(M2479)),
IF(AND(OR(O2479="En proceso",O2479="facturando"),AND(J2479="-",M2479="")),"Por revisar",
IF(M2479="",IF(J2479="NUEVAS",CONCATENATE("Estado: ",O2479,", ",J2479),
IF(L2479=Meses!$A$3,"Por revisar",
IF(H2479="","Sin registro","En programación Frcst."))),"En programación")))),
"Error")</f>
        <v>Sin registro</v>
      </c>
      <c r="Q2479" s="9" t="str">
        <f t="shared" si="125"/>
        <v/>
      </c>
      <c r="R2479" s="25" t="str">
        <f>IF(P2479="En programación Frcst.",VLOOKUP(L2479,Meses!$A$1:$H$14,3+HLOOKUP(Cronograma!J2479,Meses!$D$1:$G$2,2,FALSE),FALSE),
IF(P2479="En programación",M2479,""))</f>
        <v/>
      </c>
      <c r="S2479" s="25" t="str">
        <f t="shared" si="126"/>
        <v/>
      </c>
      <c r="T2479" s="21" t="str">
        <f>IFERROR(
(VLOOKUP(MONTH(R2479),Meses!$B$3:$C$14,2,FALSE)-DAY(R2479))/VLOOKUP(MONTH(R2479),Meses!$B$3:$C$14,2,FALSE)*U2479,
"")</f>
        <v/>
      </c>
      <c r="U2479" s="22">
        <f t="shared" si="127"/>
        <v>1813</v>
      </c>
    </row>
    <row r="2480" spans="1:21" ht="31.8" hidden="1" thickBot="1" x14ac:dyDescent="0.6">
      <c r="A2480" s="10" t="s">
        <v>3387</v>
      </c>
      <c r="B2480" s="10" t="s">
        <v>3434</v>
      </c>
      <c r="C2480" s="12"/>
      <c r="D2480" s="10" t="s">
        <v>3435</v>
      </c>
      <c r="E2480" s="10" t="s">
        <v>3435</v>
      </c>
      <c r="F2480" s="10">
        <v>1889</v>
      </c>
      <c r="G2480" s="10"/>
      <c r="H2480" s="10"/>
      <c r="I2480" s="10" t="s">
        <v>18</v>
      </c>
      <c r="J2480" s="10"/>
      <c r="K2480" s="10"/>
      <c r="L2480" s="10"/>
      <c r="M2480" s="12"/>
      <c r="N2480" s="10"/>
      <c r="O2480" s="10"/>
      <c r="P2480" s="25" t="str">
        <f>IFERROR(
IF(OR(O2480="anulado",O2480="stand by"),CONCATENATE(O2480,": ",H2480),
IF(OR(YEAR(M2480)=2022,YEAR(M2480)=2023),CONCATENATE("Se activó en ",YEAR(M2480)),
IF(AND(OR(O2480="En proceso",O2480="facturando"),AND(J2480="-",M2480="")),"Por revisar",
IF(M2480="",IF(J2480="NUEVAS",CONCATENATE("Estado: ",O2480,", ",J2480),
IF(L2480=Meses!$A$3,"Por revisar",
IF(H2480="","Sin registro","En programación Frcst."))),"En programación")))),
"Error")</f>
        <v>Sin registro</v>
      </c>
      <c r="Q2480" s="9" t="str">
        <f t="shared" si="125"/>
        <v/>
      </c>
      <c r="R2480" s="25" t="str">
        <f>IF(P2480="En programación Frcst.",VLOOKUP(L2480,Meses!$A$1:$H$14,3+HLOOKUP(Cronograma!J2480,Meses!$D$1:$G$2,2,FALSE),FALSE),
IF(P2480="En programación",M2480,""))</f>
        <v/>
      </c>
      <c r="S2480" s="25" t="str">
        <f t="shared" si="126"/>
        <v/>
      </c>
      <c r="T2480" s="21" t="str">
        <f>IFERROR(
(VLOOKUP(MONTH(R2480),Meses!$B$3:$C$14,2,FALSE)-DAY(R2480))/VLOOKUP(MONTH(R2480),Meses!$B$3:$C$14,2,FALSE)*U2480,
"")</f>
        <v/>
      </c>
      <c r="U2480" s="22">
        <f t="shared" si="127"/>
        <v>1889</v>
      </c>
    </row>
    <row r="2481" spans="1:21" ht="31.8" hidden="1" thickBot="1" x14ac:dyDescent="0.6">
      <c r="A2481" s="10" t="s">
        <v>3387</v>
      </c>
      <c r="B2481" s="10" t="s">
        <v>3436</v>
      </c>
      <c r="C2481" s="12"/>
      <c r="D2481" s="10" t="s">
        <v>3185</v>
      </c>
      <c r="E2481" s="10" t="s">
        <v>3185</v>
      </c>
      <c r="F2481" s="10">
        <v>4505</v>
      </c>
      <c r="G2481" s="10"/>
      <c r="H2481" s="10"/>
      <c r="I2481" s="10" t="s">
        <v>43</v>
      </c>
      <c r="J2481" s="10"/>
      <c r="K2481" s="10"/>
      <c r="L2481" s="10"/>
      <c r="M2481" s="12"/>
      <c r="N2481" s="10"/>
      <c r="O2481" s="10"/>
      <c r="P2481" s="25" t="str">
        <f>IFERROR(
IF(OR(O2481="anulado",O2481="stand by"),CONCATENATE(O2481,": ",H2481),
IF(OR(YEAR(M2481)=2022,YEAR(M2481)=2023),CONCATENATE("Se activó en ",YEAR(M2481)),
IF(AND(OR(O2481="En proceso",O2481="facturando"),AND(J2481="-",M2481="")),"Por revisar",
IF(M2481="",IF(J2481="NUEVAS",CONCATENATE("Estado: ",O2481,", ",J2481),
IF(L2481=Meses!$A$3,"Por revisar",
IF(H2481="","Sin registro","En programación Frcst."))),"En programación")))),
"Error")</f>
        <v>Sin registro</v>
      </c>
      <c r="Q2481" s="9" t="str">
        <f t="shared" si="125"/>
        <v/>
      </c>
      <c r="R2481" s="25" t="str">
        <f>IF(P2481="En programación Frcst.",VLOOKUP(L2481,Meses!$A$1:$H$14,3+HLOOKUP(Cronograma!J2481,Meses!$D$1:$G$2,2,FALSE),FALSE),
IF(P2481="En programación",M2481,""))</f>
        <v/>
      </c>
      <c r="S2481" s="25" t="str">
        <f t="shared" si="126"/>
        <v/>
      </c>
      <c r="T2481" s="21" t="str">
        <f>IFERROR(
(VLOOKUP(MONTH(R2481),Meses!$B$3:$C$14,2,FALSE)-DAY(R2481))/VLOOKUP(MONTH(R2481),Meses!$B$3:$C$14,2,FALSE)*U2481,
"")</f>
        <v/>
      </c>
      <c r="U2481" s="22">
        <f t="shared" si="127"/>
        <v>4505</v>
      </c>
    </row>
    <row r="2482" spans="1:21" ht="31.8" hidden="1" thickBot="1" x14ac:dyDescent="0.6">
      <c r="A2482" s="10" t="s">
        <v>3387</v>
      </c>
      <c r="B2482" s="10" t="s">
        <v>3437</v>
      </c>
      <c r="C2482" s="12"/>
      <c r="D2482" s="10" t="s">
        <v>3435</v>
      </c>
      <c r="E2482" s="10" t="s">
        <v>3435</v>
      </c>
      <c r="F2482" s="10">
        <v>1889</v>
      </c>
      <c r="G2482" s="10"/>
      <c r="H2482" s="10"/>
      <c r="I2482" s="10" t="s">
        <v>18</v>
      </c>
      <c r="J2482" s="10"/>
      <c r="K2482" s="10"/>
      <c r="L2482" s="10"/>
      <c r="M2482" s="12"/>
      <c r="N2482" s="10"/>
      <c r="O2482" s="10"/>
      <c r="P2482" s="25" t="str">
        <f>IFERROR(
IF(OR(O2482="anulado",O2482="stand by"),CONCATENATE(O2482,": ",H2482),
IF(OR(YEAR(M2482)=2022,YEAR(M2482)=2023),CONCATENATE("Se activó en ",YEAR(M2482)),
IF(AND(OR(O2482="En proceso",O2482="facturando"),AND(J2482="-",M2482="")),"Por revisar",
IF(M2482="",IF(J2482="NUEVAS",CONCATENATE("Estado: ",O2482,", ",J2482),
IF(L2482=Meses!$A$3,"Por revisar",
IF(H2482="","Sin registro","En programación Frcst."))),"En programación")))),
"Error")</f>
        <v>Sin registro</v>
      </c>
      <c r="Q2482" s="9" t="str">
        <f t="shared" si="125"/>
        <v/>
      </c>
      <c r="R2482" s="25" t="str">
        <f>IF(P2482="En programación Frcst.",VLOOKUP(L2482,Meses!$A$1:$H$14,3+HLOOKUP(Cronograma!J2482,Meses!$D$1:$G$2,2,FALSE),FALSE),
IF(P2482="En programación",M2482,""))</f>
        <v/>
      </c>
      <c r="S2482" s="25" t="str">
        <f t="shared" si="126"/>
        <v/>
      </c>
      <c r="T2482" s="21" t="str">
        <f>IFERROR(
(VLOOKUP(MONTH(R2482),Meses!$B$3:$C$14,2,FALSE)-DAY(R2482))/VLOOKUP(MONTH(R2482),Meses!$B$3:$C$14,2,FALSE)*U2482,
"")</f>
        <v/>
      </c>
      <c r="U2482" s="22">
        <f t="shared" si="127"/>
        <v>1889</v>
      </c>
    </row>
    <row r="2483" spans="1:21" ht="31.8" hidden="1" thickBot="1" x14ac:dyDescent="0.6">
      <c r="A2483" s="10" t="s">
        <v>3387</v>
      </c>
      <c r="B2483" s="10" t="s">
        <v>3438</v>
      </c>
      <c r="C2483" s="12"/>
      <c r="D2483" s="10" t="s">
        <v>901</v>
      </c>
      <c r="E2483" s="10" t="s">
        <v>901</v>
      </c>
      <c r="F2483" s="10">
        <v>2451</v>
      </c>
      <c r="G2483" s="10"/>
      <c r="H2483" s="10"/>
      <c r="I2483" s="10" t="s">
        <v>18</v>
      </c>
      <c r="J2483" s="10"/>
      <c r="K2483" s="10"/>
      <c r="L2483" s="10"/>
      <c r="M2483" s="12"/>
      <c r="N2483" s="10"/>
      <c r="O2483" s="10"/>
      <c r="P2483" s="25" t="str">
        <f>IFERROR(
IF(OR(O2483="anulado",O2483="stand by"),CONCATENATE(O2483,": ",H2483),
IF(OR(YEAR(M2483)=2022,YEAR(M2483)=2023),CONCATENATE("Se activó en ",YEAR(M2483)),
IF(AND(OR(O2483="En proceso",O2483="facturando"),AND(J2483="-",M2483="")),"Por revisar",
IF(M2483="",IF(J2483="NUEVAS",CONCATENATE("Estado: ",O2483,", ",J2483),
IF(L2483=Meses!$A$3,"Por revisar",
IF(H2483="","Sin registro","En programación Frcst."))),"En programación")))),
"Error")</f>
        <v>Sin registro</v>
      </c>
      <c r="Q2483" s="9" t="str">
        <f t="shared" si="125"/>
        <v/>
      </c>
      <c r="R2483" s="25" t="str">
        <f>IF(P2483="En programación Frcst.",VLOOKUP(L2483,Meses!$A$1:$H$14,3+HLOOKUP(Cronograma!J2483,Meses!$D$1:$G$2,2,FALSE),FALSE),
IF(P2483="En programación",M2483,""))</f>
        <v/>
      </c>
      <c r="S2483" s="25" t="str">
        <f t="shared" si="126"/>
        <v/>
      </c>
      <c r="T2483" s="21" t="str">
        <f>IFERROR(
(VLOOKUP(MONTH(R2483),Meses!$B$3:$C$14,2,FALSE)-DAY(R2483))/VLOOKUP(MONTH(R2483),Meses!$B$3:$C$14,2,FALSE)*U2483,
"")</f>
        <v/>
      </c>
      <c r="U2483" s="22">
        <f t="shared" si="127"/>
        <v>2451</v>
      </c>
    </row>
    <row r="2484" spans="1:21" ht="31.8" hidden="1" thickBot="1" x14ac:dyDescent="0.6">
      <c r="A2484" s="10" t="s">
        <v>3387</v>
      </c>
      <c r="B2484" s="10" t="s">
        <v>3439</v>
      </c>
      <c r="C2484" s="12"/>
      <c r="D2484" s="10" t="s">
        <v>3435</v>
      </c>
      <c r="E2484" s="10" t="s">
        <v>3435</v>
      </c>
      <c r="F2484" s="10">
        <v>2779</v>
      </c>
      <c r="G2484" s="10"/>
      <c r="H2484" s="10"/>
      <c r="I2484" s="10" t="s">
        <v>18</v>
      </c>
      <c r="J2484" s="10"/>
      <c r="K2484" s="10"/>
      <c r="L2484" s="10"/>
      <c r="M2484" s="12"/>
      <c r="N2484" s="10"/>
      <c r="O2484" s="10"/>
      <c r="P2484" s="25" t="str">
        <f>IFERROR(
IF(OR(O2484="anulado",O2484="stand by"),CONCATENATE(O2484,": ",H2484),
IF(OR(YEAR(M2484)=2022,YEAR(M2484)=2023),CONCATENATE("Se activó en ",YEAR(M2484)),
IF(AND(OR(O2484="En proceso",O2484="facturando"),AND(J2484="-",M2484="")),"Por revisar",
IF(M2484="",IF(J2484="NUEVAS",CONCATENATE("Estado: ",O2484,", ",J2484),
IF(L2484=Meses!$A$3,"Por revisar",
IF(H2484="","Sin registro","En programación Frcst."))),"En programación")))),
"Error")</f>
        <v>Sin registro</v>
      </c>
      <c r="Q2484" s="9" t="str">
        <f t="shared" si="125"/>
        <v/>
      </c>
      <c r="R2484" s="25" t="str">
        <f>IF(P2484="En programación Frcst.",VLOOKUP(L2484,Meses!$A$1:$H$14,3+HLOOKUP(Cronograma!J2484,Meses!$D$1:$G$2,2,FALSE),FALSE),
IF(P2484="En programación",M2484,""))</f>
        <v/>
      </c>
      <c r="S2484" s="25" t="str">
        <f t="shared" si="126"/>
        <v/>
      </c>
      <c r="T2484" s="21" t="str">
        <f>IFERROR(
(VLOOKUP(MONTH(R2484),Meses!$B$3:$C$14,2,FALSE)-DAY(R2484))/VLOOKUP(MONTH(R2484),Meses!$B$3:$C$14,2,FALSE)*U2484,
"")</f>
        <v/>
      </c>
      <c r="U2484" s="22">
        <f t="shared" si="127"/>
        <v>2779</v>
      </c>
    </row>
    <row r="2485" spans="1:21" ht="31.8" hidden="1" thickBot="1" x14ac:dyDescent="0.6">
      <c r="A2485" s="10" t="s">
        <v>3387</v>
      </c>
      <c r="B2485" s="10" t="s">
        <v>3440</v>
      </c>
      <c r="C2485" s="12"/>
      <c r="D2485" s="10" t="s">
        <v>901</v>
      </c>
      <c r="E2485" s="10" t="s">
        <v>901</v>
      </c>
      <c r="F2485" s="10">
        <v>2451</v>
      </c>
      <c r="G2485" s="10"/>
      <c r="H2485" s="10"/>
      <c r="I2485" s="10" t="s">
        <v>18</v>
      </c>
      <c r="J2485" s="10"/>
      <c r="K2485" s="10"/>
      <c r="L2485" s="10"/>
      <c r="M2485" s="12"/>
      <c r="N2485" s="10"/>
      <c r="O2485" s="10"/>
      <c r="P2485" s="25" t="str">
        <f>IFERROR(
IF(OR(O2485="anulado",O2485="stand by"),CONCATENATE(O2485,": ",H2485),
IF(OR(YEAR(M2485)=2022,YEAR(M2485)=2023),CONCATENATE("Se activó en ",YEAR(M2485)),
IF(AND(OR(O2485="En proceso",O2485="facturando"),AND(J2485="-",M2485="")),"Por revisar",
IF(M2485="",IF(J2485="NUEVAS",CONCATENATE("Estado: ",O2485,", ",J2485),
IF(L2485=Meses!$A$3,"Por revisar",
IF(H2485="","Sin registro","En programación Frcst."))),"En programación")))),
"Error")</f>
        <v>Sin registro</v>
      </c>
      <c r="Q2485" s="9" t="str">
        <f t="shared" si="125"/>
        <v/>
      </c>
      <c r="R2485" s="25" t="str">
        <f>IF(P2485="En programación Frcst.",VLOOKUP(L2485,Meses!$A$1:$H$14,3+HLOOKUP(Cronograma!J2485,Meses!$D$1:$G$2,2,FALSE),FALSE),
IF(P2485="En programación",M2485,""))</f>
        <v/>
      </c>
      <c r="S2485" s="25" t="str">
        <f t="shared" si="126"/>
        <v/>
      </c>
      <c r="T2485" s="21" t="str">
        <f>IFERROR(
(VLOOKUP(MONTH(R2485),Meses!$B$3:$C$14,2,FALSE)-DAY(R2485))/VLOOKUP(MONTH(R2485),Meses!$B$3:$C$14,2,FALSE)*U2485,
"")</f>
        <v/>
      </c>
      <c r="U2485" s="22">
        <f t="shared" si="127"/>
        <v>2451</v>
      </c>
    </row>
    <row r="2486" spans="1:21" ht="31.8" hidden="1" thickBot="1" x14ac:dyDescent="0.6">
      <c r="A2486" s="10" t="s">
        <v>3387</v>
      </c>
      <c r="B2486" s="10" t="s">
        <v>3441</v>
      </c>
      <c r="C2486" s="12"/>
      <c r="D2486" s="10" t="s">
        <v>3442</v>
      </c>
      <c r="E2486" s="10" t="s">
        <v>3442</v>
      </c>
      <c r="F2486" s="10">
        <v>3240</v>
      </c>
      <c r="G2486" s="10"/>
      <c r="H2486" s="10"/>
      <c r="I2486" s="10" t="s">
        <v>43</v>
      </c>
      <c r="J2486" s="10"/>
      <c r="K2486" s="10"/>
      <c r="L2486" s="10"/>
      <c r="M2486" s="12"/>
      <c r="N2486" s="10"/>
      <c r="O2486" s="10"/>
      <c r="P2486" s="25" t="str">
        <f>IFERROR(
IF(OR(O2486="anulado",O2486="stand by"),CONCATENATE(O2486,": ",H2486),
IF(OR(YEAR(M2486)=2022,YEAR(M2486)=2023),CONCATENATE("Se activó en ",YEAR(M2486)),
IF(AND(OR(O2486="En proceso",O2486="facturando"),AND(J2486="-",M2486="")),"Por revisar",
IF(M2486="",IF(J2486="NUEVAS",CONCATENATE("Estado: ",O2486,", ",J2486),
IF(L2486=Meses!$A$3,"Por revisar",
IF(H2486="","Sin registro","En programación Frcst."))),"En programación")))),
"Error")</f>
        <v>Sin registro</v>
      </c>
      <c r="Q2486" s="9" t="str">
        <f t="shared" si="125"/>
        <v/>
      </c>
      <c r="R2486" s="25" t="str">
        <f>IF(P2486="En programación Frcst.",VLOOKUP(L2486,Meses!$A$1:$H$14,3+HLOOKUP(Cronograma!J2486,Meses!$D$1:$G$2,2,FALSE),FALSE),
IF(P2486="En programación",M2486,""))</f>
        <v/>
      </c>
      <c r="S2486" s="25" t="str">
        <f t="shared" si="126"/>
        <v/>
      </c>
      <c r="T2486" s="21" t="str">
        <f>IFERROR(
(VLOOKUP(MONTH(R2486),Meses!$B$3:$C$14,2,FALSE)-DAY(R2486))/VLOOKUP(MONTH(R2486),Meses!$B$3:$C$14,2,FALSE)*U2486,
"")</f>
        <v/>
      </c>
      <c r="U2486" s="22">
        <f t="shared" si="127"/>
        <v>3240</v>
      </c>
    </row>
    <row r="2487" spans="1:21" ht="31.8" hidden="1" thickBot="1" x14ac:dyDescent="0.6">
      <c r="A2487" s="10" t="s">
        <v>3387</v>
      </c>
      <c r="B2487" s="10" t="s">
        <v>3443</v>
      </c>
      <c r="C2487" s="12"/>
      <c r="D2487" s="10" t="s">
        <v>3442</v>
      </c>
      <c r="E2487" s="10" t="s">
        <v>3442</v>
      </c>
      <c r="F2487" s="10">
        <v>3240</v>
      </c>
      <c r="G2487" s="10"/>
      <c r="H2487" s="10"/>
      <c r="I2487" s="10" t="s">
        <v>43</v>
      </c>
      <c r="J2487" s="10"/>
      <c r="K2487" s="10"/>
      <c r="L2487" s="10"/>
      <c r="M2487" s="12"/>
      <c r="N2487" s="10"/>
      <c r="O2487" s="10"/>
      <c r="P2487" s="25" t="str">
        <f>IFERROR(
IF(OR(O2487="anulado",O2487="stand by"),CONCATENATE(O2487,": ",H2487),
IF(OR(YEAR(M2487)=2022,YEAR(M2487)=2023),CONCATENATE("Se activó en ",YEAR(M2487)),
IF(AND(OR(O2487="En proceso",O2487="facturando"),AND(J2487="-",M2487="")),"Por revisar",
IF(M2487="",IF(J2487="NUEVAS",CONCATENATE("Estado: ",O2487,", ",J2487),
IF(L2487=Meses!$A$3,"Por revisar",
IF(H2487="","Sin registro","En programación Frcst."))),"En programación")))),
"Error")</f>
        <v>Sin registro</v>
      </c>
      <c r="Q2487" s="9" t="str">
        <f t="shared" si="125"/>
        <v/>
      </c>
      <c r="R2487" s="25" t="str">
        <f>IF(P2487="En programación Frcst.",VLOOKUP(L2487,Meses!$A$1:$H$14,3+HLOOKUP(Cronograma!J2487,Meses!$D$1:$G$2,2,FALSE),FALSE),
IF(P2487="En programación",M2487,""))</f>
        <v/>
      </c>
      <c r="S2487" s="25" t="str">
        <f t="shared" si="126"/>
        <v/>
      </c>
      <c r="T2487" s="21" t="str">
        <f>IFERROR(
(VLOOKUP(MONTH(R2487),Meses!$B$3:$C$14,2,FALSE)-DAY(R2487))/VLOOKUP(MONTH(R2487),Meses!$B$3:$C$14,2,FALSE)*U2487,
"")</f>
        <v/>
      </c>
      <c r="U2487" s="22">
        <f t="shared" si="127"/>
        <v>3240</v>
      </c>
    </row>
    <row r="2488" spans="1:21" ht="31.8" hidden="1" thickBot="1" x14ac:dyDescent="0.6">
      <c r="A2488" s="10" t="s">
        <v>3387</v>
      </c>
      <c r="B2488" s="10" t="s">
        <v>3444</v>
      </c>
      <c r="C2488" s="12"/>
      <c r="D2488" s="10" t="s">
        <v>3442</v>
      </c>
      <c r="E2488" s="10" t="s">
        <v>3442</v>
      </c>
      <c r="F2488" s="10">
        <v>3240</v>
      </c>
      <c r="G2488" s="10"/>
      <c r="H2488" s="10"/>
      <c r="I2488" s="10" t="s">
        <v>43</v>
      </c>
      <c r="J2488" s="10"/>
      <c r="K2488" s="10"/>
      <c r="L2488" s="10"/>
      <c r="M2488" s="12"/>
      <c r="N2488" s="10"/>
      <c r="O2488" s="10"/>
      <c r="P2488" s="25" t="str">
        <f>IFERROR(
IF(OR(O2488="anulado",O2488="stand by"),CONCATENATE(O2488,": ",H2488),
IF(OR(YEAR(M2488)=2022,YEAR(M2488)=2023),CONCATENATE("Se activó en ",YEAR(M2488)),
IF(AND(OR(O2488="En proceso",O2488="facturando"),AND(J2488="-",M2488="")),"Por revisar",
IF(M2488="",IF(J2488="NUEVAS",CONCATENATE("Estado: ",O2488,", ",J2488),
IF(L2488=Meses!$A$3,"Por revisar",
IF(H2488="","Sin registro","En programación Frcst."))),"En programación")))),
"Error")</f>
        <v>Sin registro</v>
      </c>
      <c r="Q2488" s="9" t="str">
        <f t="shared" si="125"/>
        <v/>
      </c>
      <c r="R2488" s="25" t="str">
        <f>IF(P2488="En programación Frcst.",VLOOKUP(L2488,Meses!$A$1:$H$14,3+HLOOKUP(Cronograma!J2488,Meses!$D$1:$G$2,2,FALSE),FALSE),
IF(P2488="En programación",M2488,""))</f>
        <v/>
      </c>
      <c r="S2488" s="25" t="str">
        <f t="shared" si="126"/>
        <v/>
      </c>
      <c r="T2488" s="21" t="str">
        <f>IFERROR(
(VLOOKUP(MONTH(R2488),Meses!$B$3:$C$14,2,FALSE)-DAY(R2488))/VLOOKUP(MONTH(R2488),Meses!$B$3:$C$14,2,FALSE)*U2488,
"")</f>
        <v/>
      </c>
      <c r="U2488" s="22">
        <f t="shared" si="127"/>
        <v>3240</v>
      </c>
    </row>
    <row r="2489" spans="1:21" ht="31.8" hidden="1" thickBot="1" x14ac:dyDescent="0.6">
      <c r="A2489" s="10" t="s">
        <v>3387</v>
      </c>
      <c r="B2489" s="10" t="s">
        <v>3445</v>
      </c>
      <c r="C2489" s="12"/>
      <c r="D2489" s="10" t="s">
        <v>3389</v>
      </c>
      <c r="E2489" s="10" t="s">
        <v>3389</v>
      </c>
      <c r="F2489" s="10">
        <v>2451</v>
      </c>
      <c r="G2489" s="10"/>
      <c r="H2489" s="10"/>
      <c r="I2489" s="10" t="s">
        <v>43</v>
      </c>
      <c r="J2489" s="10"/>
      <c r="K2489" s="10"/>
      <c r="L2489" s="10"/>
      <c r="M2489" s="12"/>
      <c r="N2489" s="10"/>
      <c r="O2489" s="10"/>
      <c r="P2489" s="25" t="str">
        <f>IFERROR(
IF(OR(O2489="anulado",O2489="stand by"),CONCATENATE(O2489,": ",H2489),
IF(OR(YEAR(M2489)=2022,YEAR(M2489)=2023),CONCATENATE("Se activó en ",YEAR(M2489)),
IF(AND(OR(O2489="En proceso",O2489="facturando"),AND(J2489="-",M2489="")),"Por revisar",
IF(M2489="",IF(J2489="NUEVAS",CONCATENATE("Estado: ",O2489,", ",J2489),
IF(L2489=Meses!$A$3,"Por revisar",
IF(H2489="","Sin registro","En programación Frcst."))),"En programación")))),
"Error")</f>
        <v>Sin registro</v>
      </c>
      <c r="Q2489" s="9" t="str">
        <f t="shared" si="125"/>
        <v/>
      </c>
      <c r="R2489" s="25" t="str">
        <f>IF(P2489="En programación Frcst.",VLOOKUP(L2489,Meses!$A$1:$H$14,3+HLOOKUP(Cronograma!J2489,Meses!$D$1:$G$2,2,FALSE),FALSE),
IF(P2489="En programación",M2489,""))</f>
        <v/>
      </c>
      <c r="S2489" s="25" t="str">
        <f t="shared" si="126"/>
        <v/>
      </c>
      <c r="T2489" s="21" t="str">
        <f>IFERROR(
(VLOOKUP(MONTH(R2489),Meses!$B$3:$C$14,2,FALSE)-DAY(R2489))/VLOOKUP(MONTH(R2489),Meses!$B$3:$C$14,2,FALSE)*U2489,
"")</f>
        <v/>
      </c>
      <c r="U2489" s="22">
        <f t="shared" si="127"/>
        <v>2451</v>
      </c>
    </row>
    <row r="2490" spans="1:21" ht="47.4" hidden="1" thickBot="1" x14ac:dyDescent="0.6">
      <c r="A2490" s="10" t="s">
        <v>3387</v>
      </c>
      <c r="B2490" s="10" t="s">
        <v>3446</v>
      </c>
      <c r="C2490" s="12"/>
      <c r="D2490" s="10" t="s">
        <v>3193</v>
      </c>
      <c r="E2490" s="10" t="s">
        <v>3193</v>
      </c>
      <c r="F2490" s="10">
        <v>896</v>
      </c>
      <c r="G2490" s="10"/>
      <c r="H2490" s="10"/>
      <c r="I2490" s="10" t="s">
        <v>18</v>
      </c>
      <c r="J2490" s="10"/>
      <c r="K2490" s="10"/>
      <c r="L2490" s="10"/>
      <c r="M2490" s="12"/>
      <c r="N2490" s="10"/>
      <c r="O2490" s="10"/>
      <c r="P2490" s="25" t="str">
        <f>IFERROR(
IF(OR(O2490="anulado",O2490="stand by"),CONCATENATE(O2490,": ",H2490),
IF(OR(YEAR(M2490)=2022,YEAR(M2490)=2023),CONCATENATE("Se activó en ",YEAR(M2490)),
IF(AND(OR(O2490="En proceso",O2490="facturando"),AND(J2490="-",M2490="")),"Por revisar",
IF(M2490="",IF(J2490="NUEVAS",CONCATENATE("Estado: ",O2490,", ",J2490),
IF(L2490=Meses!$A$3,"Por revisar",
IF(H2490="","Sin registro","En programación Frcst."))),"En programación")))),
"Error")</f>
        <v>Sin registro</v>
      </c>
      <c r="Q2490" s="9" t="str">
        <f t="shared" si="125"/>
        <v/>
      </c>
      <c r="R2490" s="25" t="str">
        <f>IF(P2490="En programación Frcst.",VLOOKUP(L2490,Meses!$A$1:$H$14,3+HLOOKUP(Cronograma!J2490,Meses!$D$1:$G$2,2,FALSE),FALSE),
IF(P2490="En programación",M2490,""))</f>
        <v/>
      </c>
      <c r="S2490" s="25" t="str">
        <f t="shared" si="126"/>
        <v/>
      </c>
      <c r="T2490" s="21" t="str">
        <f>IFERROR(
(VLOOKUP(MONTH(R2490),Meses!$B$3:$C$14,2,FALSE)-DAY(R2490))/VLOOKUP(MONTH(R2490),Meses!$B$3:$C$14,2,FALSE)*U2490,
"")</f>
        <v/>
      </c>
      <c r="U2490" s="22">
        <f t="shared" si="127"/>
        <v>896</v>
      </c>
    </row>
    <row r="2491" spans="1:21" ht="31.8" hidden="1" thickBot="1" x14ac:dyDescent="0.6">
      <c r="A2491" s="10" t="s">
        <v>3387</v>
      </c>
      <c r="B2491" s="10" t="s">
        <v>3447</v>
      </c>
      <c r="C2491" s="12"/>
      <c r="D2491" s="10" t="s">
        <v>3389</v>
      </c>
      <c r="E2491" s="10" t="s">
        <v>3389</v>
      </c>
      <c r="F2491" s="10">
        <v>2451</v>
      </c>
      <c r="G2491" s="10"/>
      <c r="H2491" s="10"/>
      <c r="I2491" s="10" t="s">
        <v>43</v>
      </c>
      <c r="J2491" s="10"/>
      <c r="K2491" s="10"/>
      <c r="L2491" s="10"/>
      <c r="M2491" s="12"/>
      <c r="N2491" s="10"/>
      <c r="O2491" s="10"/>
      <c r="P2491" s="25" t="str">
        <f>IFERROR(
IF(OR(O2491="anulado",O2491="stand by"),CONCATENATE(O2491,": ",H2491),
IF(OR(YEAR(M2491)=2022,YEAR(M2491)=2023),CONCATENATE("Se activó en ",YEAR(M2491)),
IF(AND(OR(O2491="En proceso",O2491="facturando"),AND(J2491="-",M2491="")),"Por revisar",
IF(M2491="",IF(J2491="NUEVAS",CONCATENATE("Estado: ",O2491,", ",J2491),
IF(L2491=Meses!$A$3,"Por revisar",
IF(H2491="","Sin registro","En programación Frcst."))),"En programación")))),
"Error")</f>
        <v>Sin registro</v>
      </c>
      <c r="Q2491" s="9" t="str">
        <f t="shared" si="125"/>
        <v/>
      </c>
      <c r="R2491" s="25" t="str">
        <f>IF(P2491="En programación Frcst.",VLOOKUP(L2491,Meses!$A$1:$H$14,3+HLOOKUP(Cronograma!J2491,Meses!$D$1:$G$2,2,FALSE),FALSE),
IF(P2491="En programación",M2491,""))</f>
        <v/>
      </c>
      <c r="S2491" s="25" t="str">
        <f t="shared" si="126"/>
        <v/>
      </c>
      <c r="T2491" s="21" t="str">
        <f>IFERROR(
(VLOOKUP(MONTH(R2491),Meses!$B$3:$C$14,2,FALSE)-DAY(R2491))/VLOOKUP(MONTH(R2491),Meses!$B$3:$C$14,2,FALSE)*U2491,
"")</f>
        <v/>
      </c>
      <c r="U2491" s="22">
        <f t="shared" si="127"/>
        <v>2451</v>
      </c>
    </row>
    <row r="2492" spans="1:21" ht="31.8" hidden="1" thickBot="1" x14ac:dyDescent="0.6">
      <c r="A2492" s="10" t="s">
        <v>3387</v>
      </c>
      <c r="B2492" s="10" t="s">
        <v>3448</v>
      </c>
      <c r="C2492" s="12"/>
      <c r="D2492" s="10" t="s">
        <v>3389</v>
      </c>
      <c r="E2492" s="10" t="s">
        <v>3389</v>
      </c>
      <c r="F2492" s="10">
        <v>2451</v>
      </c>
      <c r="G2492" s="10"/>
      <c r="H2492" s="10"/>
      <c r="I2492" s="10" t="s">
        <v>43</v>
      </c>
      <c r="J2492" s="10"/>
      <c r="K2492" s="10"/>
      <c r="L2492" s="10"/>
      <c r="M2492" s="12"/>
      <c r="N2492" s="10"/>
      <c r="O2492" s="10"/>
      <c r="P2492" s="25" t="str">
        <f>IFERROR(
IF(OR(O2492="anulado",O2492="stand by"),CONCATENATE(O2492,": ",H2492),
IF(OR(YEAR(M2492)=2022,YEAR(M2492)=2023),CONCATENATE("Se activó en ",YEAR(M2492)),
IF(AND(OR(O2492="En proceso",O2492="facturando"),AND(J2492="-",M2492="")),"Por revisar",
IF(M2492="",IF(J2492="NUEVAS",CONCATENATE("Estado: ",O2492,", ",J2492),
IF(L2492=Meses!$A$3,"Por revisar",
IF(H2492="","Sin registro","En programación Frcst."))),"En programación")))),
"Error")</f>
        <v>Sin registro</v>
      </c>
      <c r="Q2492" s="9" t="str">
        <f t="shared" si="125"/>
        <v/>
      </c>
      <c r="R2492" s="25" t="str">
        <f>IF(P2492="En programación Frcst.",VLOOKUP(L2492,Meses!$A$1:$H$14,3+HLOOKUP(Cronograma!J2492,Meses!$D$1:$G$2,2,FALSE),FALSE),
IF(P2492="En programación",M2492,""))</f>
        <v/>
      </c>
      <c r="S2492" s="25" t="str">
        <f t="shared" si="126"/>
        <v/>
      </c>
      <c r="T2492" s="21" t="str">
        <f>IFERROR(
(VLOOKUP(MONTH(R2492),Meses!$B$3:$C$14,2,FALSE)-DAY(R2492))/VLOOKUP(MONTH(R2492),Meses!$B$3:$C$14,2,FALSE)*U2492,
"")</f>
        <v/>
      </c>
      <c r="U2492" s="22">
        <f t="shared" si="127"/>
        <v>2451</v>
      </c>
    </row>
    <row r="2493" spans="1:21" ht="31.8" hidden="1" thickBot="1" x14ac:dyDescent="0.6">
      <c r="A2493" s="10" t="s">
        <v>3387</v>
      </c>
      <c r="B2493" s="10" t="s">
        <v>3449</v>
      </c>
      <c r="C2493" s="12"/>
      <c r="D2493" s="10" t="s">
        <v>3389</v>
      </c>
      <c r="E2493" s="10" t="s">
        <v>3389</v>
      </c>
      <c r="F2493" s="10">
        <v>2451</v>
      </c>
      <c r="G2493" s="10"/>
      <c r="H2493" s="10"/>
      <c r="I2493" s="10" t="s">
        <v>43</v>
      </c>
      <c r="J2493" s="10"/>
      <c r="K2493" s="10"/>
      <c r="L2493" s="10"/>
      <c r="M2493" s="12"/>
      <c r="N2493" s="10"/>
      <c r="O2493" s="10"/>
      <c r="P2493" s="25" t="str">
        <f>IFERROR(
IF(OR(O2493="anulado",O2493="stand by"),CONCATENATE(O2493,": ",H2493),
IF(OR(YEAR(M2493)=2022,YEAR(M2493)=2023),CONCATENATE("Se activó en ",YEAR(M2493)),
IF(AND(OR(O2493="En proceso",O2493="facturando"),AND(J2493="-",M2493="")),"Por revisar",
IF(M2493="",IF(J2493="NUEVAS",CONCATENATE("Estado: ",O2493,", ",J2493),
IF(L2493=Meses!$A$3,"Por revisar",
IF(H2493="","Sin registro","En programación Frcst."))),"En programación")))),
"Error")</f>
        <v>Sin registro</v>
      </c>
      <c r="Q2493" s="9" t="str">
        <f t="shared" si="125"/>
        <v/>
      </c>
      <c r="R2493" s="25" t="str">
        <f>IF(P2493="En programación Frcst.",VLOOKUP(L2493,Meses!$A$1:$H$14,3+HLOOKUP(Cronograma!J2493,Meses!$D$1:$G$2,2,FALSE),FALSE),
IF(P2493="En programación",M2493,""))</f>
        <v/>
      </c>
      <c r="S2493" s="25" t="str">
        <f t="shared" si="126"/>
        <v/>
      </c>
      <c r="T2493" s="21" t="str">
        <f>IFERROR(
(VLOOKUP(MONTH(R2493),Meses!$B$3:$C$14,2,FALSE)-DAY(R2493))/VLOOKUP(MONTH(R2493),Meses!$B$3:$C$14,2,FALSE)*U2493,
"")</f>
        <v/>
      </c>
      <c r="U2493" s="22">
        <f t="shared" si="127"/>
        <v>2451</v>
      </c>
    </row>
    <row r="2494" spans="1:21" ht="31.8" hidden="1" thickBot="1" x14ac:dyDescent="0.6">
      <c r="A2494" s="10" t="s">
        <v>3387</v>
      </c>
      <c r="B2494" s="10" t="s">
        <v>3450</v>
      </c>
      <c r="C2494" s="12"/>
      <c r="D2494" s="10" t="s">
        <v>3451</v>
      </c>
      <c r="E2494" s="10" t="s">
        <v>3451</v>
      </c>
      <c r="F2494" s="10">
        <v>2130</v>
      </c>
      <c r="G2494" s="10"/>
      <c r="H2494" s="10"/>
      <c r="I2494" s="10" t="s">
        <v>43</v>
      </c>
      <c r="J2494" s="10"/>
      <c r="K2494" s="10"/>
      <c r="L2494" s="10"/>
      <c r="M2494" s="12"/>
      <c r="N2494" s="10"/>
      <c r="O2494" s="10"/>
      <c r="P2494" s="25" t="str">
        <f>IFERROR(
IF(OR(O2494="anulado",O2494="stand by"),CONCATENATE(O2494,": ",H2494),
IF(OR(YEAR(M2494)=2022,YEAR(M2494)=2023),CONCATENATE("Se activó en ",YEAR(M2494)),
IF(AND(OR(O2494="En proceso",O2494="facturando"),AND(J2494="-",M2494="")),"Por revisar",
IF(M2494="",IF(J2494="NUEVAS",CONCATENATE("Estado: ",O2494,", ",J2494),
IF(L2494=Meses!$A$3,"Por revisar",
IF(H2494="","Sin registro","En programación Frcst."))),"En programación")))),
"Error")</f>
        <v>Sin registro</v>
      </c>
      <c r="Q2494" s="9" t="str">
        <f t="shared" si="125"/>
        <v/>
      </c>
      <c r="R2494" s="25" t="str">
        <f>IF(P2494="En programación Frcst.",VLOOKUP(L2494,Meses!$A$1:$H$14,3+HLOOKUP(Cronograma!J2494,Meses!$D$1:$G$2,2,FALSE),FALSE),
IF(P2494="En programación",M2494,""))</f>
        <v/>
      </c>
      <c r="S2494" s="25" t="str">
        <f t="shared" si="126"/>
        <v/>
      </c>
      <c r="T2494" s="21" t="str">
        <f>IFERROR(
(VLOOKUP(MONTH(R2494),Meses!$B$3:$C$14,2,FALSE)-DAY(R2494))/VLOOKUP(MONTH(R2494),Meses!$B$3:$C$14,2,FALSE)*U2494,
"")</f>
        <v/>
      </c>
      <c r="U2494" s="22">
        <f t="shared" si="127"/>
        <v>2130</v>
      </c>
    </row>
    <row r="2495" spans="1:21" ht="31.8" hidden="1" thickBot="1" x14ac:dyDescent="0.6">
      <c r="A2495" s="10" t="s">
        <v>3387</v>
      </c>
      <c r="B2495" s="10" t="s">
        <v>3452</v>
      </c>
      <c r="C2495" s="12"/>
      <c r="D2495" s="10" t="s">
        <v>3451</v>
      </c>
      <c r="E2495" s="10" t="s">
        <v>3451</v>
      </c>
      <c r="F2495" s="10">
        <v>2130</v>
      </c>
      <c r="G2495" s="10"/>
      <c r="H2495" s="10"/>
      <c r="I2495" s="10" t="s">
        <v>43</v>
      </c>
      <c r="J2495" s="10"/>
      <c r="K2495" s="10"/>
      <c r="L2495" s="10"/>
      <c r="M2495" s="12"/>
      <c r="N2495" s="10"/>
      <c r="O2495" s="10"/>
      <c r="P2495" s="25" t="str">
        <f>IFERROR(
IF(OR(O2495="anulado",O2495="stand by"),CONCATENATE(O2495,": ",H2495),
IF(OR(YEAR(M2495)=2022,YEAR(M2495)=2023),CONCATENATE("Se activó en ",YEAR(M2495)),
IF(AND(OR(O2495="En proceso",O2495="facturando"),AND(J2495="-",M2495="")),"Por revisar",
IF(M2495="",IF(J2495="NUEVAS",CONCATENATE("Estado: ",O2495,", ",J2495),
IF(L2495=Meses!$A$3,"Por revisar",
IF(H2495="","Sin registro","En programación Frcst."))),"En programación")))),
"Error")</f>
        <v>Sin registro</v>
      </c>
      <c r="Q2495" s="9" t="str">
        <f t="shared" si="125"/>
        <v/>
      </c>
      <c r="R2495" s="25" t="str">
        <f>IF(P2495="En programación Frcst.",VLOOKUP(L2495,Meses!$A$1:$H$14,3+HLOOKUP(Cronograma!J2495,Meses!$D$1:$G$2,2,FALSE),FALSE),
IF(P2495="En programación",M2495,""))</f>
        <v/>
      </c>
      <c r="S2495" s="25" t="str">
        <f t="shared" si="126"/>
        <v/>
      </c>
      <c r="T2495" s="21" t="str">
        <f>IFERROR(
(VLOOKUP(MONTH(R2495),Meses!$B$3:$C$14,2,FALSE)-DAY(R2495))/VLOOKUP(MONTH(R2495),Meses!$B$3:$C$14,2,FALSE)*U2495,
"")</f>
        <v/>
      </c>
      <c r="U2495" s="22">
        <f t="shared" si="127"/>
        <v>2130</v>
      </c>
    </row>
    <row r="2496" spans="1:21" ht="31.8" hidden="1" thickBot="1" x14ac:dyDescent="0.6">
      <c r="A2496" s="10" t="s">
        <v>3387</v>
      </c>
      <c r="B2496" s="10" t="s">
        <v>3453</v>
      </c>
      <c r="C2496" s="12"/>
      <c r="D2496" s="10" t="s">
        <v>3451</v>
      </c>
      <c r="E2496" s="10" t="s">
        <v>3451</v>
      </c>
      <c r="F2496" s="10">
        <v>2130</v>
      </c>
      <c r="G2496" s="10"/>
      <c r="H2496" s="10"/>
      <c r="I2496" s="10" t="s">
        <v>43</v>
      </c>
      <c r="J2496" s="10"/>
      <c r="K2496" s="10"/>
      <c r="L2496" s="10"/>
      <c r="M2496" s="12"/>
      <c r="N2496" s="10"/>
      <c r="O2496" s="10"/>
      <c r="P2496" s="25" t="str">
        <f>IFERROR(
IF(OR(O2496="anulado",O2496="stand by"),CONCATENATE(O2496,": ",H2496),
IF(OR(YEAR(M2496)=2022,YEAR(M2496)=2023),CONCATENATE("Se activó en ",YEAR(M2496)),
IF(AND(OR(O2496="En proceso",O2496="facturando"),AND(J2496="-",M2496="")),"Por revisar",
IF(M2496="",IF(J2496="NUEVAS",CONCATENATE("Estado: ",O2496,", ",J2496),
IF(L2496=Meses!$A$3,"Por revisar",
IF(H2496="","Sin registro","En programación Frcst."))),"En programación")))),
"Error")</f>
        <v>Sin registro</v>
      </c>
      <c r="Q2496" s="9" t="str">
        <f t="shared" si="125"/>
        <v/>
      </c>
      <c r="R2496" s="25" t="str">
        <f>IF(P2496="En programación Frcst.",VLOOKUP(L2496,Meses!$A$1:$H$14,3+HLOOKUP(Cronograma!J2496,Meses!$D$1:$G$2,2,FALSE),FALSE),
IF(P2496="En programación",M2496,""))</f>
        <v/>
      </c>
      <c r="S2496" s="25" t="str">
        <f t="shared" si="126"/>
        <v/>
      </c>
      <c r="T2496" s="21" t="str">
        <f>IFERROR(
(VLOOKUP(MONTH(R2496),Meses!$B$3:$C$14,2,FALSE)-DAY(R2496))/VLOOKUP(MONTH(R2496),Meses!$B$3:$C$14,2,FALSE)*U2496,
"")</f>
        <v/>
      </c>
      <c r="U2496" s="22">
        <f t="shared" si="127"/>
        <v>2130</v>
      </c>
    </row>
    <row r="2497" spans="1:21" ht="31.8" hidden="1" thickBot="1" x14ac:dyDescent="0.6">
      <c r="A2497" s="10" t="s">
        <v>3387</v>
      </c>
      <c r="B2497" s="10" t="s">
        <v>3454</v>
      </c>
      <c r="C2497" s="12"/>
      <c r="D2497" s="10" t="s">
        <v>3451</v>
      </c>
      <c r="E2497" s="10" t="s">
        <v>3451</v>
      </c>
      <c r="F2497" s="10">
        <v>3000</v>
      </c>
      <c r="G2497" s="10"/>
      <c r="H2497" s="10"/>
      <c r="I2497" s="10" t="s">
        <v>43</v>
      </c>
      <c r="J2497" s="10"/>
      <c r="K2497" s="10"/>
      <c r="L2497" s="10"/>
      <c r="M2497" s="12"/>
      <c r="N2497" s="10"/>
      <c r="O2497" s="10"/>
      <c r="P2497" s="25" t="str">
        <f>IFERROR(
IF(OR(O2497="anulado",O2497="stand by"),CONCATENATE(O2497,": ",H2497),
IF(OR(YEAR(M2497)=2022,YEAR(M2497)=2023),CONCATENATE("Se activó en ",YEAR(M2497)),
IF(AND(OR(O2497="En proceso",O2497="facturando"),AND(J2497="-",M2497="")),"Por revisar",
IF(M2497="",IF(J2497="NUEVAS",CONCATENATE("Estado: ",O2497,", ",J2497),
IF(L2497=Meses!$A$3,"Por revisar",
IF(H2497="","Sin registro","En programación Frcst."))),"En programación")))),
"Error")</f>
        <v>Sin registro</v>
      </c>
      <c r="Q2497" s="9" t="str">
        <f t="shared" si="125"/>
        <v/>
      </c>
      <c r="R2497" s="25" t="str">
        <f>IF(P2497="En programación Frcst.",VLOOKUP(L2497,Meses!$A$1:$H$14,3+HLOOKUP(Cronograma!J2497,Meses!$D$1:$G$2,2,FALSE),FALSE),
IF(P2497="En programación",M2497,""))</f>
        <v/>
      </c>
      <c r="S2497" s="25" t="str">
        <f t="shared" si="126"/>
        <v/>
      </c>
      <c r="T2497" s="21" t="str">
        <f>IFERROR(
(VLOOKUP(MONTH(R2497),Meses!$B$3:$C$14,2,FALSE)-DAY(R2497))/VLOOKUP(MONTH(R2497),Meses!$B$3:$C$14,2,FALSE)*U2497,
"")</f>
        <v/>
      </c>
      <c r="U2497" s="22">
        <f t="shared" si="127"/>
        <v>3000</v>
      </c>
    </row>
    <row r="2498" spans="1:21" ht="31.8" hidden="1" thickBot="1" x14ac:dyDescent="0.6">
      <c r="A2498" s="10" t="s">
        <v>3387</v>
      </c>
      <c r="B2498" s="10" t="s">
        <v>3455</v>
      </c>
      <c r="C2498" s="12"/>
      <c r="D2498" s="10" t="s">
        <v>3451</v>
      </c>
      <c r="E2498" s="10" t="s">
        <v>3451</v>
      </c>
      <c r="F2498" s="10">
        <v>3000</v>
      </c>
      <c r="G2498" s="10"/>
      <c r="H2498" s="10"/>
      <c r="I2498" s="10" t="s">
        <v>43</v>
      </c>
      <c r="J2498" s="10"/>
      <c r="K2498" s="10"/>
      <c r="L2498" s="10"/>
      <c r="M2498" s="12"/>
      <c r="N2498" s="10"/>
      <c r="O2498" s="10"/>
      <c r="P2498" s="25" t="str">
        <f>IFERROR(
IF(OR(O2498="anulado",O2498="stand by"),CONCATENATE(O2498,": ",H2498),
IF(OR(YEAR(M2498)=2022,YEAR(M2498)=2023),CONCATENATE("Se activó en ",YEAR(M2498)),
IF(AND(OR(O2498="En proceso",O2498="facturando"),AND(J2498="-",M2498="")),"Por revisar",
IF(M2498="",IF(J2498="NUEVAS",CONCATENATE("Estado: ",O2498,", ",J2498),
IF(L2498=Meses!$A$3,"Por revisar",
IF(H2498="","Sin registro","En programación Frcst."))),"En programación")))),
"Error")</f>
        <v>Sin registro</v>
      </c>
      <c r="Q2498" s="9" t="str">
        <f t="shared" si="125"/>
        <v/>
      </c>
      <c r="R2498" s="25" t="str">
        <f>IF(P2498="En programación Frcst.",VLOOKUP(L2498,Meses!$A$1:$H$14,3+HLOOKUP(Cronograma!J2498,Meses!$D$1:$G$2,2,FALSE),FALSE),
IF(P2498="En programación",M2498,""))</f>
        <v/>
      </c>
      <c r="S2498" s="25" t="str">
        <f t="shared" si="126"/>
        <v/>
      </c>
      <c r="T2498" s="21" t="str">
        <f>IFERROR(
(VLOOKUP(MONTH(R2498),Meses!$B$3:$C$14,2,FALSE)-DAY(R2498))/VLOOKUP(MONTH(R2498),Meses!$B$3:$C$14,2,FALSE)*U2498,
"")</f>
        <v/>
      </c>
      <c r="U2498" s="22">
        <f t="shared" si="127"/>
        <v>3000</v>
      </c>
    </row>
    <row r="2499" spans="1:21" ht="31.8" hidden="1" thickBot="1" x14ac:dyDescent="0.6">
      <c r="A2499" s="10" t="s">
        <v>3387</v>
      </c>
      <c r="B2499" s="10" t="s">
        <v>3456</v>
      </c>
      <c r="C2499" s="12"/>
      <c r="D2499" s="10" t="s">
        <v>3451</v>
      </c>
      <c r="E2499" s="10" t="s">
        <v>3451</v>
      </c>
      <c r="F2499" s="10">
        <v>3000</v>
      </c>
      <c r="G2499" s="10"/>
      <c r="H2499" s="10"/>
      <c r="I2499" s="10" t="s">
        <v>43</v>
      </c>
      <c r="J2499" s="10"/>
      <c r="K2499" s="10"/>
      <c r="L2499" s="10"/>
      <c r="M2499" s="12"/>
      <c r="N2499" s="10"/>
      <c r="O2499" s="10"/>
      <c r="P2499" s="25" t="str">
        <f>IFERROR(
IF(OR(O2499="anulado",O2499="stand by"),CONCATENATE(O2499,": ",H2499),
IF(OR(YEAR(M2499)=2022,YEAR(M2499)=2023),CONCATENATE("Se activó en ",YEAR(M2499)),
IF(AND(OR(O2499="En proceso",O2499="facturando"),AND(J2499="-",M2499="")),"Por revisar",
IF(M2499="",IF(J2499="NUEVAS",CONCATENATE("Estado: ",O2499,", ",J2499),
IF(L2499=Meses!$A$3,"Por revisar",
IF(H2499="","Sin registro","En programación Frcst."))),"En programación")))),
"Error")</f>
        <v>Sin registro</v>
      </c>
      <c r="Q2499" s="9" t="str">
        <f t="shared" si="125"/>
        <v/>
      </c>
      <c r="R2499" s="25" t="str">
        <f>IF(P2499="En programación Frcst.",VLOOKUP(L2499,Meses!$A$1:$H$14,3+HLOOKUP(Cronograma!J2499,Meses!$D$1:$G$2,2,FALSE),FALSE),
IF(P2499="En programación",M2499,""))</f>
        <v/>
      </c>
      <c r="S2499" s="25" t="str">
        <f t="shared" si="126"/>
        <v/>
      </c>
      <c r="T2499" s="21" t="str">
        <f>IFERROR(
(VLOOKUP(MONTH(R2499),Meses!$B$3:$C$14,2,FALSE)-DAY(R2499))/VLOOKUP(MONTH(R2499),Meses!$B$3:$C$14,2,FALSE)*U2499,
"")</f>
        <v/>
      </c>
      <c r="U2499" s="22">
        <f t="shared" si="127"/>
        <v>3000</v>
      </c>
    </row>
    <row r="2500" spans="1:21" ht="31.8" hidden="1" thickBot="1" x14ac:dyDescent="0.6">
      <c r="A2500" s="10" t="s">
        <v>3387</v>
      </c>
      <c r="B2500" s="10" t="s">
        <v>3457</v>
      </c>
      <c r="C2500" s="12"/>
      <c r="D2500" s="10" t="s">
        <v>3458</v>
      </c>
      <c r="E2500" s="10" t="s">
        <v>3458</v>
      </c>
      <c r="F2500" s="10">
        <v>4384</v>
      </c>
      <c r="G2500" s="10" t="s">
        <v>15</v>
      </c>
      <c r="H2500" s="10"/>
      <c r="I2500" s="10" t="s">
        <v>3311</v>
      </c>
      <c r="J2500" s="10"/>
      <c r="K2500" s="10"/>
      <c r="L2500" s="10"/>
      <c r="M2500" s="12"/>
      <c r="N2500" s="10"/>
      <c r="O2500" s="10"/>
      <c r="P2500" s="25" t="str">
        <f>IFERROR(
IF(OR(O2500="anulado",O2500="stand by"),CONCATENATE(O2500,": ",H2500),
IF(OR(YEAR(M2500)=2022,YEAR(M2500)=2023),CONCATENATE("Se activó en ",YEAR(M2500)),
IF(AND(OR(O2500="En proceso",O2500="facturando"),AND(J2500="-",M2500="")),"Por revisar",
IF(M2500="",IF(J2500="NUEVAS",CONCATENATE("Estado: ",O2500,", ",J2500),
IF(L2500=Meses!$A$3,"Por revisar",
IF(H2500="","Sin registro","En programación Frcst."))),"En programación")))),
"Error")</f>
        <v>Sin registro</v>
      </c>
      <c r="Q2500" s="9" t="str">
        <f t="shared" si="125"/>
        <v/>
      </c>
      <c r="R2500" s="25" t="str">
        <f>IF(P2500="En programación Frcst.",VLOOKUP(L2500,Meses!$A$1:$H$14,3+HLOOKUP(Cronograma!J2500,Meses!$D$1:$G$2,2,FALSE),FALSE),
IF(P2500="En programación",M2500,""))</f>
        <v/>
      </c>
      <c r="S2500" s="25" t="str">
        <f t="shared" si="126"/>
        <v/>
      </c>
      <c r="T2500" s="21" t="str">
        <f>IFERROR(
(VLOOKUP(MONTH(R2500),Meses!$B$3:$C$14,2,FALSE)-DAY(R2500))/VLOOKUP(MONTH(R2500),Meses!$B$3:$C$14,2,FALSE)*U2500,
"")</f>
        <v/>
      </c>
      <c r="U2500" s="22">
        <f t="shared" si="127"/>
        <v>4384</v>
      </c>
    </row>
    <row r="2501" spans="1:21" hidden="1" x14ac:dyDescent="0.3">
      <c r="A2501" s="1" t="s">
        <v>3387</v>
      </c>
      <c r="B2501" s="1" t="s">
        <v>3459</v>
      </c>
      <c r="C2501" s="2"/>
      <c r="D2501" s="1" t="s">
        <v>3458</v>
      </c>
      <c r="E2501" s="1" t="s">
        <v>3458</v>
      </c>
      <c r="F2501" s="20">
        <v>4384</v>
      </c>
      <c r="G2501" s="3" t="s">
        <v>15</v>
      </c>
      <c r="H2501" s="3"/>
      <c r="I2501" s="3" t="s">
        <v>3311</v>
      </c>
      <c r="J2501" s="1"/>
      <c r="K2501" s="1"/>
      <c r="L2501" s="1"/>
      <c r="N2501" s="3"/>
      <c r="P2501" s="25" t="str">
        <f>IFERROR(
IF(OR(O2501="anulado",O2501="stand by"),CONCATENATE(O2501,": ",H2501),
IF(OR(YEAR(M2501)=2022,YEAR(M2501)=2023),CONCATENATE("Se activó en ",YEAR(M2501)),
IF(AND(OR(O2501="En proceso",O2501="facturando"),AND(J2501="-",M2501="")),"Por revisar",
IF(M2501="",IF(J2501="NUEVAS",CONCATENATE("Estado: ",O2501,", ",J2501),
IF(L2501=Meses!$A$3,"Por revisar",
IF(H2501="","Sin registro","En programación Frcst."))),"En programación")))),
"Error")</f>
        <v>Sin registro</v>
      </c>
      <c r="Q2501" s="9" t="str">
        <f t="shared" si="125"/>
        <v/>
      </c>
      <c r="R2501" s="25" t="str">
        <f>IF(P2501="En programación Frcst.",VLOOKUP(L2501,Meses!$A$1:$H$14,3+HLOOKUP(Cronograma!J2501,Meses!$D$1:$G$2,2,FALSE),FALSE),
IF(P2501="En programación",M2501,""))</f>
        <v/>
      </c>
      <c r="S2501" s="25" t="str">
        <f t="shared" si="126"/>
        <v/>
      </c>
      <c r="T2501" s="21" t="str">
        <f>IFERROR(
(VLOOKUP(MONTH(R2501),Meses!$B$3:$C$14,2,FALSE)-DAY(R2501))/VLOOKUP(MONTH(R2501),Meses!$B$3:$C$14,2,FALSE)*U2501,
"")</f>
        <v/>
      </c>
      <c r="U2501" s="22">
        <f t="shared" si="127"/>
        <v>4384</v>
      </c>
    </row>
    <row r="2502" spans="1:21" hidden="1" x14ac:dyDescent="0.3">
      <c r="A2502" s="1" t="s">
        <v>3387</v>
      </c>
      <c r="B2502" s="1" t="s">
        <v>3460</v>
      </c>
      <c r="C2502" s="2"/>
      <c r="D2502" s="1" t="s">
        <v>3185</v>
      </c>
      <c r="E2502" s="1" t="s">
        <v>3185</v>
      </c>
      <c r="F2502" s="20">
        <v>4505</v>
      </c>
      <c r="G2502" s="3"/>
      <c r="H2502" s="3"/>
      <c r="I2502" s="3" t="s">
        <v>43</v>
      </c>
      <c r="J2502" s="1"/>
      <c r="K2502" s="1"/>
      <c r="L2502" s="1"/>
      <c r="N2502" s="3"/>
      <c r="P2502" s="25" t="str">
        <f>IFERROR(
IF(OR(O2502="anulado",O2502="stand by"),CONCATENATE(O2502,": ",H2502),
IF(OR(YEAR(M2502)=2022,YEAR(M2502)=2023),CONCATENATE("Se activó en ",YEAR(M2502)),
IF(AND(OR(O2502="En proceso",O2502="facturando"),AND(J2502="-",M2502="")),"Por revisar",
IF(M2502="",IF(J2502="NUEVAS",CONCATENATE("Estado: ",O2502,", ",J2502),
IF(L2502=Meses!$A$3,"Por revisar",
IF(H2502="","Sin registro","En programación Frcst."))),"En programación")))),
"Error")</f>
        <v>Sin registro</v>
      </c>
      <c r="Q2502" s="9" t="str">
        <f t="shared" si="125"/>
        <v/>
      </c>
      <c r="R2502" s="25" t="str">
        <f>IF(P2502="En programación Frcst.",VLOOKUP(L2502,Meses!$A$1:$H$14,3+HLOOKUP(Cronograma!J2502,Meses!$D$1:$G$2,2,FALSE),FALSE),
IF(P2502="En programación",M2502,""))</f>
        <v/>
      </c>
      <c r="S2502" s="25" t="str">
        <f t="shared" si="126"/>
        <v/>
      </c>
      <c r="T2502" s="21" t="str">
        <f>IFERROR(
(VLOOKUP(MONTH(R2502),Meses!$B$3:$C$14,2,FALSE)-DAY(R2502))/VLOOKUP(MONTH(R2502),Meses!$B$3:$C$14,2,FALSE)*U2502,
"")</f>
        <v/>
      </c>
      <c r="U2502" s="22">
        <f t="shared" si="127"/>
        <v>4505</v>
      </c>
    </row>
    <row r="2503" spans="1:21" hidden="1" x14ac:dyDescent="0.3">
      <c r="A2503" s="1" t="s">
        <v>3387</v>
      </c>
      <c r="B2503" s="1" t="s">
        <v>3461</v>
      </c>
      <c r="C2503" s="2"/>
      <c r="D2503" s="1" t="s">
        <v>3430</v>
      </c>
      <c r="E2503" s="1" t="s">
        <v>3430</v>
      </c>
      <c r="F2503" s="20">
        <v>1024</v>
      </c>
      <c r="G2503" s="3"/>
      <c r="H2503" s="3"/>
      <c r="I2503" s="3" t="s">
        <v>43</v>
      </c>
      <c r="J2503" s="1"/>
      <c r="K2503" s="1"/>
      <c r="L2503" s="1"/>
      <c r="N2503" s="3"/>
      <c r="P2503" s="25" t="str">
        <f>IFERROR(
IF(OR(O2503="anulado",O2503="stand by"),CONCATENATE(O2503,": ",H2503),
IF(OR(YEAR(M2503)=2022,YEAR(M2503)=2023),CONCATENATE("Se activó en ",YEAR(M2503)),
IF(AND(OR(O2503="En proceso",O2503="facturando"),AND(J2503="-",M2503="")),"Por revisar",
IF(M2503="",IF(J2503="NUEVAS",CONCATENATE("Estado: ",O2503,", ",J2503),
IF(L2503=Meses!$A$3,"Por revisar",
IF(H2503="","Sin registro","En programación Frcst."))),"En programación")))),
"Error")</f>
        <v>Sin registro</v>
      </c>
      <c r="Q2503" s="9" t="str">
        <f t="shared" si="125"/>
        <v/>
      </c>
      <c r="R2503" s="25" t="str">
        <f>IF(P2503="En programación Frcst.",VLOOKUP(L2503,Meses!$A$1:$H$14,3+HLOOKUP(Cronograma!J2503,Meses!$D$1:$G$2,2,FALSE),FALSE),
IF(P2503="En programación",M2503,""))</f>
        <v/>
      </c>
      <c r="S2503" s="25" t="str">
        <f t="shared" si="126"/>
        <v/>
      </c>
      <c r="T2503" s="21" t="str">
        <f>IFERROR(
(VLOOKUP(MONTH(R2503),Meses!$B$3:$C$14,2,FALSE)-DAY(R2503))/VLOOKUP(MONTH(R2503),Meses!$B$3:$C$14,2,FALSE)*U2503,
"")</f>
        <v/>
      </c>
      <c r="U2503" s="22">
        <f t="shared" si="127"/>
        <v>1024</v>
      </c>
    </row>
    <row r="2504" spans="1:21" hidden="1" x14ac:dyDescent="0.3">
      <c r="A2504" s="1" t="s">
        <v>3387</v>
      </c>
      <c r="B2504" s="1" t="s">
        <v>3462</v>
      </c>
      <c r="C2504" s="2"/>
      <c r="D2504" s="1" t="s">
        <v>3442</v>
      </c>
      <c r="E2504" s="1" t="s">
        <v>3442</v>
      </c>
      <c r="F2504" s="20">
        <v>2053</v>
      </c>
      <c r="G2504" s="3"/>
      <c r="H2504" s="3"/>
      <c r="I2504" s="3" t="s">
        <v>43</v>
      </c>
      <c r="J2504" s="1"/>
      <c r="K2504" s="1"/>
      <c r="L2504" s="1"/>
      <c r="N2504" s="3"/>
      <c r="P2504" s="25" t="str">
        <f>IFERROR(
IF(OR(O2504="anulado",O2504="stand by"),CONCATENATE(O2504,": ",H2504),
IF(OR(YEAR(M2504)=2022,YEAR(M2504)=2023),CONCATENATE("Se activó en ",YEAR(M2504)),
IF(AND(OR(O2504="En proceso",O2504="facturando"),AND(J2504="-",M2504="")),"Por revisar",
IF(M2504="",IF(J2504="NUEVAS",CONCATENATE("Estado: ",O2504,", ",J2504),
IF(L2504=Meses!$A$3,"Por revisar",
IF(H2504="","Sin registro","En programación Frcst."))),"En programación")))),
"Error")</f>
        <v>Sin registro</v>
      </c>
      <c r="Q2504" s="9" t="str">
        <f t="shared" si="125"/>
        <v/>
      </c>
      <c r="R2504" s="25" t="str">
        <f>IF(P2504="En programación Frcst.",VLOOKUP(L2504,Meses!$A$1:$H$14,3+HLOOKUP(Cronograma!J2504,Meses!$D$1:$G$2,2,FALSE),FALSE),
IF(P2504="En programación",M2504,""))</f>
        <v/>
      </c>
      <c r="S2504" s="25" t="str">
        <f t="shared" si="126"/>
        <v/>
      </c>
      <c r="T2504" s="21" t="str">
        <f>IFERROR(
(VLOOKUP(MONTH(R2504),Meses!$B$3:$C$14,2,FALSE)-DAY(R2504))/VLOOKUP(MONTH(R2504),Meses!$B$3:$C$14,2,FALSE)*U2504,
"")</f>
        <v/>
      </c>
      <c r="U2504" s="22">
        <f t="shared" si="127"/>
        <v>2053</v>
      </c>
    </row>
    <row r="2505" spans="1:21" hidden="1" x14ac:dyDescent="0.3">
      <c r="A2505" s="1" t="s">
        <v>3387</v>
      </c>
      <c r="B2505" s="1" t="s">
        <v>3463</v>
      </c>
      <c r="C2505" s="2"/>
      <c r="D2505" s="1" t="s">
        <v>3451</v>
      </c>
      <c r="E2505" s="1" t="s">
        <v>3451</v>
      </c>
      <c r="F2505" s="20">
        <v>1732</v>
      </c>
      <c r="G2505" s="3"/>
      <c r="H2505" s="3"/>
      <c r="I2505" s="3" t="s">
        <v>43</v>
      </c>
      <c r="J2505" s="1"/>
      <c r="K2505" s="1"/>
      <c r="L2505" s="1"/>
      <c r="N2505" s="3"/>
      <c r="P2505" s="25" t="str">
        <f>IFERROR(
IF(OR(O2505="anulado",O2505="stand by"),CONCATENATE(O2505,": ",H2505),
IF(OR(YEAR(M2505)=2022,YEAR(M2505)=2023),CONCATENATE("Se activó en ",YEAR(M2505)),
IF(AND(OR(O2505="En proceso",O2505="facturando"),AND(J2505="-",M2505="")),"Por revisar",
IF(M2505="",IF(J2505="NUEVAS",CONCATENATE("Estado: ",O2505,", ",J2505),
IF(L2505=Meses!$A$3,"Por revisar",
IF(H2505="","Sin registro","En programación Frcst."))),"En programación")))),
"Error")</f>
        <v>Sin registro</v>
      </c>
      <c r="Q2505" s="9" t="str">
        <f t="shared" si="125"/>
        <v/>
      </c>
      <c r="R2505" s="25" t="str">
        <f>IF(P2505="En programación Frcst.",VLOOKUP(L2505,Meses!$A$1:$H$14,3+HLOOKUP(Cronograma!J2505,Meses!$D$1:$G$2,2,FALSE),FALSE),
IF(P2505="En programación",M2505,""))</f>
        <v/>
      </c>
      <c r="S2505" s="25" t="str">
        <f t="shared" si="126"/>
        <v/>
      </c>
      <c r="T2505" s="21" t="str">
        <f>IFERROR(
(VLOOKUP(MONTH(R2505),Meses!$B$3:$C$14,2,FALSE)-DAY(R2505))/VLOOKUP(MONTH(R2505),Meses!$B$3:$C$14,2,FALSE)*U2505,
"")</f>
        <v/>
      </c>
      <c r="U2505" s="22">
        <f t="shared" si="127"/>
        <v>1732</v>
      </c>
    </row>
    <row r="2506" spans="1:21" hidden="1" x14ac:dyDescent="0.3">
      <c r="A2506" s="1" t="s">
        <v>3387</v>
      </c>
      <c r="B2506" s="1" t="s">
        <v>3464</v>
      </c>
      <c r="C2506" s="2"/>
      <c r="D2506" s="1" t="s">
        <v>3451</v>
      </c>
      <c r="E2506" s="1" t="s">
        <v>3451</v>
      </c>
      <c r="F2506" s="20">
        <v>2730</v>
      </c>
      <c r="G2506" s="3"/>
      <c r="H2506" s="3"/>
      <c r="I2506" s="3" t="s">
        <v>43</v>
      </c>
      <c r="J2506" s="1"/>
      <c r="K2506" s="1"/>
      <c r="L2506" s="1"/>
      <c r="N2506" s="3"/>
      <c r="P2506" s="25" t="str">
        <f>IFERROR(
IF(OR(O2506="anulado",O2506="stand by"),CONCATENATE(O2506,": ",H2506),
IF(OR(YEAR(M2506)=2022,YEAR(M2506)=2023),CONCATENATE("Se activó en ",YEAR(M2506)),
IF(AND(OR(O2506="En proceso",O2506="facturando"),AND(J2506="-",M2506="")),"Por revisar",
IF(M2506="",IF(J2506="NUEVAS",CONCATENATE("Estado: ",O2506,", ",J2506),
IF(L2506=Meses!$A$3,"Por revisar",
IF(H2506="","Sin registro","En programación Frcst."))),"En programación")))),
"Error")</f>
        <v>Sin registro</v>
      </c>
      <c r="Q2506" s="9" t="str">
        <f t="shared" si="125"/>
        <v/>
      </c>
      <c r="R2506" s="25" t="str">
        <f>IF(P2506="En programación Frcst.",VLOOKUP(L2506,Meses!$A$1:$H$14,3+HLOOKUP(Cronograma!J2506,Meses!$D$1:$G$2,2,FALSE),FALSE),
IF(P2506="En programación",M2506,""))</f>
        <v/>
      </c>
      <c r="S2506" s="25" t="str">
        <f t="shared" si="126"/>
        <v/>
      </c>
      <c r="T2506" s="21" t="str">
        <f>IFERROR(
(VLOOKUP(MONTH(R2506),Meses!$B$3:$C$14,2,FALSE)-DAY(R2506))/VLOOKUP(MONTH(R2506),Meses!$B$3:$C$14,2,FALSE)*U2506,
"")</f>
        <v/>
      </c>
      <c r="U2506" s="22">
        <f t="shared" si="127"/>
        <v>2730</v>
      </c>
    </row>
    <row r="2507" spans="1:21" hidden="1" x14ac:dyDescent="0.3">
      <c r="A2507" s="1" t="s">
        <v>3387</v>
      </c>
      <c r="B2507" s="1" t="s">
        <v>3465</v>
      </c>
      <c r="C2507" s="2"/>
      <c r="D2507" s="1" t="s">
        <v>3389</v>
      </c>
      <c r="E2507" s="1" t="s">
        <v>3389</v>
      </c>
      <c r="F2507" s="20">
        <v>2888</v>
      </c>
      <c r="G2507" s="3"/>
      <c r="H2507" s="3"/>
      <c r="I2507" s="3" t="s">
        <v>43</v>
      </c>
      <c r="J2507" s="1"/>
      <c r="K2507" s="1"/>
      <c r="L2507" s="1"/>
      <c r="N2507" s="3"/>
      <c r="P2507" s="25" t="str">
        <f>IFERROR(
IF(OR(O2507="anulado",O2507="stand by"),CONCATENATE(O2507,": ",H2507),
IF(OR(YEAR(M2507)=2022,YEAR(M2507)=2023),CONCATENATE("Se activó en ",YEAR(M2507)),
IF(AND(OR(O2507="En proceso",O2507="facturando"),AND(J2507="-",M2507="")),"Por revisar",
IF(M2507="",IF(J2507="NUEVAS",CONCATENATE("Estado: ",O2507,", ",J2507),
IF(L2507=Meses!$A$3,"Por revisar",
IF(H2507="","Sin registro","En programación Frcst."))),"En programación")))),
"Error")</f>
        <v>Sin registro</v>
      </c>
      <c r="Q2507" s="9" t="str">
        <f t="shared" si="125"/>
        <v/>
      </c>
      <c r="R2507" s="25" t="str">
        <f>IF(P2507="En programación Frcst.",VLOOKUP(L2507,Meses!$A$1:$H$14,3+HLOOKUP(Cronograma!J2507,Meses!$D$1:$G$2,2,FALSE),FALSE),
IF(P2507="En programación",M2507,""))</f>
        <v/>
      </c>
      <c r="S2507" s="25" t="str">
        <f t="shared" si="126"/>
        <v/>
      </c>
      <c r="T2507" s="21" t="str">
        <f>IFERROR(
(VLOOKUP(MONTH(R2507),Meses!$B$3:$C$14,2,FALSE)-DAY(R2507))/VLOOKUP(MONTH(R2507),Meses!$B$3:$C$14,2,FALSE)*U2507,
"")</f>
        <v/>
      </c>
      <c r="U2507" s="22">
        <f t="shared" si="127"/>
        <v>2888</v>
      </c>
    </row>
    <row r="2508" spans="1:21" hidden="1" x14ac:dyDescent="0.3">
      <c r="A2508" s="1" t="s">
        <v>3387</v>
      </c>
      <c r="B2508" s="1" t="s">
        <v>3466</v>
      </c>
      <c r="C2508" s="2"/>
      <c r="D2508" s="1" t="s">
        <v>3413</v>
      </c>
      <c r="E2508" s="1" t="s">
        <v>3413</v>
      </c>
      <c r="F2508" s="20">
        <v>3834</v>
      </c>
      <c r="G2508" s="3"/>
      <c r="H2508" s="3"/>
      <c r="I2508" s="3" t="s">
        <v>18</v>
      </c>
      <c r="J2508" s="1"/>
      <c r="K2508" s="1"/>
      <c r="L2508" s="1"/>
      <c r="N2508" s="3"/>
      <c r="P2508" s="25" t="str">
        <f>IFERROR(
IF(OR(O2508="anulado",O2508="stand by"),CONCATENATE(O2508,": ",H2508),
IF(OR(YEAR(M2508)=2022,YEAR(M2508)=2023),CONCATENATE("Se activó en ",YEAR(M2508)),
IF(AND(OR(O2508="En proceso",O2508="facturando"),AND(J2508="-",M2508="")),"Por revisar",
IF(M2508="",IF(J2508="NUEVAS",CONCATENATE("Estado: ",O2508,", ",J2508),
IF(L2508=Meses!$A$3,"Por revisar",
IF(H2508="","Sin registro","En programación Frcst."))),"En programación")))),
"Error")</f>
        <v>Sin registro</v>
      </c>
      <c r="Q2508" s="9" t="str">
        <f t="shared" si="125"/>
        <v/>
      </c>
      <c r="R2508" s="25" t="str">
        <f>IF(P2508="En programación Frcst.",VLOOKUP(L2508,Meses!$A$1:$H$14,3+HLOOKUP(Cronograma!J2508,Meses!$D$1:$G$2,2,FALSE),FALSE),
IF(P2508="En programación",M2508,""))</f>
        <v/>
      </c>
      <c r="S2508" s="25" t="str">
        <f t="shared" si="126"/>
        <v/>
      </c>
      <c r="T2508" s="21" t="str">
        <f>IFERROR(
(VLOOKUP(MONTH(R2508),Meses!$B$3:$C$14,2,FALSE)-DAY(R2508))/VLOOKUP(MONTH(R2508),Meses!$B$3:$C$14,2,FALSE)*U2508,
"")</f>
        <v/>
      </c>
      <c r="U2508" s="22">
        <f t="shared" si="127"/>
        <v>3834</v>
      </c>
    </row>
    <row r="2509" spans="1:21" hidden="1" x14ac:dyDescent="0.3">
      <c r="A2509" s="1" t="s">
        <v>3387</v>
      </c>
      <c r="B2509" s="1" t="s">
        <v>3467</v>
      </c>
      <c r="C2509" s="2"/>
      <c r="D2509" s="1" t="s">
        <v>3432</v>
      </c>
      <c r="E2509" s="1" t="s">
        <v>3432</v>
      </c>
      <c r="F2509" s="20">
        <v>1815</v>
      </c>
      <c r="G2509" s="3" t="s">
        <v>15</v>
      </c>
      <c r="H2509" s="3"/>
      <c r="I2509" s="3" t="s">
        <v>3311</v>
      </c>
      <c r="J2509" s="1"/>
      <c r="K2509" s="1"/>
      <c r="L2509" s="1"/>
      <c r="N2509" s="3"/>
      <c r="P2509" s="25" t="str">
        <f>IFERROR(
IF(OR(O2509="anulado",O2509="stand by"),CONCATENATE(O2509,": ",H2509),
IF(OR(YEAR(M2509)=2022,YEAR(M2509)=2023),CONCATENATE("Se activó en ",YEAR(M2509)),
IF(AND(OR(O2509="En proceso",O2509="facturando"),AND(J2509="-",M2509="")),"Por revisar",
IF(M2509="",IF(J2509="NUEVAS",CONCATENATE("Estado: ",O2509,", ",J2509),
IF(L2509=Meses!$A$3,"Por revisar",
IF(H2509="","Sin registro","En programación Frcst."))),"En programación")))),
"Error")</f>
        <v>Sin registro</v>
      </c>
      <c r="Q2509" s="9" t="str">
        <f t="shared" si="125"/>
        <v/>
      </c>
      <c r="R2509" s="25" t="str">
        <f>IF(P2509="En programación Frcst.",VLOOKUP(L2509,Meses!$A$1:$H$14,3+HLOOKUP(Cronograma!J2509,Meses!$D$1:$G$2,2,FALSE),FALSE),
IF(P2509="En programación",M2509,""))</f>
        <v/>
      </c>
      <c r="S2509" s="25" t="str">
        <f t="shared" si="126"/>
        <v/>
      </c>
      <c r="T2509" s="21" t="str">
        <f>IFERROR(
(VLOOKUP(MONTH(R2509),Meses!$B$3:$C$14,2,FALSE)-DAY(R2509))/VLOOKUP(MONTH(R2509),Meses!$B$3:$C$14,2,FALSE)*U2509,
"")</f>
        <v/>
      </c>
      <c r="U2509" s="22">
        <f t="shared" si="127"/>
        <v>1815</v>
      </c>
    </row>
    <row r="2510" spans="1:21" hidden="1" x14ac:dyDescent="0.3">
      <c r="A2510" s="1" t="s">
        <v>3387</v>
      </c>
      <c r="B2510" s="1" t="s">
        <v>3468</v>
      </c>
      <c r="C2510" s="2"/>
      <c r="D2510" s="1" t="s">
        <v>3422</v>
      </c>
      <c r="E2510" s="1" t="s">
        <v>3422</v>
      </c>
      <c r="F2510" s="20">
        <v>4410</v>
      </c>
      <c r="G2510" s="3" t="s">
        <v>15</v>
      </c>
      <c r="H2510" s="3"/>
      <c r="I2510" s="3" t="s">
        <v>3311</v>
      </c>
      <c r="J2510" s="1"/>
      <c r="K2510" s="1"/>
      <c r="L2510" s="1"/>
      <c r="N2510" s="3"/>
      <c r="P2510" s="25" t="str">
        <f>IFERROR(
IF(OR(O2510="anulado",O2510="stand by"),CONCATENATE(O2510,": ",H2510),
IF(OR(YEAR(M2510)=2022,YEAR(M2510)=2023),CONCATENATE("Se activó en ",YEAR(M2510)),
IF(AND(OR(O2510="En proceso",O2510="facturando"),AND(J2510="-",M2510="")),"Por revisar",
IF(M2510="",IF(J2510="NUEVAS",CONCATENATE("Estado: ",O2510,", ",J2510),
IF(L2510=Meses!$A$3,"Por revisar",
IF(H2510="","Sin registro","En programación Frcst."))),"En programación")))),
"Error")</f>
        <v>Sin registro</v>
      </c>
      <c r="Q2510" s="9" t="str">
        <f t="shared" si="125"/>
        <v/>
      </c>
      <c r="R2510" s="25" t="str">
        <f>IF(P2510="En programación Frcst.",VLOOKUP(L2510,Meses!$A$1:$H$14,3+HLOOKUP(Cronograma!J2510,Meses!$D$1:$G$2,2,FALSE),FALSE),
IF(P2510="En programación",M2510,""))</f>
        <v/>
      </c>
      <c r="S2510" s="25" t="str">
        <f t="shared" si="126"/>
        <v/>
      </c>
      <c r="T2510" s="21" t="str">
        <f>IFERROR(
(VLOOKUP(MONTH(R2510),Meses!$B$3:$C$14,2,FALSE)-DAY(R2510))/VLOOKUP(MONTH(R2510),Meses!$B$3:$C$14,2,FALSE)*U2510,
"")</f>
        <v/>
      </c>
      <c r="U2510" s="22">
        <f t="shared" si="127"/>
        <v>4410</v>
      </c>
    </row>
    <row r="2511" spans="1:21" hidden="1" x14ac:dyDescent="0.3">
      <c r="A2511" s="1" t="s">
        <v>3387</v>
      </c>
      <c r="B2511" s="1" t="s">
        <v>3469</v>
      </c>
      <c r="C2511" s="2"/>
      <c r="D2511" s="1" t="s">
        <v>3413</v>
      </c>
      <c r="E2511" s="1" t="s">
        <v>3413</v>
      </c>
      <c r="F2511" s="20">
        <v>4137</v>
      </c>
      <c r="G2511" s="3"/>
      <c r="H2511" s="3"/>
      <c r="I2511" s="3" t="s">
        <v>18</v>
      </c>
      <c r="J2511" s="1"/>
      <c r="K2511" s="1"/>
      <c r="L2511" s="1"/>
      <c r="N2511" s="3"/>
      <c r="P2511" s="25" t="str">
        <f>IFERROR(
IF(OR(O2511="anulado",O2511="stand by"),CONCATENATE(O2511,": ",H2511),
IF(OR(YEAR(M2511)=2022,YEAR(M2511)=2023),CONCATENATE("Se activó en ",YEAR(M2511)),
IF(AND(OR(O2511="En proceso",O2511="facturando"),AND(J2511="-",M2511="")),"Por revisar",
IF(M2511="",IF(J2511="NUEVAS",CONCATENATE("Estado: ",O2511,", ",J2511),
IF(L2511=Meses!$A$3,"Por revisar",
IF(H2511="","Sin registro","En programación Frcst."))),"En programación")))),
"Error")</f>
        <v>Sin registro</v>
      </c>
      <c r="Q2511" s="9" t="str">
        <f t="shared" si="125"/>
        <v/>
      </c>
      <c r="R2511" s="25" t="str">
        <f>IF(P2511="En programación Frcst.",VLOOKUP(L2511,Meses!$A$1:$H$14,3+HLOOKUP(Cronograma!J2511,Meses!$D$1:$G$2,2,FALSE),FALSE),
IF(P2511="En programación",M2511,""))</f>
        <v/>
      </c>
      <c r="S2511" s="25" t="str">
        <f t="shared" si="126"/>
        <v/>
      </c>
      <c r="T2511" s="21" t="str">
        <f>IFERROR(
(VLOOKUP(MONTH(R2511),Meses!$B$3:$C$14,2,FALSE)-DAY(R2511))/VLOOKUP(MONTH(R2511),Meses!$B$3:$C$14,2,FALSE)*U2511,
"")</f>
        <v/>
      </c>
      <c r="U2511" s="22">
        <f t="shared" si="127"/>
        <v>4137</v>
      </c>
    </row>
    <row r="2512" spans="1:21" hidden="1" x14ac:dyDescent="0.3">
      <c r="A2512" s="1" t="s">
        <v>3387</v>
      </c>
      <c r="B2512" s="1" t="s">
        <v>3470</v>
      </c>
      <c r="C2512" s="2"/>
      <c r="D2512" s="1" t="s">
        <v>3389</v>
      </c>
      <c r="E2512" s="1" t="s">
        <v>3389</v>
      </c>
      <c r="F2512" s="20">
        <v>2888</v>
      </c>
      <c r="G2512" s="3"/>
      <c r="H2512" s="3"/>
      <c r="I2512" s="3" t="s">
        <v>43</v>
      </c>
      <c r="J2512" s="1"/>
      <c r="K2512" s="1"/>
      <c r="L2512" s="1"/>
      <c r="N2512" s="3"/>
      <c r="P2512" s="25" t="str">
        <f>IFERROR(
IF(OR(O2512="anulado",O2512="stand by"),CONCATENATE(O2512,": ",H2512),
IF(OR(YEAR(M2512)=2022,YEAR(M2512)=2023),CONCATENATE("Se activó en ",YEAR(M2512)),
IF(AND(OR(O2512="En proceso",O2512="facturando"),AND(J2512="-",M2512="")),"Por revisar",
IF(M2512="",IF(J2512="NUEVAS",CONCATENATE("Estado: ",O2512,", ",J2512),
IF(L2512=Meses!$A$3,"Por revisar",
IF(H2512="","Sin registro","En programación Frcst."))),"En programación")))),
"Error")</f>
        <v>Sin registro</v>
      </c>
      <c r="Q2512" s="9" t="str">
        <f t="shared" si="125"/>
        <v/>
      </c>
      <c r="R2512" s="25" t="str">
        <f>IF(P2512="En programación Frcst.",VLOOKUP(L2512,Meses!$A$1:$H$14,3+HLOOKUP(Cronograma!J2512,Meses!$D$1:$G$2,2,FALSE),FALSE),
IF(P2512="En programación",M2512,""))</f>
        <v/>
      </c>
      <c r="S2512" s="25" t="str">
        <f t="shared" si="126"/>
        <v/>
      </c>
      <c r="T2512" s="21" t="str">
        <f>IFERROR(
(VLOOKUP(MONTH(R2512),Meses!$B$3:$C$14,2,FALSE)-DAY(R2512))/VLOOKUP(MONTH(R2512),Meses!$B$3:$C$14,2,FALSE)*U2512,
"")</f>
        <v/>
      </c>
      <c r="U2512" s="22">
        <f t="shared" si="127"/>
        <v>2888</v>
      </c>
    </row>
    <row r="2513" spans="1:21" hidden="1" x14ac:dyDescent="0.3">
      <c r="A2513" s="1" t="s">
        <v>3387</v>
      </c>
      <c r="B2513" s="1" t="s">
        <v>3471</v>
      </c>
      <c r="C2513" s="2"/>
      <c r="D2513" s="1" t="s">
        <v>3389</v>
      </c>
      <c r="E2513" s="1" t="s">
        <v>3389</v>
      </c>
      <c r="F2513" s="20">
        <v>2888</v>
      </c>
      <c r="G2513" s="3"/>
      <c r="H2513" s="3"/>
      <c r="I2513" s="3" t="s">
        <v>43</v>
      </c>
      <c r="J2513" s="1"/>
      <c r="K2513" s="1"/>
      <c r="L2513" s="1"/>
      <c r="N2513" s="3"/>
      <c r="P2513" s="25" t="str">
        <f>IFERROR(
IF(OR(O2513="anulado",O2513="stand by"),CONCATENATE(O2513,": ",H2513),
IF(OR(YEAR(M2513)=2022,YEAR(M2513)=2023),CONCATENATE("Se activó en ",YEAR(M2513)),
IF(AND(OR(O2513="En proceso",O2513="facturando"),AND(J2513="-",M2513="")),"Por revisar",
IF(M2513="",IF(J2513="NUEVAS",CONCATENATE("Estado: ",O2513,", ",J2513),
IF(L2513=Meses!$A$3,"Por revisar",
IF(H2513="","Sin registro","En programación Frcst."))),"En programación")))),
"Error")</f>
        <v>Sin registro</v>
      </c>
      <c r="Q2513" s="9" t="str">
        <f t="shared" si="125"/>
        <v/>
      </c>
      <c r="R2513" s="25" t="str">
        <f>IF(P2513="En programación Frcst.",VLOOKUP(L2513,Meses!$A$1:$H$14,3+HLOOKUP(Cronograma!J2513,Meses!$D$1:$G$2,2,FALSE),FALSE),
IF(P2513="En programación",M2513,""))</f>
        <v/>
      </c>
      <c r="S2513" s="25" t="str">
        <f t="shared" si="126"/>
        <v/>
      </c>
      <c r="T2513" s="21" t="str">
        <f>IFERROR(
(VLOOKUP(MONTH(R2513),Meses!$B$3:$C$14,2,FALSE)-DAY(R2513))/VLOOKUP(MONTH(R2513),Meses!$B$3:$C$14,2,FALSE)*U2513,
"")</f>
        <v/>
      </c>
      <c r="U2513" s="22">
        <f t="shared" si="127"/>
        <v>2888</v>
      </c>
    </row>
    <row r="2514" spans="1:21" hidden="1" x14ac:dyDescent="0.3">
      <c r="A2514" s="1" t="s">
        <v>3387</v>
      </c>
      <c r="B2514" s="1" t="s">
        <v>3472</v>
      </c>
      <c r="C2514" s="2"/>
      <c r="D2514" s="1" t="s">
        <v>3389</v>
      </c>
      <c r="E2514" s="1" t="s">
        <v>3389</v>
      </c>
      <c r="F2514" s="20">
        <v>2888</v>
      </c>
      <c r="G2514" s="3"/>
      <c r="H2514" s="3"/>
      <c r="I2514" s="3" t="s">
        <v>43</v>
      </c>
      <c r="J2514" s="1"/>
      <c r="K2514" s="1"/>
      <c r="L2514" s="1"/>
      <c r="N2514" s="3"/>
      <c r="P2514" s="25" t="str">
        <f>IFERROR(
IF(OR(O2514="anulado",O2514="stand by"),CONCATENATE(O2514,": ",H2514),
IF(OR(YEAR(M2514)=2022,YEAR(M2514)=2023),CONCATENATE("Se activó en ",YEAR(M2514)),
IF(AND(OR(O2514="En proceso",O2514="facturando"),AND(J2514="-",M2514="")),"Por revisar",
IF(M2514="",IF(J2514="NUEVAS",CONCATENATE("Estado: ",O2514,", ",J2514),
IF(L2514=Meses!$A$3,"Por revisar",
IF(H2514="","Sin registro","En programación Frcst."))),"En programación")))),
"Error")</f>
        <v>Sin registro</v>
      </c>
      <c r="Q2514" s="9" t="str">
        <f t="shared" si="125"/>
        <v/>
      </c>
      <c r="R2514" s="25" t="str">
        <f>IF(P2514="En programación Frcst.",VLOOKUP(L2514,Meses!$A$1:$H$14,3+HLOOKUP(Cronograma!J2514,Meses!$D$1:$G$2,2,FALSE),FALSE),
IF(P2514="En programación",M2514,""))</f>
        <v/>
      </c>
      <c r="S2514" s="25" t="str">
        <f t="shared" si="126"/>
        <v/>
      </c>
      <c r="T2514" s="21" t="str">
        <f>IFERROR(
(VLOOKUP(MONTH(R2514),Meses!$B$3:$C$14,2,FALSE)-DAY(R2514))/VLOOKUP(MONTH(R2514),Meses!$B$3:$C$14,2,FALSE)*U2514,
"")</f>
        <v/>
      </c>
      <c r="U2514" s="22">
        <f t="shared" si="127"/>
        <v>2888</v>
      </c>
    </row>
    <row r="2515" spans="1:21" hidden="1" x14ac:dyDescent="0.3">
      <c r="A2515" s="1" t="s">
        <v>3387</v>
      </c>
      <c r="B2515" s="1" t="s">
        <v>3473</v>
      </c>
      <c r="C2515" s="2"/>
      <c r="D2515" s="1" t="s">
        <v>3389</v>
      </c>
      <c r="E2515" s="1" t="s">
        <v>3389</v>
      </c>
      <c r="F2515" s="20">
        <v>2888</v>
      </c>
      <c r="G2515" s="3"/>
      <c r="H2515" s="3"/>
      <c r="I2515" s="3" t="s">
        <v>43</v>
      </c>
      <c r="J2515" s="1"/>
      <c r="K2515" s="1"/>
      <c r="L2515" s="1"/>
      <c r="N2515" s="3"/>
      <c r="P2515" s="25" t="str">
        <f>IFERROR(
IF(OR(O2515="anulado",O2515="stand by"),CONCATENATE(O2515,": ",H2515),
IF(OR(YEAR(M2515)=2022,YEAR(M2515)=2023),CONCATENATE("Se activó en ",YEAR(M2515)),
IF(AND(OR(O2515="En proceso",O2515="facturando"),AND(J2515="-",M2515="")),"Por revisar",
IF(M2515="",IF(J2515="NUEVAS",CONCATENATE("Estado: ",O2515,", ",J2515),
IF(L2515=Meses!$A$3,"Por revisar",
IF(H2515="","Sin registro","En programación Frcst."))),"En programación")))),
"Error")</f>
        <v>Sin registro</v>
      </c>
      <c r="Q2515" s="9" t="str">
        <f t="shared" si="125"/>
        <v/>
      </c>
      <c r="R2515" s="25" t="str">
        <f>IF(P2515="En programación Frcst.",VLOOKUP(L2515,Meses!$A$1:$H$14,3+HLOOKUP(Cronograma!J2515,Meses!$D$1:$G$2,2,FALSE),FALSE),
IF(P2515="En programación",M2515,""))</f>
        <v/>
      </c>
      <c r="S2515" s="25" t="str">
        <f t="shared" si="126"/>
        <v/>
      </c>
      <c r="T2515" s="21" t="str">
        <f>IFERROR(
(VLOOKUP(MONTH(R2515),Meses!$B$3:$C$14,2,FALSE)-DAY(R2515))/VLOOKUP(MONTH(R2515),Meses!$B$3:$C$14,2,FALSE)*U2515,
"")</f>
        <v/>
      </c>
      <c r="U2515" s="22">
        <f t="shared" si="127"/>
        <v>2888</v>
      </c>
    </row>
    <row r="2516" spans="1:21" hidden="1" x14ac:dyDescent="0.3">
      <c r="A2516" s="1" t="s">
        <v>3387</v>
      </c>
      <c r="B2516" s="1" t="s">
        <v>3474</v>
      </c>
      <c r="C2516" s="2"/>
      <c r="D2516" s="1" t="s">
        <v>3435</v>
      </c>
      <c r="E2516" s="1" t="s">
        <v>3435</v>
      </c>
      <c r="F2516" s="20">
        <v>1878</v>
      </c>
      <c r="G2516" s="3"/>
      <c r="H2516" s="3"/>
      <c r="I2516" s="3" t="s">
        <v>18</v>
      </c>
      <c r="J2516" s="1"/>
      <c r="K2516" s="1"/>
      <c r="L2516" s="1"/>
      <c r="N2516" s="3"/>
      <c r="P2516" s="25" t="str">
        <f>IFERROR(
IF(OR(O2516="anulado",O2516="stand by"),CONCATENATE(O2516,": ",H2516),
IF(OR(YEAR(M2516)=2022,YEAR(M2516)=2023),CONCATENATE("Se activó en ",YEAR(M2516)),
IF(AND(OR(O2516="En proceso",O2516="facturando"),AND(J2516="-",M2516="")),"Por revisar",
IF(M2516="",IF(J2516="NUEVAS",CONCATENATE("Estado: ",O2516,", ",J2516),
IF(L2516=Meses!$A$3,"Por revisar",
IF(H2516="","Sin registro","En programación Frcst."))),"En programación")))),
"Error")</f>
        <v>Sin registro</v>
      </c>
      <c r="Q2516" s="9" t="str">
        <f t="shared" si="125"/>
        <v/>
      </c>
      <c r="R2516" s="25" t="str">
        <f>IF(P2516="En programación Frcst.",VLOOKUP(L2516,Meses!$A$1:$H$14,3+HLOOKUP(Cronograma!J2516,Meses!$D$1:$G$2,2,FALSE),FALSE),
IF(P2516="En programación",M2516,""))</f>
        <v/>
      </c>
      <c r="S2516" s="25" t="str">
        <f t="shared" si="126"/>
        <v/>
      </c>
      <c r="T2516" s="21" t="str">
        <f>IFERROR(
(VLOOKUP(MONTH(R2516),Meses!$B$3:$C$14,2,FALSE)-DAY(R2516))/VLOOKUP(MONTH(R2516),Meses!$B$3:$C$14,2,FALSE)*U2516,
"")</f>
        <v/>
      </c>
      <c r="U2516" s="22">
        <f t="shared" si="127"/>
        <v>1878</v>
      </c>
    </row>
    <row r="2517" spans="1:21" hidden="1" x14ac:dyDescent="0.3">
      <c r="A2517" s="1" t="s">
        <v>3387</v>
      </c>
      <c r="B2517" s="1" t="s">
        <v>3475</v>
      </c>
      <c r="C2517" s="2"/>
      <c r="D2517" s="1" t="s">
        <v>3435</v>
      </c>
      <c r="E2517" s="1" t="s">
        <v>3435</v>
      </c>
      <c r="F2517" s="20">
        <v>1878</v>
      </c>
      <c r="G2517" s="3"/>
      <c r="H2517" s="3"/>
      <c r="I2517" s="3" t="s">
        <v>18</v>
      </c>
      <c r="J2517" s="1"/>
      <c r="K2517" s="1"/>
      <c r="L2517" s="1"/>
      <c r="N2517" s="3"/>
      <c r="P2517" s="25" t="str">
        <f>IFERROR(
IF(OR(O2517="anulado",O2517="stand by"),CONCATENATE(O2517,": ",H2517),
IF(OR(YEAR(M2517)=2022,YEAR(M2517)=2023),CONCATENATE("Se activó en ",YEAR(M2517)),
IF(AND(OR(O2517="En proceso",O2517="facturando"),AND(J2517="-",M2517="")),"Por revisar",
IF(M2517="",IF(J2517="NUEVAS",CONCATENATE("Estado: ",O2517,", ",J2517),
IF(L2517=Meses!$A$3,"Por revisar",
IF(H2517="","Sin registro","En programación Frcst."))),"En programación")))),
"Error")</f>
        <v>Sin registro</v>
      </c>
      <c r="Q2517" s="9" t="str">
        <f t="shared" si="125"/>
        <v/>
      </c>
      <c r="R2517" s="25" t="str">
        <f>IF(P2517="En programación Frcst.",VLOOKUP(L2517,Meses!$A$1:$H$14,3+HLOOKUP(Cronograma!J2517,Meses!$D$1:$G$2,2,FALSE),FALSE),
IF(P2517="En programación",M2517,""))</f>
        <v/>
      </c>
      <c r="S2517" s="25" t="str">
        <f t="shared" si="126"/>
        <v/>
      </c>
      <c r="T2517" s="21" t="str">
        <f>IFERROR(
(VLOOKUP(MONTH(R2517),Meses!$B$3:$C$14,2,FALSE)-DAY(R2517))/VLOOKUP(MONTH(R2517),Meses!$B$3:$C$14,2,FALSE)*U2517,
"")</f>
        <v/>
      </c>
      <c r="U2517" s="22">
        <f t="shared" si="127"/>
        <v>1878</v>
      </c>
    </row>
    <row r="2518" spans="1:21" hidden="1" x14ac:dyDescent="0.3">
      <c r="A2518" s="1" t="s">
        <v>3387</v>
      </c>
      <c r="B2518" s="1" t="s">
        <v>3476</v>
      </c>
      <c r="C2518" s="2"/>
      <c r="D2518" s="1" t="s">
        <v>3389</v>
      </c>
      <c r="E2518" s="1" t="s">
        <v>3389</v>
      </c>
      <c r="F2518" s="20">
        <v>2888</v>
      </c>
      <c r="G2518" s="3"/>
      <c r="H2518" s="3"/>
      <c r="I2518" s="3" t="s">
        <v>43</v>
      </c>
      <c r="J2518" s="1"/>
      <c r="K2518" s="1"/>
      <c r="L2518" s="1"/>
      <c r="N2518" s="3"/>
      <c r="P2518" s="25" t="str">
        <f>IFERROR(
IF(OR(O2518="anulado",O2518="stand by"),CONCATENATE(O2518,": ",H2518),
IF(OR(YEAR(M2518)=2022,YEAR(M2518)=2023),CONCATENATE("Se activó en ",YEAR(M2518)),
IF(AND(OR(O2518="En proceso",O2518="facturando"),AND(J2518="-",M2518="")),"Por revisar",
IF(M2518="",IF(J2518="NUEVAS",CONCATENATE("Estado: ",O2518,", ",J2518),
IF(L2518=Meses!$A$3,"Por revisar",
IF(H2518="","Sin registro","En programación Frcst."))),"En programación")))),
"Error")</f>
        <v>Sin registro</v>
      </c>
      <c r="Q2518" s="9" t="str">
        <f t="shared" si="125"/>
        <v/>
      </c>
      <c r="R2518" s="25" t="str">
        <f>IF(P2518="En programación Frcst.",VLOOKUP(L2518,Meses!$A$1:$H$14,3+HLOOKUP(Cronograma!J2518,Meses!$D$1:$G$2,2,FALSE),FALSE),
IF(P2518="En programación",M2518,""))</f>
        <v/>
      </c>
      <c r="S2518" s="25" t="str">
        <f t="shared" si="126"/>
        <v/>
      </c>
      <c r="T2518" s="21" t="str">
        <f>IFERROR(
(VLOOKUP(MONTH(R2518),Meses!$B$3:$C$14,2,FALSE)-DAY(R2518))/VLOOKUP(MONTH(R2518),Meses!$B$3:$C$14,2,FALSE)*U2518,
"")</f>
        <v/>
      </c>
      <c r="U2518" s="22">
        <f t="shared" si="127"/>
        <v>2888</v>
      </c>
    </row>
    <row r="2519" spans="1:21" hidden="1" x14ac:dyDescent="0.3">
      <c r="A2519" s="1" t="s">
        <v>3387</v>
      </c>
      <c r="B2519" s="1" t="s">
        <v>3477</v>
      </c>
      <c r="C2519" s="2"/>
      <c r="D2519" s="1" t="s">
        <v>3389</v>
      </c>
      <c r="E2519" s="1" t="s">
        <v>3389</v>
      </c>
      <c r="F2519" s="20">
        <v>2888</v>
      </c>
      <c r="G2519" s="3"/>
      <c r="H2519" s="3"/>
      <c r="I2519" s="3" t="s">
        <v>43</v>
      </c>
      <c r="J2519" s="1"/>
      <c r="K2519" s="1"/>
      <c r="L2519" s="1"/>
      <c r="N2519" s="3"/>
      <c r="P2519" s="25" t="str">
        <f>IFERROR(
IF(OR(O2519="anulado",O2519="stand by"),CONCATENATE(O2519,": ",H2519),
IF(OR(YEAR(M2519)=2022,YEAR(M2519)=2023),CONCATENATE("Se activó en ",YEAR(M2519)),
IF(AND(OR(O2519="En proceso",O2519="facturando"),AND(J2519="-",M2519="")),"Por revisar",
IF(M2519="",IF(J2519="NUEVAS",CONCATENATE("Estado: ",O2519,", ",J2519),
IF(L2519=Meses!$A$3,"Por revisar",
IF(H2519="","Sin registro","En programación Frcst."))),"En programación")))),
"Error")</f>
        <v>Sin registro</v>
      </c>
      <c r="Q2519" s="9" t="str">
        <f t="shared" si="125"/>
        <v/>
      </c>
      <c r="R2519" s="25" t="str">
        <f>IF(P2519="En programación Frcst.",VLOOKUP(L2519,Meses!$A$1:$H$14,3+HLOOKUP(Cronograma!J2519,Meses!$D$1:$G$2,2,FALSE),FALSE),
IF(P2519="En programación",M2519,""))</f>
        <v/>
      </c>
      <c r="S2519" s="25" t="str">
        <f t="shared" si="126"/>
        <v/>
      </c>
      <c r="T2519" s="21" t="str">
        <f>IFERROR(
(VLOOKUP(MONTH(R2519),Meses!$B$3:$C$14,2,FALSE)-DAY(R2519))/VLOOKUP(MONTH(R2519),Meses!$B$3:$C$14,2,FALSE)*U2519,
"")</f>
        <v/>
      </c>
      <c r="U2519" s="22">
        <f t="shared" si="127"/>
        <v>2888</v>
      </c>
    </row>
    <row r="2520" spans="1:21" hidden="1" x14ac:dyDescent="0.3">
      <c r="A2520" s="1" t="s">
        <v>3387</v>
      </c>
      <c r="B2520" s="1" t="s">
        <v>3478</v>
      </c>
      <c r="C2520" s="2"/>
      <c r="D2520" s="1" t="s">
        <v>3442</v>
      </c>
      <c r="E2520" s="1" t="s">
        <v>3442</v>
      </c>
      <c r="F2520" s="20">
        <v>6860</v>
      </c>
      <c r="G2520" s="3"/>
      <c r="H2520" s="3"/>
      <c r="I2520" s="3" t="s">
        <v>43</v>
      </c>
      <c r="J2520" s="1"/>
      <c r="K2520" s="1"/>
      <c r="L2520" s="1"/>
      <c r="N2520" s="3"/>
      <c r="P2520" s="25" t="str">
        <f>IFERROR(
IF(OR(O2520="anulado",O2520="stand by"),CONCATENATE(O2520,": ",H2520),
IF(OR(YEAR(M2520)=2022,YEAR(M2520)=2023),CONCATENATE("Se activó en ",YEAR(M2520)),
IF(AND(OR(O2520="En proceso",O2520="facturando"),AND(J2520="-",M2520="")),"Por revisar",
IF(M2520="",IF(J2520="NUEVAS",CONCATENATE("Estado: ",O2520,", ",J2520),
IF(L2520=Meses!$A$3,"Por revisar",
IF(H2520="","Sin registro","En programación Frcst."))),"En programación")))),
"Error")</f>
        <v>Sin registro</v>
      </c>
      <c r="Q2520" s="9" t="str">
        <f t="shared" si="125"/>
        <v/>
      </c>
      <c r="R2520" s="25" t="str">
        <f>IF(P2520="En programación Frcst.",VLOOKUP(L2520,Meses!$A$1:$H$14,3+HLOOKUP(Cronograma!J2520,Meses!$D$1:$G$2,2,FALSE),FALSE),
IF(P2520="En programación",M2520,""))</f>
        <v/>
      </c>
      <c r="S2520" s="25" t="str">
        <f t="shared" si="126"/>
        <v/>
      </c>
      <c r="T2520" s="21" t="str">
        <f>IFERROR(
(VLOOKUP(MONTH(R2520),Meses!$B$3:$C$14,2,FALSE)-DAY(R2520))/VLOOKUP(MONTH(R2520),Meses!$B$3:$C$14,2,FALSE)*U2520,
"")</f>
        <v/>
      </c>
      <c r="U2520" s="22">
        <f t="shared" si="127"/>
        <v>6860</v>
      </c>
    </row>
    <row r="2521" spans="1:21" hidden="1" x14ac:dyDescent="0.3">
      <c r="A2521" s="1" t="s">
        <v>3387</v>
      </c>
      <c r="B2521" s="1" t="s">
        <v>3479</v>
      </c>
      <c r="C2521" s="2"/>
      <c r="D2521" s="1" t="s">
        <v>3480</v>
      </c>
      <c r="E2521" s="1" t="s">
        <v>3480</v>
      </c>
      <c r="F2521" s="20">
        <v>5874</v>
      </c>
      <c r="G2521" s="3" t="s">
        <v>15</v>
      </c>
      <c r="H2521" s="3"/>
      <c r="I2521" s="3" t="s">
        <v>3311</v>
      </c>
      <c r="J2521" s="1"/>
      <c r="K2521" s="1"/>
      <c r="L2521" s="1"/>
      <c r="N2521" s="3"/>
      <c r="P2521" s="25" t="str">
        <f>IFERROR(
IF(OR(O2521="anulado",O2521="stand by"),CONCATENATE(O2521,": ",H2521),
IF(OR(YEAR(M2521)=2022,YEAR(M2521)=2023),CONCATENATE("Se activó en ",YEAR(M2521)),
IF(AND(OR(O2521="En proceso",O2521="facturando"),AND(J2521="-",M2521="")),"Por revisar",
IF(M2521="",IF(J2521="NUEVAS",CONCATENATE("Estado: ",O2521,", ",J2521),
IF(L2521=Meses!$A$3,"Por revisar",
IF(H2521="","Sin registro","En programación Frcst."))),"En programación")))),
"Error")</f>
        <v>Sin registro</v>
      </c>
      <c r="Q2521" s="9" t="str">
        <f t="shared" si="125"/>
        <v/>
      </c>
      <c r="R2521" s="25" t="str">
        <f>IF(P2521="En programación Frcst.",VLOOKUP(L2521,Meses!$A$1:$H$14,3+HLOOKUP(Cronograma!J2521,Meses!$D$1:$G$2,2,FALSE),FALSE),
IF(P2521="En programación",M2521,""))</f>
        <v/>
      </c>
      <c r="S2521" s="25" t="str">
        <f t="shared" si="126"/>
        <v/>
      </c>
      <c r="T2521" s="21" t="str">
        <f>IFERROR(
(VLOOKUP(MONTH(R2521),Meses!$B$3:$C$14,2,FALSE)-DAY(R2521))/VLOOKUP(MONTH(R2521),Meses!$B$3:$C$14,2,FALSE)*U2521,
"")</f>
        <v/>
      </c>
      <c r="U2521" s="22">
        <f t="shared" si="127"/>
        <v>5874</v>
      </c>
    </row>
    <row r="2522" spans="1:21" hidden="1" x14ac:dyDescent="0.3">
      <c r="A2522" s="1" t="s">
        <v>3387</v>
      </c>
      <c r="B2522" s="1" t="s">
        <v>3481</v>
      </c>
      <c r="C2522" s="2"/>
      <c r="D2522" s="1" t="s">
        <v>3402</v>
      </c>
      <c r="E2522" s="1" t="s">
        <v>3402</v>
      </c>
      <c r="F2522" s="20">
        <v>1989</v>
      </c>
      <c r="G2522" s="3" t="s">
        <v>15</v>
      </c>
      <c r="H2522" s="3"/>
      <c r="I2522" s="3" t="s">
        <v>3311</v>
      </c>
      <c r="J2522" s="1"/>
      <c r="K2522" s="1"/>
      <c r="L2522" s="1"/>
      <c r="N2522" s="3"/>
      <c r="P2522" s="25" t="str">
        <f>IFERROR(
IF(OR(O2522="anulado",O2522="stand by"),CONCATENATE(O2522,": ",H2522),
IF(OR(YEAR(M2522)=2022,YEAR(M2522)=2023),CONCATENATE("Se activó en ",YEAR(M2522)),
IF(AND(OR(O2522="En proceso",O2522="facturando"),AND(J2522="-",M2522="")),"Por revisar",
IF(M2522="",IF(J2522="NUEVAS",CONCATENATE("Estado: ",O2522,", ",J2522),
IF(L2522=Meses!$A$3,"Por revisar",
IF(H2522="","Sin registro","En programación Frcst."))),"En programación")))),
"Error")</f>
        <v>Sin registro</v>
      </c>
      <c r="Q2522" s="9" t="str">
        <f t="shared" si="125"/>
        <v/>
      </c>
      <c r="R2522" s="25" t="str">
        <f>IF(P2522="En programación Frcst.",VLOOKUP(L2522,Meses!$A$1:$H$14,3+HLOOKUP(Cronograma!J2522,Meses!$D$1:$G$2,2,FALSE),FALSE),
IF(P2522="En programación",M2522,""))</f>
        <v/>
      </c>
      <c r="S2522" s="25" t="str">
        <f t="shared" si="126"/>
        <v/>
      </c>
      <c r="T2522" s="21" t="str">
        <f>IFERROR(
(VLOOKUP(MONTH(R2522),Meses!$B$3:$C$14,2,FALSE)-DAY(R2522))/VLOOKUP(MONTH(R2522),Meses!$B$3:$C$14,2,FALSE)*U2522,
"")</f>
        <v/>
      </c>
      <c r="U2522" s="22">
        <f t="shared" si="127"/>
        <v>1989</v>
      </c>
    </row>
    <row r="2523" spans="1:21" hidden="1" x14ac:dyDescent="0.3">
      <c r="A2523" s="1" t="s">
        <v>3387</v>
      </c>
      <c r="B2523" s="1" t="s">
        <v>3482</v>
      </c>
      <c r="C2523" s="2"/>
      <c r="D2523" s="1" t="s">
        <v>3182</v>
      </c>
      <c r="E2523" s="1" t="s">
        <v>3182</v>
      </c>
      <c r="F2523" s="20">
        <v>5614</v>
      </c>
      <c r="G2523" s="3"/>
      <c r="H2523" s="3"/>
      <c r="I2523" s="3" t="s">
        <v>43</v>
      </c>
      <c r="J2523" s="1"/>
      <c r="K2523" s="1"/>
      <c r="L2523" s="1"/>
      <c r="N2523" s="3"/>
      <c r="P2523" s="25" t="str">
        <f>IFERROR(
IF(OR(O2523="anulado",O2523="stand by"),CONCATENATE(O2523,": ",H2523),
IF(OR(YEAR(M2523)=2022,YEAR(M2523)=2023),CONCATENATE("Se activó en ",YEAR(M2523)),
IF(AND(OR(O2523="En proceso",O2523="facturando"),AND(J2523="-",M2523="")),"Por revisar",
IF(M2523="",IF(J2523="NUEVAS",CONCATENATE("Estado: ",O2523,", ",J2523),
IF(L2523=Meses!$A$3,"Por revisar",
IF(H2523="","Sin registro","En programación Frcst."))),"En programación")))),
"Error")</f>
        <v>Sin registro</v>
      </c>
      <c r="Q2523" s="9" t="str">
        <f t="shared" si="125"/>
        <v/>
      </c>
      <c r="R2523" s="25" t="str">
        <f>IF(P2523="En programación Frcst.",VLOOKUP(L2523,Meses!$A$1:$H$14,3+HLOOKUP(Cronograma!J2523,Meses!$D$1:$G$2,2,FALSE),FALSE),
IF(P2523="En programación",M2523,""))</f>
        <v/>
      </c>
      <c r="S2523" s="25" t="str">
        <f t="shared" si="126"/>
        <v/>
      </c>
      <c r="T2523" s="21" t="str">
        <f>IFERROR(
(VLOOKUP(MONTH(R2523),Meses!$B$3:$C$14,2,FALSE)-DAY(R2523))/VLOOKUP(MONTH(R2523),Meses!$B$3:$C$14,2,FALSE)*U2523,
"")</f>
        <v/>
      </c>
      <c r="U2523" s="22">
        <f t="shared" si="127"/>
        <v>5614</v>
      </c>
    </row>
    <row r="2524" spans="1:21" hidden="1" x14ac:dyDescent="0.3">
      <c r="A2524" s="1" t="s">
        <v>3387</v>
      </c>
      <c r="B2524" s="1" t="s">
        <v>3483</v>
      </c>
      <c r="C2524" s="2"/>
      <c r="D2524" s="1" t="s">
        <v>3389</v>
      </c>
      <c r="E2524" s="1" t="s">
        <v>3389</v>
      </c>
      <c r="F2524" s="20">
        <v>2888</v>
      </c>
      <c r="G2524" s="3"/>
      <c r="H2524" s="3"/>
      <c r="I2524" s="3" t="s">
        <v>43</v>
      </c>
      <c r="J2524" s="1"/>
      <c r="K2524" s="1"/>
      <c r="L2524" s="1"/>
      <c r="N2524" s="3"/>
      <c r="P2524" s="25" t="str">
        <f>IFERROR(
IF(OR(O2524="anulado",O2524="stand by"),CONCATENATE(O2524,": ",H2524),
IF(OR(YEAR(M2524)=2022,YEAR(M2524)=2023),CONCATENATE("Se activó en ",YEAR(M2524)),
IF(AND(OR(O2524="En proceso",O2524="facturando"),AND(J2524="-",M2524="")),"Por revisar",
IF(M2524="",IF(J2524="NUEVAS",CONCATENATE("Estado: ",O2524,", ",J2524),
IF(L2524=Meses!$A$3,"Por revisar",
IF(H2524="","Sin registro","En programación Frcst."))),"En programación")))),
"Error")</f>
        <v>Sin registro</v>
      </c>
      <c r="Q2524" s="9" t="str">
        <f t="shared" si="125"/>
        <v/>
      </c>
      <c r="R2524" s="25" t="str">
        <f>IF(P2524="En programación Frcst.",VLOOKUP(L2524,Meses!$A$1:$H$14,3+HLOOKUP(Cronograma!J2524,Meses!$D$1:$G$2,2,FALSE),FALSE),
IF(P2524="En programación",M2524,""))</f>
        <v/>
      </c>
      <c r="S2524" s="25" t="str">
        <f t="shared" si="126"/>
        <v/>
      </c>
      <c r="T2524" s="21" t="str">
        <f>IFERROR(
(VLOOKUP(MONTH(R2524),Meses!$B$3:$C$14,2,FALSE)-DAY(R2524))/VLOOKUP(MONTH(R2524),Meses!$B$3:$C$14,2,FALSE)*U2524,
"")</f>
        <v/>
      </c>
      <c r="U2524" s="22">
        <f t="shared" si="127"/>
        <v>2888</v>
      </c>
    </row>
    <row r="2525" spans="1:21" hidden="1" x14ac:dyDescent="0.3">
      <c r="A2525" s="1" t="s">
        <v>3387</v>
      </c>
      <c r="B2525" s="1" t="s">
        <v>3484</v>
      </c>
      <c r="C2525" s="2"/>
      <c r="D2525" s="1" t="s">
        <v>3389</v>
      </c>
      <c r="E2525" s="1" t="s">
        <v>3389</v>
      </c>
      <c r="F2525" s="20">
        <v>2888</v>
      </c>
      <c r="G2525" s="3"/>
      <c r="H2525" s="3"/>
      <c r="I2525" s="3" t="s">
        <v>43</v>
      </c>
      <c r="J2525" s="1"/>
      <c r="K2525" s="1"/>
      <c r="L2525" s="1"/>
      <c r="N2525" s="3"/>
      <c r="P2525" s="25" t="str">
        <f>IFERROR(
IF(OR(O2525="anulado",O2525="stand by"),CONCATENATE(O2525,": ",H2525),
IF(OR(YEAR(M2525)=2022,YEAR(M2525)=2023),CONCATENATE("Se activó en ",YEAR(M2525)),
IF(AND(OR(O2525="En proceso",O2525="facturando"),AND(J2525="-",M2525="")),"Por revisar",
IF(M2525="",IF(J2525="NUEVAS",CONCATENATE("Estado: ",O2525,", ",J2525),
IF(L2525=Meses!$A$3,"Por revisar",
IF(H2525="","Sin registro","En programación Frcst."))),"En programación")))),
"Error")</f>
        <v>Sin registro</v>
      </c>
      <c r="Q2525" s="9" t="str">
        <f t="shared" si="125"/>
        <v/>
      </c>
      <c r="R2525" s="25" t="str">
        <f>IF(P2525="En programación Frcst.",VLOOKUP(L2525,Meses!$A$1:$H$14,3+HLOOKUP(Cronograma!J2525,Meses!$D$1:$G$2,2,FALSE),FALSE),
IF(P2525="En programación",M2525,""))</f>
        <v/>
      </c>
      <c r="S2525" s="25" t="str">
        <f t="shared" si="126"/>
        <v/>
      </c>
      <c r="T2525" s="21" t="str">
        <f>IFERROR(
(VLOOKUP(MONTH(R2525),Meses!$B$3:$C$14,2,FALSE)-DAY(R2525))/VLOOKUP(MONTH(R2525),Meses!$B$3:$C$14,2,FALSE)*U2525,
"")</f>
        <v/>
      </c>
      <c r="U2525" s="22">
        <f t="shared" si="127"/>
        <v>2888</v>
      </c>
    </row>
    <row r="2526" spans="1:21" hidden="1" x14ac:dyDescent="0.3">
      <c r="A2526" s="1" t="s">
        <v>3387</v>
      </c>
      <c r="B2526" s="1" t="s">
        <v>3485</v>
      </c>
      <c r="C2526" s="2"/>
      <c r="D2526" s="1" t="s">
        <v>3389</v>
      </c>
      <c r="E2526" s="1" t="s">
        <v>3389</v>
      </c>
      <c r="F2526" s="20">
        <v>2888</v>
      </c>
      <c r="G2526" s="3"/>
      <c r="H2526" s="3"/>
      <c r="I2526" s="3" t="s">
        <v>43</v>
      </c>
      <c r="J2526" s="1"/>
      <c r="K2526" s="1"/>
      <c r="L2526" s="1"/>
      <c r="N2526" s="3"/>
      <c r="P2526" s="25" t="str">
        <f>IFERROR(
IF(OR(O2526="anulado",O2526="stand by"),CONCATENATE(O2526,": ",H2526),
IF(OR(YEAR(M2526)=2022,YEAR(M2526)=2023),CONCATENATE("Se activó en ",YEAR(M2526)),
IF(AND(OR(O2526="En proceso",O2526="facturando"),AND(J2526="-",M2526="")),"Por revisar",
IF(M2526="",IF(J2526="NUEVAS",CONCATENATE("Estado: ",O2526,", ",J2526),
IF(L2526=Meses!$A$3,"Por revisar",
IF(H2526="","Sin registro","En programación Frcst."))),"En programación")))),
"Error")</f>
        <v>Sin registro</v>
      </c>
      <c r="Q2526" s="9" t="str">
        <f t="shared" si="125"/>
        <v/>
      </c>
      <c r="R2526" s="25" t="str">
        <f>IF(P2526="En programación Frcst.",VLOOKUP(L2526,Meses!$A$1:$H$14,3+HLOOKUP(Cronograma!J2526,Meses!$D$1:$G$2,2,FALSE),FALSE),
IF(P2526="En programación",M2526,""))</f>
        <v/>
      </c>
      <c r="S2526" s="25" t="str">
        <f t="shared" si="126"/>
        <v/>
      </c>
      <c r="T2526" s="21" t="str">
        <f>IFERROR(
(VLOOKUP(MONTH(R2526),Meses!$B$3:$C$14,2,FALSE)-DAY(R2526))/VLOOKUP(MONTH(R2526),Meses!$B$3:$C$14,2,FALSE)*U2526,
"")</f>
        <v/>
      </c>
      <c r="U2526" s="22">
        <f t="shared" si="127"/>
        <v>2888</v>
      </c>
    </row>
    <row r="2527" spans="1:21" hidden="1" x14ac:dyDescent="0.3">
      <c r="A2527" s="1" t="s">
        <v>3387</v>
      </c>
      <c r="B2527" s="1" t="s">
        <v>3486</v>
      </c>
      <c r="C2527" s="2"/>
      <c r="D2527" s="1" t="s">
        <v>3389</v>
      </c>
      <c r="E2527" s="1" t="s">
        <v>3389</v>
      </c>
      <c r="F2527" s="20">
        <v>2888</v>
      </c>
      <c r="G2527" s="3"/>
      <c r="H2527" s="3"/>
      <c r="I2527" s="3" t="s">
        <v>43</v>
      </c>
      <c r="J2527" s="1"/>
      <c r="K2527" s="1"/>
      <c r="L2527" s="1"/>
      <c r="N2527" s="3"/>
      <c r="P2527" s="25" t="str">
        <f>IFERROR(
IF(OR(O2527="anulado",O2527="stand by"),CONCATENATE(O2527,": ",H2527),
IF(OR(YEAR(M2527)=2022,YEAR(M2527)=2023),CONCATENATE("Se activó en ",YEAR(M2527)),
IF(AND(OR(O2527="En proceso",O2527="facturando"),AND(J2527="-",M2527="")),"Por revisar",
IF(M2527="",IF(J2527="NUEVAS",CONCATENATE("Estado: ",O2527,", ",J2527),
IF(L2527=Meses!$A$3,"Por revisar",
IF(H2527="","Sin registro","En programación Frcst."))),"En programación")))),
"Error")</f>
        <v>Sin registro</v>
      </c>
      <c r="Q2527" s="9" t="str">
        <f t="shared" si="125"/>
        <v/>
      </c>
      <c r="R2527" s="25" t="str">
        <f>IF(P2527="En programación Frcst.",VLOOKUP(L2527,Meses!$A$1:$H$14,3+HLOOKUP(Cronograma!J2527,Meses!$D$1:$G$2,2,FALSE),FALSE),
IF(P2527="En programación",M2527,""))</f>
        <v/>
      </c>
      <c r="S2527" s="25" t="str">
        <f t="shared" si="126"/>
        <v/>
      </c>
      <c r="T2527" s="21" t="str">
        <f>IFERROR(
(VLOOKUP(MONTH(R2527),Meses!$B$3:$C$14,2,FALSE)-DAY(R2527))/VLOOKUP(MONTH(R2527),Meses!$B$3:$C$14,2,FALSE)*U2527,
"")</f>
        <v/>
      </c>
      <c r="U2527" s="22">
        <f t="shared" si="127"/>
        <v>2888</v>
      </c>
    </row>
    <row r="2528" spans="1:21" hidden="1" x14ac:dyDescent="0.3">
      <c r="A2528" s="1" t="s">
        <v>3387</v>
      </c>
      <c r="B2528" s="1" t="s">
        <v>3487</v>
      </c>
      <c r="C2528" s="2"/>
      <c r="D2528" s="1" t="s">
        <v>3185</v>
      </c>
      <c r="E2528" s="1" t="s">
        <v>3185</v>
      </c>
      <c r="F2528" s="20">
        <v>4505</v>
      </c>
      <c r="G2528" s="3"/>
      <c r="H2528" s="3"/>
      <c r="I2528" s="3" t="s">
        <v>43</v>
      </c>
      <c r="J2528" s="1"/>
      <c r="K2528" s="1"/>
      <c r="L2528" s="1"/>
      <c r="N2528" s="3"/>
      <c r="P2528" s="25" t="str">
        <f>IFERROR(
IF(OR(O2528="anulado",O2528="stand by"),CONCATENATE(O2528,": ",H2528),
IF(OR(YEAR(M2528)=2022,YEAR(M2528)=2023),CONCATENATE("Se activó en ",YEAR(M2528)),
IF(AND(OR(O2528="En proceso",O2528="facturando"),AND(J2528="-",M2528="")),"Por revisar",
IF(M2528="",IF(J2528="NUEVAS",CONCATENATE("Estado: ",O2528,", ",J2528),
IF(L2528=Meses!$A$3,"Por revisar",
IF(H2528="","Sin registro","En programación Frcst."))),"En programación")))),
"Error")</f>
        <v>Sin registro</v>
      </c>
      <c r="Q2528" s="9" t="str">
        <f t="shared" si="125"/>
        <v/>
      </c>
      <c r="R2528" s="25" t="str">
        <f>IF(P2528="En programación Frcst.",VLOOKUP(L2528,Meses!$A$1:$H$14,3+HLOOKUP(Cronograma!J2528,Meses!$D$1:$G$2,2,FALSE),FALSE),
IF(P2528="En programación",M2528,""))</f>
        <v/>
      </c>
      <c r="S2528" s="25" t="str">
        <f t="shared" si="126"/>
        <v/>
      </c>
      <c r="T2528" s="21" t="str">
        <f>IFERROR(
(VLOOKUP(MONTH(R2528),Meses!$B$3:$C$14,2,FALSE)-DAY(R2528))/VLOOKUP(MONTH(R2528),Meses!$B$3:$C$14,2,FALSE)*U2528,
"")</f>
        <v/>
      </c>
      <c r="U2528" s="22">
        <f t="shared" si="127"/>
        <v>4505</v>
      </c>
    </row>
    <row r="2529" spans="1:21" hidden="1" x14ac:dyDescent="0.3">
      <c r="A2529" s="1" t="s">
        <v>3387</v>
      </c>
      <c r="B2529" s="1" t="s">
        <v>3488</v>
      </c>
      <c r="C2529" s="2"/>
      <c r="D2529" s="1" t="s">
        <v>3185</v>
      </c>
      <c r="E2529" s="1" t="s">
        <v>3185</v>
      </c>
      <c r="F2529" s="20">
        <v>4620</v>
      </c>
      <c r="G2529" s="3"/>
      <c r="H2529" s="3"/>
      <c r="I2529" s="3" t="s">
        <v>43</v>
      </c>
      <c r="J2529" s="1"/>
      <c r="K2529" s="1"/>
      <c r="L2529" s="1"/>
      <c r="N2529" s="3"/>
      <c r="P2529" s="25" t="str">
        <f>IFERROR(
IF(OR(O2529="anulado",O2529="stand by"),CONCATENATE(O2529,": ",H2529),
IF(OR(YEAR(M2529)=2022,YEAR(M2529)=2023),CONCATENATE("Se activó en ",YEAR(M2529)),
IF(AND(OR(O2529="En proceso",O2529="facturando"),AND(J2529="-",M2529="")),"Por revisar",
IF(M2529="",IF(J2529="NUEVAS",CONCATENATE("Estado: ",O2529,", ",J2529),
IF(L2529=Meses!$A$3,"Por revisar",
IF(H2529="","Sin registro","En programación Frcst."))),"En programación")))),
"Error")</f>
        <v>Sin registro</v>
      </c>
      <c r="Q2529" s="9" t="str">
        <f t="shared" si="125"/>
        <v/>
      </c>
      <c r="R2529" s="25" t="str">
        <f>IF(P2529="En programación Frcst.",VLOOKUP(L2529,Meses!$A$1:$H$14,3+HLOOKUP(Cronograma!J2529,Meses!$D$1:$G$2,2,FALSE),FALSE),
IF(P2529="En programación",M2529,""))</f>
        <v/>
      </c>
      <c r="S2529" s="25" t="str">
        <f t="shared" si="126"/>
        <v/>
      </c>
      <c r="T2529" s="21" t="str">
        <f>IFERROR(
(VLOOKUP(MONTH(R2529),Meses!$B$3:$C$14,2,FALSE)-DAY(R2529))/VLOOKUP(MONTH(R2529),Meses!$B$3:$C$14,2,FALSE)*U2529,
"")</f>
        <v/>
      </c>
      <c r="U2529" s="22">
        <f t="shared" si="127"/>
        <v>4620</v>
      </c>
    </row>
    <row r="2530" spans="1:21" x14ac:dyDescent="0.3">
      <c r="A2530" s="1"/>
      <c r="B2530" s="1"/>
      <c r="C2530" s="2"/>
      <c r="D2530" s="1"/>
      <c r="E2530" s="1"/>
      <c r="F2530" s="20"/>
      <c r="G2530" s="3"/>
      <c r="H2530" s="3"/>
      <c r="I2530" s="3"/>
      <c r="J2530" s="1"/>
      <c r="K2530" s="1"/>
      <c r="L2530" s="1"/>
      <c r="N2530" s="3"/>
    </row>
    <row r="2531" spans="1:21" x14ac:dyDescent="0.3">
      <c r="A2531" s="1"/>
      <c r="B2531" s="1"/>
      <c r="C2531" s="2"/>
      <c r="D2531" s="1"/>
      <c r="E2531" s="1"/>
      <c r="F2531" s="20"/>
      <c r="G2531" s="3"/>
      <c r="H2531" s="3"/>
      <c r="I2531" s="3"/>
      <c r="J2531" s="1"/>
      <c r="K2531" s="1"/>
      <c r="L2531" s="1"/>
      <c r="N2531" s="3"/>
    </row>
    <row r="2532" spans="1:21" x14ac:dyDescent="0.3">
      <c r="A2532" s="1"/>
      <c r="B2532" s="1"/>
      <c r="C2532" s="2"/>
      <c r="D2532" s="1"/>
      <c r="E2532" s="1"/>
      <c r="F2532" s="20"/>
      <c r="G2532" s="3"/>
      <c r="H2532" s="3"/>
      <c r="I2532" s="3"/>
      <c r="J2532" s="1"/>
      <c r="K2532" s="1"/>
      <c r="L2532" s="1"/>
      <c r="N2532" s="3"/>
    </row>
    <row r="2533" spans="1:21" x14ac:dyDescent="0.3">
      <c r="A2533" s="1"/>
      <c r="B2533" s="1"/>
      <c r="C2533" s="2"/>
      <c r="D2533" s="1"/>
      <c r="E2533" s="1"/>
      <c r="F2533" s="20"/>
      <c r="G2533" s="3"/>
      <c r="H2533" s="3"/>
      <c r="I2533" s="3"/>
      <c r="J2533" s="1"/>
      <c r="K2533" s="1"/>
      <c r="L2533" s="1"/>
      <c r="N2533" s="3"/>
    </row>
    <row r="2534" spans="1:21" x14ac:dyDescent="0.3">
      <c r="A2534" s="1"/>
      <c r="B2534" s="1"/>
      <c r="C2534" s="2"/>
      <c r="D2534" s="1"/>
      <c r="E2534" s="1"/>
      <c r="F2534" s="20"/>
      <c r="G2534" s="3"/>
      <c r="H2534" s="3"/>
      <c r="I2534" s="3"/>
      <c r="J2534" s="1"/>
      <c r="K2534" s="1"/>
      <c r="L2534" s="1"/>
      <c r="N2534" s="3"/>
    </row>
    <row r="2535" spans="1:21" x14ac:dyDescent="0.3">
      <c r="A2535" s="1"/>
      <c r="B2535" s="1"/>
      <c r="C2535" s="2"/>
      <c r="D2535" s="1"/>
      <c r="E2535" s="1"/>
      <c r="F2535" s="20"/>
      <c r="G2535" s="3"/>
      <c r="H2535" s="3"/>
      <c r="I2535" s="3"/>
      <c r="J2535" s="1"/>
      <c r="K2535" s="1"/>
      <c r="L2535" s="1"/>
      <c r="N2535" s="3"/>
    </row>
    <row r="2536" spans="1:21" x14ac:dyDescent="0.3">
      <c r="A2536" s="1"/>
      <c r="B2536" s="1"/>
      <c r="C2536" s="2"/>
      <c r="D2536" s="1"/>
      <c r="E2536" s="1"/>
      <c r="F2536" s="20"/>
      <c r="G2536" s="3"/>
      <c r="H2536" s="3"/>
      <c r="I2536" s="3"/>
      <c r="J2536" s="1"/>
      <c r="K2536" s="1"/>
      <c r="L2536" s="1"/>
      <c r="N2536" s="3"/>
    </row>
    <row r="2537" spans="1:21" x14ac:dyDescent="0.3">
      <c r="A2537" s="1"/>
      <c r="B2537" s="1"/>
      <c r="C2537" s="2"/>
      <c r="D2537" s="1"/>
      <c r="E2537" s="1"/>
      <c r="F2537" s="20"/>
      <c r="G2537" s="3"/>
      <c r="H2537" s="3"/>
      <c r="I2537" s="3"/>
      <c r="J2537" s="1"/>
      <c r="K2537" s="1"/>
      <c r="L2537" s="1"/>
      <c r="N2537" s="3"/>
    </row>
    <row r="2538" spans="1:21" x14ac:dyDescent="0.3">
      <c r="A2538" s="1"/>
      <c r="B2538" s="1"/>
      <c r="C2538" s="2"/>
      <c r="D2538" s="1"/>
      <c r="E2538" s="1"/>
      <c r="F2538" s="20"/>
      <c r="G2538" s="3"/>
      <c r="H2538" s="3"/>
      <c r="I2538" s="3"/>
      <c r="J2538" s="1"/>
      <c r="K2538" s="1"/>
      <c r="L2538" s="1"/>
      <c r="N2538" s="3"/>
    </row>
    <row r="2539" spans="1:21" x14ac:dyDescent="0.3">
      <c r="A2539" s="1"/>
      <c r="B2539" s="1"/>
      <c r="C2539" s="2"/>
      <c r="D2539" s="1"/>
      <c r="E2539" s="1"/>
      <c r="F2539" s="20"/>
      <c r="G2539" s="3"/>
      <c r="H2539" s="3"/>
      <c r="I2539" s="3"/>
      <c r="J2539" s="1"/>
      <c r="K2539" s="1"/>
      <c r="L2539" s="1"/>
      <c r="N2539" s="3"/>
    </row>
    <row r="2540" spans="1:21" x14ac:dyDescent="0.3">
      <c r="A2540" s="1"/>
      <c r="B2540" s="1"/>
      <c r="C2540" s="2"/>
      <c r="D2540" s="1"/>
      <c r="E2540" s="1"/>
      <c r="F2540" s="20"/>
      <c r="G2540" s="3"/>
      <c r="H2540" s="3"/>
      <c r="I2540" s="3"/>
      <c r="J2540" s="1"/>
      <c r="K2540" s="1"/>
      <c r="L2540" s="1"/>
      <c r="N2540" s="3"/>
    </row>
    <row r="2541" spans="1:21" x14ac:dyDescent="0.3">
      <c r="A2541" s="1"/>
      <c r="B2541" s="1"/>
      <c r="C2541" s="2"/>
      <c r="D2541" s="1"/>
      <c r="E2541" s="1"/>
      <c r="F2541" s="20"/>
      <c r="G2541" s="3"/>
      <c r="H2541" s="3"/>
      <c r="I2541" s="3"/>
      <c r="J2541" s="1"/>
      <c r="K2541" s="1"/>
      <c r="L2541" s="1"/>
      <c r="N2541" s="3"/>
    </row>
    <row r="2542" spans="1:21" x14ac:dyDescent="0.3">
      <c r="A2542" s="1"/>
      <c r="B2542" s="1"/>
      <c r="C2542" s="2"/>
      <c r="D2542" s="1"/>
      <c r="E2542" s="1"/>
      <c r="F2542" s="20"/>
      <c r="G2542" s="3"/>
      <c r="H2542" s="3"/>
      <c r="I2542" s="3"/>
      <c r="J2542" s="1"/>
      <c r="K2542" s="1"/>
      <c r="L2542" s="1"/>
      <c r="N2542" s="3"/>
    </row>
    <row r="2543" spans="1:21" x14ac:dyDescent="0.3">
      <c r="A2543" s="1"/>
      <c r="B2543" s="1"/>
      <c r="C2543" s="2"/>
      <c r="D2543" s="1"/>
      <c r="E2543" s="1"/>
      <c r="F2543" s="20"/>
      <c r="G2543" s="3"/>
      <c r="H2543" s="3"/>
      <c r="I2543" s="3"/>
      <c r="J2543" s="1"/>
      <c r="K2543" s="1"/>
      <c r="L2543" s="1"/>
      <c r="N2543" s="3"/>
    </row>
    <row r="2544" spans="1:21" x14ac:dyDescent="0.3">
      <c r="A2544" s="1"/>
      <c r="B2544" s="1"/>
      <c r="C2544" s="2"/>
      <c r="D2544" s="1"/>
      <c r="E2544" s="1"/>
      <c r="F2544" s="20"/>
      <c r="G2544" s="3"/>
      <c r="H2544" s="3"/>
      <c r="I2544" s="3"/>
      <c r="J2544" s="1"/>
      <c r="K2544" s="1"/>
      <c r="L2544" s="1"/>
      <c r="N2544" s="3"/>
    </row>
    <row r="2545" spans="1:14" x14ac:dyDescent="0.3">
      <c r="A2545" s="1"/>
      <c r="B2545" s="1"/>
      <c r="C2545" s="2"/>
      <c r="D2545" s="1"/>
      <c r="E2545" s="1"/>
      <c r="F2545" s="20"/>
      <c r="G2545" s="3"/>
      <c r="H2545" s="3"/>
      <c r="I2545" s="3"/>
      <c r="J2545" s="1"/>
      <c r="K2545" s="1"/>
      <c r="L2545" s="1"/>
      <c r="N2545" s="3"/>
    </row>
    <row r="2546" spans="1:14" x14ac:dyDescent="0.3">
      <c r="A2546" s="1"/>
      <c r="B2546" s="1"/>
      <c r="C2546" s="2"/>
      <c r="D2546" s="1"/>
      <c r="E2546" s="1"/>
      <c r="F2546" s="20"/>
      <c r="G2546" s="3"/>
      <c r="H2546" s="3"/>
      <c r="I2546" s="3"/>
      <c r="J2546" s="1"/>
      <c r="K2546" s="1"/>
      <c r="L2546" s="1"/>
      <c r="N2546" s="3"/>
    </row>
    <row r="2547" spans="1:14" x14ac:dyDescent="0.3">
      <c r="A2547" s="1"/>
      <c r="B2547" s="1"/>
      <c r="C2547" s="2"/>
      <c r="D2547" s="1"/>
      <c r="E2547" s="1"/>
      <c r="F2547" s="20"/>
      <c r="G2547" s="3"/>
      <c r="H2547" s="3"/>
      <c r="I2547" s="3"/>
      <c r="J2547" s="1"/>
      <c r="K2547" s="1"/>
      <c r="L2547" s="1"/>
      <c r="N2547" s="3"/>
    </row>
    <row r="2548" spans="1:14" x14ac:dyDescent="0.3">
      <c r="A2548" s="1"/>
      <c r="B2548" s="1"/>
      <c r="C2548" s="2"/>
      <c r="D2548" s="1"/>
      <c r="E2548" s="1"/>
      <c r="F2548" s="20"/>
      <c r="G2548" s="3"/>
      <c r="H2548" s="3"/>
      <c r="I2548" s="3"/>
      <c r="J2548" s="1"/>
      <c r="K2548" s="1"/>
      <c r="L2548" s="1"/>
      <c r="N2548" s="3"/>
    </row>
    <row r="2549" spans="1:14" x14ac:dyDescent="0.3">
      <c r="A2549" s="1"/>
      <c r="B2549" s="1"/>
      <c r="C2549" s="2"/>
      <c r="D2549" s="1"/>
      <c r="E2549" s="1"/>
      <c r="F2549" s="20"/>
      <c r="G2549" s="3"/>
      <c r="H2549" s="3"/>
      <c r="I2549" s="3"/>
      <c r="J2549" s="1"/>
      <c r="K2549" s="1"/>
      <c r="L2549" s="1"/>
      <c r="N2549" s="3"/>
    </row>
    <row r="2550" spans="1:14" x14ac:dyDescent="0.3">
      <c r="A2550" s="1"/>
      <c r="B2550" s="1"/>
      <c r="C2550" s="2"/>
      <c r="D2550" s="1"/>
      <c r="E2550" s="1"/>
      <c r="F2550" s="20"/>
      <c r="G2550" s="3"/>
      <c r="H2550" s="3"/>
      <c r="I2550" s="3"/>
      <c r="J2550" s="1"/>
      <c r="K2550" s="1"/>
      <c r="L2550" s="1"/>
      <c r="N2550" s="3"/>
    </row>
    <row r="2551" spans="1:14" x14ac:dyDescent="0.3">
      <c r="A2551" s="1"/>
      <c r="B2551" s="1"/>
      <c r="C2551" s="2"/>
      <c r="D2551" s="1"/>
      <c r="E2551" s="1"/>
      <c r="F2551" s="20"/>
      <c r="G2551" s="3"/>
      <c r="H2551" s="3"/>
      <c r="I2551" s="3"/>
      <c r="J2551" s="1"/>
      <c r="K2551" s="1"/>
      <c r="L2551" s="1"/>
      <c r="N2551" s="3"/>
    </row>
    <row r="2552" spans="1:14" x14ac:dyDescent="0.3">
      <c r="A2552" s="1"/>
      <c r="B2552" s="1"/>
      <c r="C2552" s="2"/>
      <c r="D2552" s="1"/>
      <c r="E2552" s="1"/>
      <c r="F2552" s="20"/>
      <c r="G2552" s="3"/>
      <c r="H2552" s="3"/>
      <c r="I2552" s="3"/>
      <c r="J2552" s="1"/>
      <c r="K2552" s="1"/>
      <c r="L2552" s="1"/>
      <c r="N2552" s="3"/>
    </row>
    <row r="2553" spans="1:14" x14ac:dyDescent="0.3">
      <c r="A2553" s="1"/>
      <c r="B2553" s="1"/>
      <c r="C2553" s="2"/>
      <c r="D2553" s="1"/>
      <c r="E2553" s="1"/>
      <c r="F2553" s="20"/>
      <c r="G2553" s="3"/>
      <c r="H2553" s="3"/>
      <c r="I2553" s="3"/>
      <c r="J2553" s="1"/>
      <c r="K2553" s="1"/>
      <c r="L2553" s="1"/>
      <c r="N2553" s="3"/>
    </row>
    <row r="2554" spans="1:14" x14ac:dyDescent="0.3">
      <c r="A2554" s="1"/>
      <c r="B2554" s="1"/>
      <c r="C2554" s="2"/>
      <c r="D2554" s="1"/>
      <c r="E2554" s="1"/>
      <c r="F2554" s="20"/>
      <c r="G2554" s="3"/>
      <c r="H2554" s="3"/>
      <c r="I2554" s="3"/>
      <c r="J2554" s="1"/>
      <c r="K2554" s="1"/>
      <c r="L2554" s="1"/>
      <c r="N2554" s="3"/>
    </row>
    <row r="2555" spans="1:14" x14ac:dyDescent="0.3">
      <c r="A2555" s="1"/>
      <c r="B2555" s="1"/>
      <c r="C2555" s="2"/>
      <c r="D2555" s="1"/>
      <c r="E2555" s="1"/>
      <c r="F2555" s="20"/>
      <c r="G2555" s="3"/>
      <c r="H2555" s="3"/>
      <c r="I2555" s="3"/>
      <c r="J2555" s="1"/>
      <c r="K2555" s="1"/>
      <c r="L2555" s="1"/>
      <c r="N2555" s="3"/>
    </row>
    <row r="2556" spans="1:14" x14ac:dyDescent="0.3">
      <c r="A2556" s="1"/>
      <c r="B2556" s="1"/>
      <c r="C2556" s="2"/>
      <c r="D2556" s="1"/>
      <c r="E2556" s="1"/>
      <c r="F2556" s="20"/>
      <c r="G2556" s="3"/>
      <c r="H2556" s="3"/>
      <c r="I2556" s="3"/>
      <c r="J2556" s="1"/>
      <c r="K2556" s="1"/>
      <c r="L2556" s="1"/>
      <c r="N2556" s="3"/>
    </row>
    <row r="2557" spans="1:14" x14ac:dyDescent="0.3">
      <c r="A2557" s="1"/>
      <c r="B2557" s="1"/>
      <c r="C2557" s="2"/>
      <c r="D2557" s="1"/>
      <c r="E2557" s="1"/>
      <c r="F2557" s="20"/>
      <c r="G2557" s="3"/>
      <c r="H2557" s="3"/>
      <c r="I2557" s="3"/>
      <c r="J2557" s="1"/>
      <c r="K2557" s="1"/>
      <c r="L2557" s="1"/>
      <c r="N2557" s="3"/>
    </row>
    <row r="2558" spans="1:14" x14ac:dyDescent="0.3">
      <c r="A2558" s="1"/>
      <c r="B2558" s="1"/>
      <c r="C2558" s="2"/>
      <c r="D2558" s="1"/>
      <c r="E2558" s="1"/>
      <c r="F2558" s="20"/>
      <c r="G2558" s="3"/>
      <c r="H2558" s="3"/>
      <c r="I2558" s="3"/>
      <c r="J2558" s="1"/>
      <c r="K2558" s="1"/>
      <c r="L2558" s="1"/>
      <c r="N2558" s="3"/>
    </row>
    <row r="2559" spans="1:14" x14ac:dyDescent="0.3">
      <c r="A2559" s="1"/>
      <c r="B2559" s="1"/>
      <c r="C2559" s="2"/>
      <c r="D2559" s="1"/>
      <c r="E2559" s="1"/>
      <c r="F2559" s="20"/>
      <c r="G2559" s="3"/>
      <c r="H2559" s="3"/>
      <c r="I2559" s="3"/>
      <c r="J2559" s="1"/>
      <c r="K2559" s="1"/>
      <c r="L2559" s="1"/>
      <c r="N2559" s="3"/>
    </row>
    <row r="2560" spans="1:14" x14ac:dyDescent="0.3">
      <c r="A2560" s="1"/>
      <c r="B2560" s="1"/>
      <c r="C2560" s="2"/>
      <c r="D2560" s="1"/>
      <c r="E2560" s="1"/>
      <c r="F2560" s="20"/>
      <c r="G2560" s="3"/>
      <c r="H2560" s="3"/>
      <c r="I2560" s="3"/>
      <c r="J2560" s="1"/>
      <c r="K2560" s="1"/>
      <c r="L2560" s="1"/>
      <c r="N2560" s="3"/>
    </row>
    <row r="2561" spans="1:14" x14ac:dyDescent="0.3">
      <c r="A2561" s="1"/>
      <c r="B2561" s="1"/>
      <c r="C2561" s="2"/>
      <c r="D2561" s="1"/>
      <c r="E2561" s="1"/>
      <c r="F2561" s="20"/>
      <c r="G2561" s="3"/>
      <c r="H2561" s="3"/>
      <c r="I2561" s="3"/>
      <c r="J2561" s="1"/>
      <c r="K2561" s="1"/>
      <c r="L2561" s="1"/>
      <c r="N2561" s="3"/>
    </row>
    <row r="2562" spans="1:14" x14ac:dyDescent="0.3">
      <c r="A2562" s="1"/>
      <c r="B2562" s="1"/>
      <c r="C2562" s="2"/>
      <c r="D2562" s="1"/>
      <c r="E2562" s="1"/>
      <c r="F2562" s="20"/>
      <c r="G2562" s="3"/>
      <c r="H2562" s="3"/>
      <c r="I2562" s="3"/>
      <c r="J2562" s="1"/>
      <c r="K2562" s="1"/>
      <c r="L2562" s="1"/>
      <c r="N2562" s="3"/>
    </row>
    <row r="2563" spans="1:14" x14ac:dyDescent="0.3">
      <c r="A2563" s="1"/>
      <c r="B2563" s="1"/>
      <c r="C2563" s="2"/>
      <c r="D2563" s="1"/>
      <c r="E2563" s="1"/>
      <c r="F2563" s="20"/>
      <c r="G2563" s="3"/>
      <c r="H2563" s="3"/>
      <c r="I2563" s="3"/>
      <c r="J2563" s="1"/>
      <c r="K2563" s="1"/>
      <c r="L2563" s="1"/>
      <c r="N2563" s="3"/>
    </row>
    <row r="2564" spans="1:14" x14ac:dyDescent="0.3">
      <c r="A2564" s="1"/>
      <c r="B2564" s="1"/>
      <c r="C2564" s="2"/>
      <c r="D2564" s="1"/>
      <c r="E2564" s="1"/>
      <c r="F2564" s="20"/>
      <c r="G2564" s="3"/>
      <c r="H2564" s="3"/>
      <c r="I2564" s="3"/>
      <c r="J2564" s="1"/>
      <c r="K2564" s="1"/>
      <c r="L2564" s="1"/>
      <c r="N2564" s="3"/>
    </row>
    <row r="2565" spans="1:14" x14ac:dyDescent="0.3">
      <c r="A2565" s="1"/>
      <c r="B2565" s="1"/>
      <c r="C2565" s="2"/>
      <c r="D2565" s="1"/>
      <c r="E2565" s="1"/>
      <c r="F2565" s="20"/>
      <c r="G2565" s="3"/>
      <c r="H2565" s="3"/>
      <c r="I2565" s="3"/>
      <c r="J2565" s="1"/>
      <c r="K2565" s="1"/>
      <c r="L2565" s="1"/>
      <c r="N2565" s="3"/>
    </row>
    <row r="2566" spans="1:14" x14ac:dyDescent="0.3">
      <c r="A2566" s="1"/>
      <c r="B2566" s="1"/>
      <c r="C2566" s="2"/>
      <c r="D2566" s="1"/>
      <c r="E2566" s="1"/>
      <c r="F2566" s="20"/>
      <c r="G2566" s="3"/>
      <c r="H2566" s="3"/>
      <c r="I2566" s="3"/>
      <c r="J2566" s="1"/>
      <c r="K2566" s="1"/>
      <c r="L2566" s="1"/>
      <c r="N2566" s="3"/>
    </row>
    <row r="2567" spans="1:14" x14ac:dyDescent="0.3">
      <c r="A2567" s="1"/>
      <c r="B2567" s="1"/>
      <c r="C2567" s="2"/>
      <c r="D2567" s="1"/>
      <c r="E2567" s="1"/>
      <c r="F2567" s="20"/>
      <c r="G2567" s="3"/>
      <c r="H2567" s="3"/>
      <c r="I2567" s="3"/>
      <c r="J2567" s="1"/>
      <c r="K2567" s="1"/>
      <c r="L2567" s="1"/>
      <c r="N2567" s="3"/>
    </row>
    <row r="2568" spans="1:14" x14ac:dyDescent="0.3">
      <c r="A2568" s="1"/>
      <c r="B2568" s="1"/>
      <c r="C2568" s="2"/>
      <c r="D2568" s="1"/>
      <c r="E2568" s="1"/>
      <c r="F2568" s="20"/>
      <c r="G2568" s="3"/>
      <c r="H2568" s="3"/>
      <c r="I2568" s="3"/>
      <c r="J2568" s="1"/>
      <c r="K2568" s="1"/>
      <c r="L2568" s="1"/>
      <c r="N2568" s="3"/>
    </row>
    <row r="2569" spans="1:14" x14ac:dyDescent="0.3">
      <c r="A2569" s="1"/>
      <c r="B2569" s="1"/>
      <c r="C2569" s="2"/>
      <c r="D2569" s="1"/>
      <c r="E2569" s="1"/>
      <c r="F2569" s="20"/>
      <c r="G2569" s="3"/>
      <c r="H2569" s="3"/>
      <c r="I2569" s="3"/>
      <c r="J2569" s="1"/>
      <c r="K2569" s="1"/>
      <c r="L2569" s="1"/>
      <c r="N2569" s="3"/>
    </row>
    <row r="2570" spans="1:14" x14ac:dyDescent="0.3">
      <c r="A2570" s="1"/>
      <c r="B2570" s="1"/>
      <c r="C2570" s="2"/>
      <c r="D2570" s="1"/>
      <c r="E2570" s="1"/>
      <c r="F2570" s="20"/>
      <c r="G2570" s="3"/>
      <c r="H2570" s="3"/>
      <c r="I2570" s="3"/>
      <c r="J2570" s="1"/>
      <c r="K2570" s="1"/>
      <c r="L2570" s="1"/>
      <c r="N2570" s="3"/>
    </row>
    <row r="2571" spans="1:14" x14ac:dyDescent="0.3">
      <c r="A2571" s="1"/>
      <c r="B2571" s="1"/>
      <c r="C2571" s="2"/>
      <c r="D2571" s="1"/>
      <c r="E2571" s="1"/>
      <c r="F2571" s="20"/>
      <c r="G2571" s="3"/>
      <c r="H2571" s="3"/>
      <c r="I2571" s="3"/>
      <c r="J2571" s="1"/>
      <c r="K2571" s="1"/>
      <c r="L2571" s="1"/>
      <c r="N2571" s="3"/>
    </row>
    <row r="2572" spans="1:14" x14ac:dyDescent="0.3">
      <c r="A2572" s="1"/>
      <c r="B2572" s="1"/>
      <c r="C2572" s="2"/>
      <c r="D2572" s="1"/>
      <c r="E2572" s="1"/>
      <c r="F2572" s="20"/>
      <c r="G2572" s="3"/>
      <c r="H2572" s="3"/>
      <c r="I2572" s="3"/>
      <c r="J2572" s="1"/>
      <c r="K2572" s="1"/>
      <c r="L2572" s="1"/>
      <c r="N2572" s="3"/>
    </row>
    <row r="2573" spans="1:14" x14ac:dyDescent="0.3">
      <c r="A2573" s="1"/>
      <c r="B2573" s="1"/>
      <c r="C2573" s="2"/>
      <c r="D2573" s="1"/>
      <c r="E2573" s="1"/>
      <c r="F2573" s="20"/>
      <c r="G2573" s="3"/>
      <c r="H2573" s="3"/>
      <c r="I2573" s="3"/>
      <c r="J2573" s="1"/>
      <c r="K2573" s="1"/>
      <c r="L2573" s="1"/>
      <c r="N2573" s="3"/>
    </row>
    <row r="2574" spans="1:14" x14ac:dyDescent="0.3">
      <c r="A2574" s="1"/>
      <c r="B2574" s="1"/>
      <c r="C2574" s="2"/>
      <c r="D2574" s="1"/>
      <c r="E2574" s="1"/>
      <c r="F2574" s="20"/>
      <c r="G2574" s="3"/>
      <c r="H2574" s="3"/>
      <c r="I2574" s="3"/>
      <c r="J2574" s="1"/>
      <c r="K2574" s="1"/>
      <c r="L2574" s="1"/>
      <c r="N2574" s="3"/>
    </row>
    <row r="2575" spans="1:14" x14ac:dyDescent="0.3">
      <c r="A2575" s="1"/>
      <c r="B2575" s="1"/>
      <c r="C2575" s="2"/>
      <c r="D2575" s="1"/>
      <c r="E2575" s="1"/>
      <c r="F2575" s="20"/>
      <c r="G2575" s="3"/>
      <c r="H2575" s="3"/>
      <c r="I2575" s="3"/>
      <c r="J2575" s="1"/>
      <c r="K2575" s="1"/>
      <c r="L2575" s="1"/>
      <c r="N2575" s="3"/>
    </row>
    <row r="2576" spans="1:14" x14ac:dyDescent="0.3">
      <c r="A2576" s="1"/>
      <c r="B2576" s="1"/>
      <c r="C2576" s="2"/>
      <c r="D2576" s="1"/>
      <c r="E2576" s="1"/>
      <c r="F2576" s="20"/>
      <c r="G2576" s="3"/>
      <c r="H2576" s="3"/>
      <c r="I2576" s="3"/>
      <c r="J2576" s="1"/>
      <c r="K2576" s="1"/>
      <c r="L2576" s="1"/>
      <c r="N2576" s="3"/>
    </row>
    <row r="2577" spans="1:14" x14ac:dyDescent="0.3">
      <c r="A2577" s="1"/>
      <c r="B2577" s="1"/>
      <c r="C2577" s="2"/>
      <c r="D2577" s="1"/>
      <c r="E2577" s="1"/>
      <c r="F2577" s="20"/>
      <c r="G2577" s="3"/>
      <c r="H2577" s="3"/>
      <c r="I2577" s="3"/>
      <c r="J2577" s="1"/>
      <c r="K2577" s="1"/>
      <c r="L2577" s="1"/>
      <c r="N2577" s="3"/>
    </row>
    <row r="2578" spans="1:14" x14ac:dyDescent="0.3">
      <c r="A2578" s="1"/>
      <c r="B2578" s="1"/>
      <c r="C2578" s="2"/>
      <c r="D2578" s="1"/>
      <c r="E2578" s="1"/>
      <c r="F2578" s="20"/>
      <c r="G2578" s="3"/>
      <c r="H2578" s="3"/>
      <c r="I2578" s="3"/>
      <c r="J2578" s="1"/>
      <c r="K2578" s="1"/>
      <c r="L2578" s="1"/>
      <c r="N2578" s="3"/>
    </row>
    <row r="2579" spans="1:14" x14ac:dyDescent="0.3">
      <c r="A2579" s="1"/>
      <c r="B2579" s="1"/>
      <c r="C2579" s="2"/>
      <c r="D2579" s="1"/>
      <c r="E2579" s="1"/>
      <c r="F2579" s="20"/>
      <c r="G2579" s="3"/>
      <c r="H2579" s="3"/>
      <c r="I2579" s="3"/>
      <c r="J2579" s="1"/>
      <c r="K2579" s="1"/>
      <c r="L2579" s="1"/>
      <c r="N2579" s="3"/>
    </row>
    <row r="2580" spans="1:14" x14ac:dyDescent="0.3">
      <c r="A2580" s="1"/>
      <c r="B2580" s="1"/>
      <c r="C2580" s="2"/>
      <c r="D2580" s="1"/>
      <c r="E2580" s="1"/>
      <c r="F2580" s="20"/>
      <c r="G2580" s="3"/>
      <c r="H2580" s="3"/>
      <c r="I2580" s="3"/>
      <c r="J2580" s="1"/>
      <c r="K2580" s="1"/>
      <c r="L2580" s="1"/>
      <c r="N2580" s="3"/>
    </row>
    <row r="2581" spans="1:14" x14ac:dyDescent="0.3">
      <c r="A2581" s="1"/>
      <c r="B2581" s="1"/>
      <c r="C2581" s="2"/>
      <c r="D2581" s="1"/>
      <c r="E2581" s="1"/>
      <c r="F2581" s="20"/>
      <c r="G2581" s="3"/>
      <c r="H2581" s="3"/>
      <c r="I2581" s="3"/>
      <c r="J2581" s="1"/>
      <c r="K2581" s="1"/>
      <c r="L2581" s="1"/>
      <c r="N2581" s="3"/>
    </row>
    <row r="2582" spans="1:14" x14ac:dyDescent="0.3">
      <c r="A2582" s="1"/>
      <c r="B2582" s="1"/>
      <c r="C2582" s="2"/>
      <c r="D2582" s="1"/>
      <c r="E2582" s="1"/>
      <c r="F2582" s="20"/>
      <c r="G2582" s="3"/>
      <c r="H2582" s="3"/>
      <c r="I2582" s="3"/>
      <c r="J2582" s="1"/>
      <c r="K2582" s="1"/>
      <c r="L2582" s="1"/>
      <c r="N2582" s="3"/>
    </row>
    <row r="2583" spans="1:14" x14ac:dyDescent="0.3">
      <c r="A2583" s="1"/>
      <c r="B2583" s="1"/>
      <c r="C2583" s="2"/>
      <c r="D2583" s="1"/>
      <c r="E2583" s="1"/>
      <c r="F2583" s="20"/>
      <c r="G2583" s="3"/>
      <c r="H2583" s="3"/>
      <c r="I2583" s="3"/>
      <c r="J2583" s="1"/>
      <c r="K2583" s="1"/>
      <c r="L2583" s="1"/>
      <c r="N2583" s="3"/>
    </row>
    <row r="2584" spans="1:14" x14ac:dyDescent="0.3">
      <c r="A2584" s="1"/>
      <c r="B2584" s="1"/>
      <c r="C2584" s="2"/>
      <c r="D2584" s="1"/>
      <c r="E2584" s="1"/>
      <c r="F2584" s="20"/>
      <c r="G2584" s="3"/>
      <c r="H2584" s="3"/>
      <c r="I2584" s="3"/>
      <c r="J2584" s="1"/>
      <c r="K2584" s="1"/>
      <c r="L2584" s="1"/>
      <c r="N2584" s="3"/>
    </row>
    <row r="2585" spans="1:14" x14ac:dyDescent="0.3">
      <c r="A2585" s="1"/>
      <c r="B2585" s="1"/>
      <c r="C2585" s="2"/>
      <c r="D2585" s="1"/>
      <c r="E2585" s="1"/>
      <c r="F2585" s="20"/>
      <c r="G2585" s="3"/>
      <c r="H2585" s="3"/>
      <c r="I2585" s="3"/>
      <c r="J2585" s="1"/>
      <c r="K2585" s="1"/>
      <c r="L2585" s="1"/>
      <c r="N2585" s="3"/>
    </row>
    <row r="2586" spans="1:14" x14ac:dyDescent="0.3">
      <c r="A2586" s="1"/>
      <c r="B2586" s="1"/>
      <c r="C2586" s="2"/>
      <c r="D2586" s="1"/>
      <c r="E2586" s="1"/>
      <c r="F2586" s="20"/>
      <c r="G2586" s="3"/>
      <c r="H2586" s="3"/>
      <c r="I2586" s="3"/>
      <c r="J2586" s="1"/>
      <c r="K2586" s="1"/>
      <c r="L2586" s="1"/>
      <c r="N2586" s="3"/>
    </row>
    <row r="2587" spans="1:14" x14ac:dyDescent="0.3">
      <c r="A2587" s="1"/>
      <c r="B2587" s="1"/>
      <c r="C2587" s="2"/>
      <c r="D2587" s="1"/>
      <c r="E2587" s="1"/>
      <c r="F2587" s="20"/>
      <c r="G2587" s="3"/>
      <c r="H2587" s="3"/>
      <c r="I2587" s="3"/>
      <c r="J2587" s="1"/>
      <c r="K2587" s="1"/>
      <c r="L2587" s="1"/>
      <c r="N2587" s="3"/>
    </row>
    <row r="2588" spans="1:14" x14ac:dyDescent="0.3">
      <c r="A2588" s="1"/>
      <c r="B2588" s="1"/>
      <c r="C2588" s="2"/>
      <c r="D2588" s="1"/>
      <c r="E2588" s="1"/>
      <c r="F2588" s="20"/>
      <c r="G2588" s="3"/>
      <c r="H2588" s="3"/>
      <c r="I2588" s="3"/>
      <c r="J2588" s="1"/>
      <c r="K2588" s="1"/>
      <c r="L2588" s="1"/>
      <c r="N2588" s="3"/>
    </row>
    <row r="2589" spans="1:14" x14ac:dyDescent="0.3">
      <c r="A2589" s="1"/>
      <c r="B2589" s="1"/>
      <c r="C2589" s="2"/>
      <c r="D2589" s="1"/>
      <c r="E2589" s="1"/>
      <c r="F2589" s="20"/>
      <c r="G2589" s="3"/>
      <c r="H2589" s="3"/>
      <c r="I2589" s="3"/>
      <c r="J2589" s="1"/>
      <c r="K2589" s="1"/>
      <c r="L2589" s="1"/>
      <c r="N2589" s="3"/>
    </row>
    <row r="2590" spans="1:14" x14ac:dyDescent="0.3">
      <c r="A2590" s="1"/>
      <c r="B2590" s="1"/>
      <c r="C2590" s="2"/>
      <c r="D2590" s="1"/>
      <c r="E2590" s="1"/>
      <c r="F2590" s="20"/>
      <c r="G2590" s="3"/>
      <c r="H2590" s="3"/>
      <c r="I2590" s="3"/>
      <c r="J2590" s="1"/>
      <c r="K2590" s="1"/>
      <c r="L2590" s="1"/>
      <c r="N2590" s="3"/>
    </row>
    <row r="2591" spans="1:14" x14ac:dyDescent="0.3">
      <c r="A2591" s="1"/>
      <c r="B2591" s="1"/>
      <c r="C2591" s="2"/>
      <c r="D2591" s="1"/>
      <c r="E2591" s="1"/>
      <c r="F2591" s="20"/>
      <c r="G2591" s="3"/>
      <c r="H2591" s="3"/>
      <c r="I2591" s="3"/>
      <c r="J2591" s="1"/>
      <c r="K2591" s="1"/>
      <c r="L2591" s="1"/>
      <c r="N2591" s="3"/>
    </row>
    <row r="2592" spans="1:14" x14ac:dyDescent="0.3">
      <c r="A2592" s="1"/>
      <c r="B2592" s="1"/>
      <c r="C2592" s="2"/>
      <c r="D2592" s="1"/>
      <c r="E2592" s="1"/>
      <c r="F2592" s="20"/>
      <c r="G2592" s="3"/>
      <c r="H2592" s="3"/>
      <c r="I2592" s="3"/>
      <c r="J2592" s="1"/>
      <c r="K2592" s="1"/>
      <c r="L2592" s="1"/>
      <c r="N2592" s="3"/>
    </row>
    <row r="2593" spans="1:14" x14ac:dyDescent="0.3">
      <c r="A2593" s="1"/>
      <c r="B2593" s="1"/>
      <c r="C2593" s="2"/>
      <c r="D2593" s="1"/>
      <c r="E2593" s="1"/>
      <c r="F2593" s="20"/>
      <c r="G2593" s="3"/>
      <c r="H2593" s="3"/>
      <c r="I2593" s="3"/>
      <c r="J2593" s="1"/>
      <c r="K2593" s="1"/>
      <c r="L2593" s="1"/>
      <c r="N2593" s="3"/>
    </row>
    <row r="2594" spans="1:14" x14ac:dyDescent="0.3">
      <c r="A2594" s="1"/>
      <c r="B2594" s="1"/>
      <c r="C2594" s="2"/>
      <c r="D2594" s="1"/>
      <c r="E2594" s="1"/>
      <c r="F2594" s="20"/>
      <c r="G2594" s="3"/>
      <c r="H2594" s="3"/>
      <c r="I2594" s="3"/>
      <c r="J2594" s="1"/>
      <c r="K2594" s="1"/>
      <c r="L2594" s="1"/>
      <c r="N2594" s="3"/>
    </row>
    <row r="2595" spans="1:14" x14ac:dyDescent="0.3">
      <c r="A2595" s="1"/>
      <c r="B2595" s="1"/>
      <c r="C2595" s="2"/>
      <c r="D2595" s="1"/>
      <c r="E2595" s="1"/>
      <c r="F2595" s="20"/>
      <c r="G2595" s="3"/>
      <c r="H2595" s="3"/>
      <c r="I2595" s="3"/>
      <c r="J2595" s="1"/>
      <c r="K2595" s="1"/>
      <c r="L2595" s="1"/>
      <c r="N2595" s="3"/>
    </row>
    <row r="2596" spans="1:14" x14ac:dyDescent="0.3">
      <c r="A2596" s="1"/>
      <c r="B2596" s="1"/>
      <c r="C2596" s="2"/>
      <c r="D2596" s="1"/>
      <c r="E2596" s="1"/>
      <c r="F2596" s="20"/>
      <c r="G2596" s="3"/>
      <c r="H2596" s="3"/>
      <c r="I2596" s="3"/>
      <c r="J2596" s="1"/>
      <c r="K2596" s="1"/>
      <c r="L2596" s="1"/>
      <c r="N2596" s="3"/>
    </row>
    <row r="2597" spans="1:14" x14ac:dyDescent="0.3">
      <c r="A2597" s="1"/>
      <c r="B2597" s="1"/>
      <c r="C2597" s="2"/>
      <c r="D2597" s="1"/>
      <c r="E2597" s="1"/>
      <c r="F2597" s="20"/>
      <c r="G2597" s="3"/>
      <c r="H2597" s="3"/>
      <c r="I2597" s="3"/>
      <c r="J2597" s="1"/>
      <c r="K2597" s="1"/>
      <c r="L2597" s="1"/>
      <c r="N2597" s="3"/>
    </row>
    <row r="2598" spans="1:14" x14ac:dyDescent="0.3">
      <c r="A2598" s="1"/>
      <c r="B2598" s="1"/>
      <c r="C2598" s="2"/>
      <c r="D2598" s="1"/>
      <c r="E2598" s="1"/>
      <c r="F2598" s="20"/>
      <c r="G2598" s="3"/>
      <c r="H2598" s="3"/>
      <c r="I2598" s="3"/>
      <c r="J2598" s="1"/>
      <c r="K2598" s="1"/>
      <c r="L2598" s="1"/>
      <c r="N2598" s="3"/>
    </row>
    <row r="2599" spans="1:14" x14ac:dyDescent="0.3">
      <c r="A2599" s="1"/>
      <c r="B2599" s="1"/>
      <c r="C2599" s="2"/>
      <c r="D2599" s="1"/>
      <c r="E2599" s="1"/>
      <c r="F2599" s="20"/>
      <c r="G2599" s="3"/>
      <c r="H2599" s="3"/>
      <c r="I2599" s="3"/>
      <c r="J2599" s="1"/>
      <c r="K2599" s="1"/>
      <c r="L2599" s="1"/>
      <c r="N2599" s="3"/>
    </row>
    <row r="2600" spans="1:14" x14ac:dyDescent="0.3">
      <c r="A2600" s="1"/>
      <c r="B2600" s="1"/>
      <c r="C2600" s="2"/>
      <c r="D2600" s="1"/>
      <c r="E2600" s="1"/>
      <c r="F2600" s="20"/>
      <c r="G2600" s="3"/>
      <c r="H2600" s="3"/>
      <c r="I2600" s="3"/>
      <c r="J2600" s="1"/>
      <c r="K2600" s="1"/>
      <c r="L2600" s="1"/>
      <c r="N2600" s="3"/>
    </row>
    <row r="2601" spans="1:14" x14ac:dyDescent="0.3">
      <c r="A2601" s="1"/>
      <c r="B2601" s="1"/>
      <c r="C2601" s="2"/>
      <c r="D2601" s="1"/>
      <c r="E2601" s="1"/>
      <c r="F2601" s="20"/>
      <c r="G2601" s="3"/>
      <c r="H2601" s="3"/>
      <c r="I2601" s="3"/>
      <c r="J2601" s="1"/>
      <c r="K2601" s="1"/>
      <c r="L2601" s="1"/>
      <c r="N2601" s="3"/>
    </row>
    <row r="2602" spans="1:14" x14ac:dyDescent="0.3">
      <c r="A2602" s="1"/>
      <c r="B2602" s="1"/>
      <c r="C2602" s="2"/>
      <c r="D2602" s="1"/>
      <c r="E2602" s="1"/>
      <c r="F2602" s="20"/>
      <c r="G2602" s="3"/>
      <c r="H2602" s="3"/>
      <c r="I2602" s="3"/>
      <c r="J2602" s="1"/>
      <c r="K2602" s="1"/>
      <c r="L2602" s="1"/>
      <c r="N2602" s="3"/>
    </row>
    <row r="2603" spans="1:14" x14ac:dyDescent="0.3">
      <c r="A2603" s="1"/>
      <c r="B2603" s="1"/>
      <c r="C2603" s="2"/>
      <c r="D2603" s="1"/>
      <c r="E2603" s="1"/>
      <c r="F2603" s="20"/>
      <c r="G2603" s="3"/>
      <c r="H2603" s="3"/>
      <c r="I2603" s="3"/>
      <c r="J2603" s="1"/>
      <c r="K2603" s="1"/>
      <c r="L2603" s="1"/>
      <c r="N2603" s="3"/>
    </row>
    <row r="2604" spans="1:14" x14ac:dyDescent="0.3">
      <c r="A2604" s="1"/>
      <c r="B2604" s="1"/>
      <c r="C2604" s="2"/>
      <c r="D2604" s="1"/>
      <c r="E2604" s="1"/>
      <c r="F2604" s="20"/>
      <c r="G2604" s="3"/>
      <c r="H2604" s="3"/>
      <c r="I2604" s="3"/>
      <c r="J2604" s="1"/>
      <c r="K2604" s="1"/>
      <c r="L2604" s="1"/>
      <c r="N2604" s="3"/>
    </row>
    <row r="2605" spans="1:14" x14ac:dyDescent="0.3">
      <c r="A2605" s="1"/>
      <c r="B2605" s="1"/>
      <c r="C2605" s="2"/>
      <c r="D2605" s="1"/>
      <c r="E2605" s="1"/>
      <c r="F2605" s="20"/>
      <c r="G2605" s="3"/>
      <c r="H2605" s="3"/>
      <c r="I2605" s="3"/>
      <c r="J2605" s="1"/>
      <c r="K2605" s="1"/>
      <c r="L2605" s="1"/>
      <c r="N2605" s="3"/>
    </row>
    <row r="2606" spans="1:14" x14ac:dyDescent="0.3">
      <c r="A2606" s="1"/>
      <c r="B2606" s="1"/>
      <c r="C2606" s="2"/>
      <c r="D2606" s="1"/>
      <c r="E2606" s="1"/>
      <c r="F2606" s="20"/>
      <c r="G2606" s="3"/>
      <c r="H2606" s="3"/>
      <c r="I2606" s="3"/>
      <c r="J2606" s="1"/>
      <c r="K2606" s="1"/>
      <c r="L2606" s="1"/>
      <c r="N2606" s="3"/>
    </row>
    <row r="2607" spans="1:14" x14ac:dyDescent="0.3">
      <c r="A2607" s="1"/>
      <c r="B2607" s="1"/>
      <c r="C2607" s="2"/>
      <c r="D2607" s="1"/>
      <c r="E2607" s="1"/>
      <c r="F2607" s="20"/>
      <c r="G2607" s="3"/>
      <c r="H2607" s="3"/>
      <c r="I2607" s="3"/>
      <c r="J2607" s="1"/>
      <c r="K2607" s="1"/>
      <c r="L2607" s="1"/>
      <c r="N2607" s="3"/>
    </row>
    <row r="2608" spans="1:14" x14ac:dyDescent="0.3">
      <c r="A2608" s="1"/>
      <c r="B2608" s="1"/>
      <c r="C2608" s="2"/>
      <c r="D2608" s="1"/>
      <c r="E2608" s="1"/>
      <c r="F2608" s="20"/>
      <c r="G2608" s="3"/>
      <c r="H2608" s="3"/>
      <c r="I2608" s="3"/>
      <c r="J2608" s="1"/>
      <c r="K2608" s="1"/>
      <c r="L2608" s="1"/>
      <c r="N2608" s="3"/>
    </row>
    <row r="2609" spans="1:14" x14ac:dyDescent="0.3">
      <c r="A2609" s="1"/>
      <c r="B2609" s="1"/>
      <c r="C2609" s="2"/>
      <c r="D2609" s="1"/>
      <c r="E2609" s="1"/>
      <c r="F2609" s="20"/>
      <c r="G2609" s="3"/>
      <c r="H2609" s="3"/>
      <c r="I2609" s="3"/>
      <c r="J2609" s="1"/>
      <c r="K2609" s="1"/>
      <c r="L2609" s="1"/>
      <c r="N2609" s="3"/>
    </row>
    <row r="2610" spans="1:14" x14ac:dyDescent="0.3">
      <c r="A2610" s="1"/>
      <c r="B2610" s="1"/>
      <c r="C2610" s="2"/>
      <c r="D2610" s="1"/>
      <c r="E2610" s="1"/>
      <c r="F2610" s="20"/>
      <c r="G2610" s="3"/>
      <c r="H2610" s="3"/>
      <c r="I2610" s="3"/>
      <c r="J2610" s="1"/>
      <c r="K2610" s="1"/>
      <c r="L2610" s="1"/>
      <c r="N2610" s="3"/>
    </row>
    <row r="2611" spans="1:14" x14ac:dyDescent="0.3">
      <c r="A2611" s="1"/>
      <c r="B2611" s="1"/>
      <c r="C2611" s="2"/>
      <c r="D2611" s="1"/>
      <c r="E2611" s="1"/>
      <c r="F2611" s="20"/>
      <c r="G2611" s="3"/>
      <c r="H2611" s="3"/>
      <c r="I2611" s="3"/>
      <c r="J2611" s="1"/>
      <c r="K2611" s="1"/>
      <c r="L2611" s="1"/>
      <c r="N2611" s="3"/>
    </row>
    <row r="2612" spans="1:14" x14ac:dyDescent="0.3">
      <c r="A2612" s="1"/>
      <c r="B2612" s="1"/>
      <c r="C2612" s="2"/>
      <c r="D2612" s="1"/>
      <c r="E2612" s="1"/>
      <c r="F2612" s="20"/>
      <c r="G2612" s="3"/>
      <c r="H2612" s="3"/>
      <c r="I2612" s="3"/>
      <c r="J2612" s="1"/>
      <c r="K2612" s="1"/>
      <c r="L2612" s="1"/>
      <c r="N2612" s="3"/>
    </row>
    <row r="2613" spans="1:14" x14ac:dyDescent="0.3">
      <c r="A2613" s="1"/>
      <c r="B2613" s="1"/>
      <c r="C2613" s="2"/>
      <c r="D2613" s="1"/>
      <c r="E2613" s="1"/>
      <c r="F2613" s="20"/>
      <c r="G2613" s="3"/>
      <c r="H2613" s="3"/>
      <c r="I2613" s="3"/>
      <c r="J2613" s="1"/>
      <c r="K2613" s="1"/>
      <c r="L2613" s="1"/>
      <c r="N2613" s="3"/>
    </row>
    <row r="2614" spans="1:14" x14ac:dyDescent="0.3">
      <c r="A2614" s="1"/>
      <c r="B2614" s="1"/>
      <c r="C2614" s="2"/>
      <c r="D2614" s="1"/>
      <c r="E2614" s="1"/>
      <c r="F2614" s="20"/>
      <c r="G2614" s="3"/>
      <c r="H2614" s="3"/>
      <c r="I2614" s="3"/>
      <c r="J2614" s="1"/>
      <c r="K2614" s="1"/>
      <c r="L2614" s="1"/>
      <c r="N2614" s="3"/>
    </row>
    <row r="2615" spans="1:14" x14ac:dyDescent="0.3">
      <c r="A2615" s="1"/>
      <c r="B2615" s="1"/>
      <c r="C2615" s="2"/>
      <c r="D2615" s="1"/>
      <c r="E2615" s="1"/>
      <c r="F2615" s="20"/>
      <c r="G2615" s="3"/>
      <c r="H2615" s="3"/>
      <c r="I2615" s="3"/>
      <c r="J2615" s="1"/>
      <c r="K2615" s="1"/>
      <c r="L2615" s="1"/>
      <c r="N2615" s="3"/>
    </row>
    <row r="2616" spans="1:14" x14ac:dyDescent="0.3">
      <c r="A2616" s="1"/>
      <c r="B2616" s="1"/>
      <c r="C2616" s="2"/>
      <c r="D2616" s="1"/>
      <c r="E2616" s="1"/>
      <c r="F2616" s="20"/>
      <c r="G2616" s="3"/>
      <c r="H2616" s="3"/>
      <c r="I2616" s="3"/>
      <c r="J2616" s="1"/>
      <c r="K2616" s="1"/>
      <c r="L2616" s="1"/>
      <c r="N2616" s="3"/>
    </row>
    <row r="2617" spans="1:14" x14ac:dyDescent="0.3">
      <c r="A2617" s="1"/>
      <c r="B2617" s="1"/>
      <c r="C2617" s="2"/>
      <c r="D2617" s="1"/>
      <c r="E2617" s="1"/>
      <c r="F2617" s="20"/>
      <c r="G2617" s="3"/>
      <c r="H2617" s="3"/>
      <c r="I2617" s="3"/>
      <c r="J2617" s="1"/>
      <c r="K2617" s="1"/>
      <c r="L2617" s="1"/>
      <c r="N2617" s="3"/>
    </row>
    <row r="2618" spans="1:14" x14ac:dyDescent="0.3">
      <c r="A2618" s="1"/>
      <c r="B2618" s="1"/>
      <c r="C2618" s="2"/>
      <c r="D2618" s="1"/>
      <c r="E2618" s="1"/>
      <c r="F2618" s="20"/>
      <c r="G2618" s="3"/>
      <c r="H2618" s="3"/>
      <c r="I2618" s="3"/>
      <c r="J2618" s="1"/>
      <c r="K2618" s="1"/>
      <c r="L2618" s="1"/>
      <c r="N2618" s="3"/>
    </row>
    <row r="2619" spans="1:14" x14ac:dyDescent="0.3">
      <c r="A2619" s="1"/>
      <c r="B2619" s="1"/>
      <c r="C2619" s="2"/>
      <c r="D2619" s="1"/>
      <c r="E2619" s="1"/>
      <c r="F2619" s="20"/>
      <c r="G2619" s="3"/>
      <c r="H2619" s="3"/>
      <c r="I2619" s="3"/>
      <c r="J2619" s="1"/>
      <c r="K2619" s="1"/>
      <c r="L2619" s="1"/>
      <c r="N2619" s="3"/>
    </row>
    <row r="2620" spans="1:14" x14ac:dyDescent="0.3">
      <c r="A2620" s="1"/>
      <c r="B2620" s="1"/>
      <c r="C2620" s="2"/>
      <c r="D2620" s="1"/>
      <c r="E2620" s="1"/>
      <c r="F2620" s="20"/>
      <c r="G2620" s="3"/>
      <c r="H2620" s="3"/>
      <c r="I2620" s="3"/>
      <c r="J2620" s="1"/>
      <c r="K2620" s="1"/>
      <c r="L2620" s="1"/>
      <c r="N2620" s="3"/>
    </row>
    <row r="2621" spans="1:14" x14ac:dyDescent="0.3">
      <c r="A2621" s="1"/>
      <c r="B2621" s="1"/>
      <c r="C2621" s="2"/>
      <c r="D2621" s="1"/>
      <c r="E2621" s="1"/>
      <c r="F2621" s="20"/>
      <c r="G2621" s="3"/>
      <c r="H2621" s="3"/>
      <c r="I2621" s="3"/>
      <c r="J2621" s="1"/>
      <c r="K2621" s="1"/>
      <c r="L2621" s="1"/>
      <c r="N2621" s="3"/>
    </row>
    <row r="2622" spans="1:14" x14ac:dyDescent="0.3">
      <c r="A2622" s="1"/>
      <c r="B2622" s="1"/>
      <c r="C2622" s="2"/>
      <c r="D2622" s="1"/>
      <c r="E2622" s="1"/>
      <c r="F2622" s="20"/>
      <c r="G2622" s="3"/>
      <c r="H2622" s="3"/>
      <c r="I2622" s="3"/>
      <c r="J2622" s="1"/>
      <c r="K2622" s="1"/>
      <c r="L2622" s="1"/>
      <c r="N2622" s="3"/>
    </row>
    <row r="2623" spans="1:14" x14ac:dyDescent="0.3">
      <c r="A2623" s="1"/>
      <c r="B2623" s="1"/>
      <c r="C2623" s="2"/>
      <c r="D2623" s="1"/>
      <c r="E2623" s="1"/>
      <c r="F2623" s="20"/>
      <c r="G2623" s="3"/>
      <c r="H2623" s="3"/>
      <c r="I2623" s="3"/>
      <c r="J2623" s="1"/>
      <c r="K2623" s="1"/>
      <c r="L2623" s="1"/>
      <c r="N2623" s="3"/>
    </row>
    <row r="2624" spans="1:14" x14ac:dyDescent="0.3">
      <c r="A2624" s="1"/>
      <c r="B2624" s="1"/>
      <c r="C2624" s="2"/>
      <c r="D2624" s="1"/>
      <c r="E2624" s="1"/>
      <c r="F2624" s="20"/>
      <c r="G2624" s="3"/>
      <c r="H2624" s="3"/>
      <c r="I2624" s="3"/>
      <c r="J2624" s="1"/>
      <c r="K2624" s="1"/>
      <c r="L2624" s="1"/>
      <c r="N2624" s="3"/>
    </row>
    <row r="2625" spans="1:14" x14ac:dyDescent="0.3">
      <c r="A2625" s="1"/>
      <c r="B2625" s="1"/>
      <c r="C2625" s="2"/>
      <c r="D2625" s="1"/>
      <c r="E2625" s="1"/>
      <c r="F2625" s="20"/>
      <c r="G2625" s="3"/>
      <c r="H2625" s="3"/>
      <c r="I2625" s="3"/>
      <c r="J2625" s="1"/>
      <c r="K2625" s="1"/>
      <c r="L2625" s="1"/>
      <c r="N2625" s="3"/>
    </row>
    <row r="2626" spans="1:14" x14ac:dyDescent="0.3">
      <c r="A2626" s="1"/>
      <c r="B2626" s="1"/>
      <c r="C2626" s="2"/>
      <c r="D2626" s="1"/>
      <c r="E2626" s="1"/>
      <c r="F2626" s="20"/>
      <c r="G2626" s="3"/>
      <c r="H2626" s="3"/>
      <c r="I2626" s="3"/>
      <c r="J2626" s="1"/>
      <c r="K2626" s="1"/>
      <c r="L2626" s="1"/>
      <c r="N2626" s="3"/>
    </row>
  </sheetData>
  <autoFilter ref="A1:U2529" xr:uid="{00000000-0001-0000-0000-000000000000}">
    <filterColumn colId="15">
      <filters>
        <filter val="En programación"/>
        <filter val="En programación Frcst."/>
      </filters>
    </filterColumn>
    <filterColumn colId="18">
      <filters>
        <filter val="2024/5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8FB2-9A80-4C5C-903A-8F33FC610143}">
  <dimension ref="A2:Y28"/>
  <sheetViews>
    <sheetView topLeftCell="Q7" zoomScale="130" zoomScaleNormal="130" workbookViewId="0">
      <selection activeCell="S26" sqref="S26"/>
    </sheetView>
  </sheetViews>
  <sheetFormatPr baseColWidth="10" defaultRowHeight="14.4" x14ac:dyDescent="0.3"/>
  <cols>
    <col min="18" max="18" width="29.33203125" customWidth="1"/>
    <col min="19" max="19" width="13.6640625" style="21" bestFit="1" customWidth="1"/>
  </cols>
  <sheetData>
    <row r="2" spans="1:24" x14ac:dyDescent="0.3">
      <c r="R2" s="23" t="s">
        <v>2304</v>
      </c>
      <c r="S2" s="24" t="s">
        <v>2301</v>
      </c>
    </row>
    <row r="3" spans="1:24" x14ac:dyDescent="0.3">
      <c r="R3" s="18" t="s">
        <v>2300</v>
      </c>
      <c r="S3" s="21">
        <f>SUM(Cronograma!F2:F1796)/1000000</f>
        <v>22.551242663000004</v>
      </c>
      <c r="T3" s="22">
        <f>S3-SUM(S4:S8)</f>
        <v>3.2856000000005992E-2</v>
      </c>
    </row>
    <row r="4" spans="1:24" x14ac:dyDescent="0.3">
      <c r="A4">
        <v>1</v>
      </c>
      <c r="B4" s="18" t="s">
        <v>2299</v>
      </c>
      <c r="R4" s="18" t="s">
        <v>2056</v>
      </c>
      <c r="S4" s="21">
        <f>SUMIFS(Cronograma!$F$2:$F$1796,Cronograma!$O$2:$O$1796,$R4)/1000000</f>
        <v>2.2819620929999997</v>
      </c>
    </row>
    <row r="5" spans="1:24" x14ac:dyDescent="0.3">
      <c r="A5">
        <v>2</v>
      </c>
      <c r="B5" s="18" t="s">
        <v>2305</v>
      </c>
      <c r="R5" s="18" t="s">
        <v>2303</v>
      </c>
      <c r="S5" s="21">
        <f>SUMIFS(Cronograma!$F$2:$F$1796,Cronograma!$O$2:$O$1796,$R5)/1000000</f>
        <v>15.62919937</v>
      </c>
    </row>
    <row r="6" spans="1:24" x14ac:dyDescent="0.3">
      <c r="A6">
        <v>3</v>
      </c>
      <c r="B6" s="18" t="s">
        <v>2307</v>
      </c>
      <c r="R6" s="18" t="s">
        <v>2302</v>
      </c>
      <c r="S6" s="21">
        <f>SUMIFS(Cronograma!$F$2:$F$1796,Cronograma!$O$2:$O$1796,$R6)/1000000</f>
        <v>4.6062621999999998</v>
      </c>
    </row>
    <row r="7" spans="1:24" x14ac:dyDescent="0.3">
      <c r="A7">
        <v>4</v>
      </c>
      <c r="B7" s="18" t="s">
        <v>2308</v>
      </c>
      <c r="R7" s="18" t="s">
        <v>2055</v>
      </c>
      <c r="S7" s="21">
        <f>SUMIFS(Cronograma!$F$2:$F$1796,Cronograma!$O$2:$O$1796,$R7)/1000000</f>
        <v>9.6299999999999999E-4</v>
      </c>
    </row>
    <row r="8" spans="1:24" x14ac:dyDescent="0.3">
      <c r="A8">
        <v>5</v>
      </c>
      <c r="B8" s="18" t="s">
        <v>2306</v>
      </c>
      <c r="R8" t="str">
        <f>""</f>
        <v/>
      </c>
      <c r="S8" s="21">
        <f>SUMIFS(Cronograma!$F$2:$F$1796,Cronograma!$O$2:$O$1796,$R8)/1000000</f>
        <v>0</v>
      </c>
    </row>
    <row r="10" spans="1:24" x14ac:dyDescent="0.3">
      <c r="S10" s="21">
        <f>S13-SUM(S14:S23)</f>
        <v>0</v>
      </c>
      <c r="T10" s="21">
        <f t="shared" ref="T10:W10" si="0">T13-SUM(T14:T23)</f>
        <v>0</v>
      </c>
      <c r="U10" s="21">
        <f t="shared" si="0"/>
        <v>0</v>
      </c>
      <c r="V10" s="21">
        <f t="shared" si="0"/>
        <v>0</v>
      </c>
      <c r="W10" s="21">
        <f t="shared" si="0"/>
        <v>0</v>
      </c>
    </row>
    <row r="11" spans="1:24" x14ac:dyDescent="0.3">
      <c r="T11" s="18" t="s">
        <v>66</v>
      </c>
      <c r="U11" s="18" t="s">
        <v>2058</v>
      </c>
      <c r="V11" s="18" t="s">
        <v>61</v>
      </c>
      <c r="W11" s="18" t="str">
        <f>""</f>
        <v/>
      </c>
      <c r="X11" s="21">
        <f>X13-SUM(X14:X23)</f>
        <v>0</v>
      </c>
    </row>
    <row r="12" spans="1:24" x14ac:dyDescent="0.3">
      <c r="R12" s="27" t="s">
        <v>2304</v>
      </c>
      <c r="S12" s="28" t="s">
        <v>2301</v>
      </c>
      <c r="T12" s="28" t="s">
        <v>2345</v>
      </c>
      <c r="U12" s="28" t="s">
        <v>2346</v>
      </c>
      <c r="V12" s="28"/>
      <c r="W12" s="28"/>
      <c r="X12" s="28" t="s">
        <v>2320</v>
      </c>
    </row>
    <row r="13" spans="1:24" x14ac:dyDescent="0.3">
      <c r="Q13" s="22">
        <f>S13-SUM(T13:W13)</f>
        <v>0</v>
      </c>
      <c r="R13" s="18" t="s">
        <v>2300</v>
      </c>
      <c r="S13" s="21">
        <f>SUM(Cronograma!$F$2:$F$3000)/1000000</f>
        <v>26.625167663000003</v>
      </c>
      <c r="T13" s="21">
        <f>SUMIFS(Cronograma!$F$2:$F$3000,Cronograma!$G$2:$G$3000,T$11)/1000000</f>
        <v>20.439607663000004</v>
      </c>
      <c r="U13" s="21">
        <f>SUMIFS(Cronograma!$F$2:$F$3000,Cronograma!$G$2:$G$3000,U$11)/1000000</f>
        <v>5.5815330000000003</v>
      </c>
      <c r="V13" s="21">
        <f>SUMIFS(Cronograma!$F$2:$F$3000,Cronograma!$G$2:$G$3000,V$11)/1000000</f>
        <v>0</v>
      </c>
      <c r="W13" s="21">
        <f>SUMIFS(Cronograma!$F$2:$F$3000,Cronograma!$G$2:$G$3000,W$11)/1000000</f>
        <v>0.60402699999999998</v>
      </c>
      <c r="X13" s="21">
        <f>COUNTA(Cronograma!$A$2:$A$3000)</f>
        <v>2528</v>
      </c>
    </row>
    <row r="14" spans="1:24" x14ac:dyDescent="0.3">
      <c r="B14" t="s">
        <v>2421</v>
      </c>
      <c r="Q14" s="22">
        <f t="shared" ref="Q14:Q23" si="1">S14-SUM(T14:W14)</f>
        <v>0</v>
      </c>
      <c r="R14" s="29" t="s">
        <v>2309</v>
      </c>
      <c r="S14" s="30">
        <f>SUMIFS(Cronograma!$F$2:$F$3000,Cronograma!$P$2:$P$3000,$R14)/1000000</f>
        <v>7.9724621999999998</v>
      </c>
      <c r="T14" s="30">
        <f>SUMIFS(Cronograma!$F$2:$F$3000,Cronograma!$P$2:$P$3000,$R14,Cronograma!$G$2:$G$3000,T$11)/1000000</f>
        <v>7.9210232000000005</v>
      </c>
      <c r="U14" s="30">
        <f>SUMIFS(Cronograma!$F$2:$F$3000,Cronograma!$P$2:$P$3000,$R14,Cronograma!$G$2:$G$3000,U$11)/1000000</f>
        <v>5.1438999999999999E-2</v>
      </c>
      <c r="V14" s="30">
        <f>SUMIFS(Cronograma!$F$2:$F$3000,Cronograma!$P$2:$P$3000,$R14,Cronograma!$G$2:$G$3000,V$11)/1000000</f>
        <v>0</v>
      </c>
      <c r="W14" s="30">
        <f>SUMIFS(Cronograma!$F$2:$F$3000,Cronograma!$P$2:$P$3000,$R14,Cronograma!$G$2:$G$3000,W$11)/1000000</f>
        <v>0</v>
      </c>
      <c r="X14" s="30">
        <f>COUNTIF(Cronograma!$P$2:$P$3000,$R14)</f>
        <v>779</v>
      </c>
    </row>
    <row r="15" spans="1:24" x14ac:dyDescent="0.3">
      <c r="B15" t="s">
        <v>2422</v>
      </c>
      <c r="Q15" s="22">
        <f t="shared" si="1"/>
        <v>0</v>
      </c>
      <c r="R15" s="29" t="s">
        <v>2317</v>
      </c>
      <c r="S15" s="30">
        <f>SUMIFS(Cronograma!$F$2:$F$3000,Cronograma!$P$2:$P$3000,$R15)/1000000</f>
        <v>8.054157</v>
      </c>
      <c r="T15" s="30">
        <f>SUMIFS(Cronograma!$F$2:$F$3000,Cronograma!$P$2:$P$3000,$R15,Cronograma!$G$2:$G$3000,T$11)/1000000</f>
        <v>3.5643470000000002</v>
      </c>
      <c r="U15" s="30">
        <f>SUMIFS(Cronograma!$F$2:$F$3000,Cronograma!$P$2:$P$3000,$R15,Cronograma!$G$2:$G$3000,U$11)/1000000</f>
        <v>4.4898100000000003</v>
      </c>
      <c r="V15" s="30">
        <f>SUMIFS(Cronograma!$F$2:$F$3000,Cronograma!$P$2:$P$3000,$R15,Cronograma!$G$2:$G$3000,V$11)/1000000</f>
        <v>0</v>
      </c>
      <c r="W15" s="30">
        <f>SUMIFS(Cronograma!$F$2:$F$3000,Cronograma!$P$2:$P$3000,$R15,Cronograma!$G$2:$G$3000,W$11)/1000000</f>
        <v>0</v>
      </c>
      <c r="X15" s="30">
        <f>COUNTIF(Cronograma!$P$2:$P$3000,$R15)</f>
        <v>673</v>
      </c>
    </row>
    <row r="16" spans="1:24" x14ac:dyDescent="0.3">
      <c r="Q16" s="22">
        <f t="shared" si="1"/>
        <v>0</v>
      </c>
      <c r="R16" s="18" t="s">
        <v>2310</v>
      </c>
      <c r="S16" s="21">
        <f>SUMIFS(Cronograma!$F$2:$F$3000,Cronograma!$P$2:$P$3000,$R16)/1000000</f>
        <v>2.2819620929999997</v>
      </c>
      <c r="T16" s="21">
        <f>SUMIFS(Cronograma!$F$2:$F$3000,Cronograma!$P$2:$P$3000,$R16,Cronograma!$G$2:$G$3000,T$11)/1000000</f>
        <v>2.209764093</v>
      </c>
      <c r="U16" s="21">
        <f>SUMIFS(Cronograma!$F$2:$F$3000,Cronograma!$P$2:$P$3000,$R16,Cronograma!$G$2:$G$3000,U$11)/1000000</f>
        <v>7.2197999999999998E-2</v>
      </c>
      <c r="V16" s="21">
        <f>SUMIFS(Cronograma!$F$2:$F$3000,Cronograma!$P$2:$P$3000,$R16,Cronograma!$G$2:$G$3000,V$11)/1000000</f>
        <v>0</v>
      </c>
      <c r="W16" s="21">
        <f>SUMIFS(Cronograma!$F$2:$F$3000,Cronograma!$P$2:$P$3000,$R16,Cronograma!$G$2:$G$3000,W$11)/1000000</f>
        <v>0</v>
      </c>
      <c r="X16" s="21">
        <f>COUNTIF(Cronograma!$P$2:$P$3000,$R16)</f>
        <v>185</v>
      </c>
    </row>
    <row r="17" spans="2:25" x14ac:dyDescent="0.3">
      <c r="Q17" s="22">
        <f t="shared" si="1"/>
        <v>0</v>
      </c>
      <c r="R17" s="31" t="s">
        <v>2311</v>
      </c>
      <c r="S17" s="32">
        <f>SUMIFS(Cronograma!$F$2:$F$3000,Cronograma!$P$2:$P$3000,$R17)/1000000</f>
        <v>0</v>
      </c>
      <c r="T17" s="32">
        <f>SUMIFS(Cronograma!$F$2:$F$3000,Cronograma!$P$2:$P$3000,$R17,Cronograma!$G$2:$G$3000,T$11)/1000000</f>
        <v>0</v>
      </c>
      <c r="U17" s="32">
        <f>SUMIFS(Cronograma!$F$2:$F$3000,Cronograma!$P$2:$P$3000,$R17,Cronograma!$G$2:$G$3000,U$11)/1000000</f>
        <v>0</v>
      </c>
      <c r="V17" s="32">
        <f>SUMIFS(Cronograma!$F$2:$F$3000,Cronograma!$P$2:$P$3000,$R17,Cronograma!$G$2:$G$3000,V$11)/1000000</f>
        <v>0</v>
      </c>
      <c r="W17" s="32">
        <f>SUMIFS(Cronograma!$F$2:$F$3000,Cronograma!$P$2:$P$3000,$R17,Cronograma!$G$2:$G$3000,W$11)/1000000</f>
        <v>0</v>
      </c>
      <c r="X17" s="32">
        <f>COUNTIF(Cronograma!$P$2:$P$3000,$R17)</f>
        <v>0</v>
      </c>
    </row>
    <row r="18" spans="2:25" x14ac:dyDescent="0.3">
      <c r="Q18" s="22">
        <f t="shared" si="1"/>
        <v>0</v>
      </c>
      <c r="R18" s="18" t="s">
        <v>2312</v>
      </c>
      <c r="S18" s="21">
        <f>SUMIFS(Cronograma!$F$2:$F$3000,Cronograma!$P$2:$P$3000,$R18)/1000000</f>
        <v>0</v>
      </c>
      <c r="T18" s="21">
        <f>SUMIFS(Cronograma!$F$2:$F$3000,Cronograma!$P$2:$P$3000,$R18,Cronograma!$G$2:$G$3000,T$11)/1000000</f>
        <v>0</v>
      </c>
      <c r="U18" s="21">
        <f>SUMIFS(Cronograma!$F$2:$F$3000,Cronograma!$P$2:$P$3000,$R18,Cronograma!$G$2:$G$3000,U$11)/1000000</f>
        <v>0</v>
      </c>
      <c r="V18" s="21">
        <f>SUMIFS(Cronograma!$F$2:$F$3000,Cronograma!$P$2:$P$3000,$R18,Cronograma!$G$2:$G$3000,V$11)/1000000</f>
        <v>0</v>
      </c>
      <c r="W18" s="21">
        <f>SUMIFS(Cronograma!$F$2:$F$3000,Cronograma!$P$2:$P$3000,$R18,Cronograma!$G$2:$G$3000,W$11)/1000000</f>
        <v>0</v>
      </c>
      <c r="X18" s="21">
        <f>COUNTIF(Cronograma!$P$2:$P$3000,$R18)</f>
        <v>0</v>
      </c>
    </row>
    <row r="19" spans="2:25" x14ac:dyDescent="0.3">
      <c r="Q19" s="22">
        <f t="shared" si="1"/>
        <v>0</v>
      </c>
      <c r="R19" s="18" t="s">
        <v>2313</v>
      </c>
      <c r="S19" s="21">
        <f>SUMIFS(Cronograma!$F$2:$F$3000,Cronograma!$P$2:$P$3000,$R19)/1000000</f>
        <v>0</v>
      </c>
      <c r="T19" s="21">
        <f>SUMIFS(Cronograma!$F$2:$F$3000,Cronograma!$P$2:$P$3000,$R19,Cronograma!$G$2:$G$3000,T$11)/1000000</f>
        <v>0</v>
      </c>
      <c r="U19" s="21">
        <f>SUMIFS(Cronograma!$F$2:$F$3000,Cronograma!$P$2:$P$3000,$R19,Cronograma!$G$2:$G$3000,U$11)/1000000</f>
        <v>0</v>
      </c>
      <c r="V19" s="21">
        <f>SUMIFS(Cronograma!$F$2:$F$3000,Cronograma!$P$2:$P$3000,$R19,Cronograma!$G$2:$G$3000,V$11)/1000000</f>
        <v>0</v>
      </c>
      <c r="W19" s="21">
        <f>SUMIFS(Cronograma!$F$2:$F$3000,Cronograma!$P$2:$P$3000,$R19,Cronograma!$G$2:$G$3000,W$11)/1000000</f>
        <v>0</v>
      </c>
      <c r="X19" s="21">
        <f>COUNTIF(Cronograma!$P$2:$P$3000,$R19)</f>
        <v>0</v>
      </c>
    </row>
    <row r="20" spans="2:25" x14ac:dyDescent="0.3">
      <c r="B20" t="s">
        <v>2156</v>
      </c>
      <c r="F20" t="s">
        <v>2423</v>
      </c>
      <c r="Q20" s="22">
        <f t="shared" si="1"/>
        <v>0</v>
      </c>
      <c r="R20" s="31" t="s">
        <v>2314</v>
      </c>
      <c r="S20" s="32">
        <f>SUMIFS(Cronograma!$F$2:$F$3000,Cronograma!$P$2:$P$3000,$R20)/1000000</f>
        <v>9.6299999999999999E-4</v>
      </c>
      <c r="T20" s="32">
        <f>SUMIFS(Cronograma!$F$2:$F$3000,Cronograma!$P$2:$P$3000,$R20,Cronograma!$G$2:$G$3000,T$11)/1000000</f>
        <v>9.6299999999999999E-4</v>
      </c>
      <c r="U20" s="32">
        <f>SUMIFS(Cronograma!$F$2:$F$3000,Cronograma!$P$2:$P$3000,$R20,Cronograma!$G$2:$G$3000,U$11)/1000000</f>
        <v>0</v>
      </c>
      <c r="V20" s="32">
        <f>SUMIFS(Cronograma!$F$2:$F$3000,Cronograma!$P$2:$P$3000,$R20,Cronograma!$G$2:$G$3000,V$11)/1000000</f>
        <v>0</v>
      </c>
      <c r="W20" s="32">
        <f>SUMIFS(Cronograma!$F$2:$F$3000,Cronograma!$P$2:$P$3000,$R20,Cronograma!$G$2:$G$3000,W$11)/1000000</f>
        <v>0</v>
      </c>
      <c r="X20" s="32">
        <f>COUNTIF(Cronograma!$P$2:$P$3000,$R20)</f>
        <v>1</v>
      </c>
    </row>
    <row r="21" spans="2:25" x14ac:dyDescent="0.3">
      <c r="Q21" s="22">
        <f t="shared" si="1"/>
        <v>0</v>
      </c>
      <c r="R21" s="31" t="s">
        <v>2318</v>
      </c>
      <c r="S21" s="32">
        <f>SUMIFS(Cronograma!$F$2:$F$3000,Cronograma!$P$2:$P$3000,$R21)/1000000</f>
        <v>0.82102900000000001</v>
      </c>
      <c r="T21" s="32">
        <f>SUMIFS(Cronograma!$F$2:$F$3000,Cronograma!$P$2:$P$3000,$R21,Cronograma!$G$2:$G$3000,T$11)/1000000</f>
        <v>0.217002</v>
      </c>
      <c r="U21" s="32">
        <f>SUMIFS(Cronograma!$F$2:$F$3000,Cronograma!$P$2:$P$3000,$R21,Cronograma!$G$2:$G$3000,U$11)/1000000</f>
        <v>0</v>
      </c>
      <c r="V21" s="32">
        <f>SUMIFS(Cronograma!$F$2:$F$3000,Cronograma!$P$2:$P$3000,$R21,Cronograma!$G$2:$G$3000,V$11)/1000000</f>
        <v>0</v>
      </c>
      <c r="W21" s="32">
        <f>SUMIFS(Cronograma!$F$2:$F$3000,Cronograma!$P$2:$P$3000,$R21,Cronograma!$G$2:$G$3000,W$11)/1000000</f>
        <v>0.60402699999999998</v>
      </c>
      <c r="X21" s="32">
        <f>COUNTIF(Cronograma!$P$2:$P$3000,$R21)</f>
        <v>142</v>
      </c>
      <c r="Y21" s="60" t="s">
        <v>3490</v>
      </c>
    </row>
    <row r="22" spans="2:25" x14ac:dyDescent="0.3">
      <c r="Q22" s="22">
        <f t="shared" si="1"/>
        <v>0</v>
      </c>
      <c r="R22" s="31" t="s">
        <v>2321</v>
      </c>
      <c r="S22" s="32">
        <f>SUMIFS(Cronograma!$F$2:$F$3000,Cronograma!$P$2:$P$3000,$R22)/1000000</f>
        <v>7.4945943699999997</v>
      </c>
      <c r="T22" s="32">
        <f>SUMIFS(Cronograma!$F$2:$F$3000,Cronograma!$P$2:$P$3000,$R22,Cronograma!$G$2:$G$3000,T$11)/1000000</f>
        <v>6.5265083700000002</v>
      </c>
      <c r="U22" s="32">
        <f>SUMIFS(Cronograma!$F$2:$F$3000,Cronograma!$P$2:$P$3000,$R22,Cronograma!$G$2:$G$3000,U$11)/1000000</f>
        <v>0.968086</v>
      </c>
      <c r="V22" s="32">
        <f>SUMIFS(Cronograma!$F$2:$F$3000,Cronograma!$P$2:$P$3000,$R22,Cronograma!$G$2:$G$3000,V$11)/1000000</f>
        <v>0</v>
      </c>
      <c r="W22" s="32">
        <f>SUMIFS(Cronograma!$F$2:$F$3000,Cronograma!$P$2:$P$3000,$R22,Cronograma!$G$2:$G$3000,W$11)/1000000</f>
        <v>0</v>
      </c>
      <c r="X22" s="32">
        <f>COUNTIF(Cronograma!$P$2:$P$3000,$R22)</f>
        <v>748</v>
      </c>
      <c r="Y22" t="s">
        <v>3308</v>
      </c>
    </row>
    <row r="23" spans="2:25" x14ac:dyDescent="0.3">
      <c r="Q23" s="22">
        <f t="shared" si="1"/>
        <v>0</v>
      </c>
      <c r="R23" s="31" t="s">
        <v>2319</v>
      </c>
      <c r="S23" s="32">
        <f>SUMIFS(Cronograma!$F$2:$F$3000,Cronograma!$P$2:$P$3000,$R23)/1000000</f>
        <v>0</v>
      </c>
      <c r="T23" s="32">
        <f>SUMIFS(Cronograma!$F$2:$F$3000,Cronograma!$P$2:$P$3000,$R23,Cronograma!$G$2:$G$3000,T$11)/1000000</f>
        <v>0</v>
      </c>
      <c r="U23" s="32">
        <f>SUMIFS(Cronograma!$F$2:$F$3000,Cronograma!$P$2:$P$3000,$R23,Cronograma!$G$2:$G$3000,U$11)/1000000</f>
        <v>0</v>
      </c>
      <c r="V23" s="32">
        <f>SUMIFS(Cronograma!$F$2:$F$3000,Cronograma!$P$2:$P$3000,$R23,Cronograma!$G$2:$G$3000,V$11)/1000000</f>
        <v>0</v>
      </c>
      <c r="W23" s="32">
        <f>SUMIFS(Cronograma!$F$2:$F$3000,Cronograma!$P$2:$P$3000,$R23,Cronograma!$G$2:$G$3000,W$11)/1000000</f>
        <v>0</v>
      </c>
      <c r="X23" s="32">
        <f>COUNTIF(Cronograma!$P$2:$P$3000,$R23)</f>
        <v>0</v>
      </c>
      <c r="Y23" s="60" t="s">
        <v>3489</v>
      </c>
    </row>
    <row r="24" spans="2:25" x14ac:dyDescent="0.3">
      <c r="T24" s="21"/>
      <c r="U24" s="21"/>
      <c r="V24" s="21"/>
      <c r="W24" s="21"/>
      <c r="X24" s="21"/>
    </row>
    <row r="25" spans="2:25" x14ac:dyDescent="0.3">
      <c r="T25" s="21"/>
      <c r="U25" s="21"/>
      <c r="V25" s="21"/>
      <c r="W25" s="21"/>
      <c r="X25" s="21"/>
    </row>
    <row r="26" spans="2:25" x14ac:dyDescent="0.3">
      <c r="Q26" s="22">
        <f>S26-SUM(T26:W26)</f>
        <v>0</v>
      </c>
      <c r="R26" s="29" t="s">
        <v>2322</v>
      </c>
      <c r="S26" s="30">
        <f>S14+S15</f>
        <v>16.026619199999999</v>
      </c>
      <c r="T26" s="30">
        <f t="shared" ref="T26:W26" si="2">T14+T15</f>
        <v>11.4853702</v>
      </c>
      <c r="U26" s="30">
        <f t="shared" si="2"/>
        <v>4.5412490000000005</v>
      </c>
      <c r="V26" s="30">
        <f t="shared" si="2"/>
        <v>0</v>
      </c>
      <c r="W26" s="30">
        <f t="shared" si="2"/>
        <v>0</v>
      </c>
      <c r="X26" s="30">
        <f>X14+X15</f>
        <v>1452</v>
      </c>
    </row>
    <row r="27" spans="2:25" x14ac:dyDescent="0.3">
      <c r="Q27" s="22">
        <f t="shared" ref="Q27:Q28" si="3">S27-SUM(T27:W27)</f>
        <v>0</v>
      </c>
      <c r="R27" s="31" t="s">
        <v>2323</v>
      </c>
      <c r="S27" s="32">
        <f>S17+S20+S21+S22-S22+S23</f>
        <v>0.82199199999999983</v>
      </c>
      <c r="T27" s="32">
        <f>T17+T20+T21+T22-T22+T23</f>
        <v>0.21796500000000041</v>
      </c>
      <c r="U27" s="32">
        <f>U17+U20+U21+U22-U22+U23</f>
        <v>0</v>
      </c>
      <c r="V27" s="32">
        <f t="shared" ref="V27:W27" si="4">V17+V20+V21+V22+V23</f>
        <v>0</v>
      </c>
      <c r="W27" s="32">
        <f t="shared" si="4"/>
        <v>0.60402699999999998</v>
      </c>
      <c r="X27" s="32">
        <f>X17+X20+X21+X22+X23</f>
        <v>891</v>
      </c>
    </row>
    <row r="28" spans="2:25" x14ac:dyDescent="0.3">
      <c r="Q28" s="22">
        <f t="shared" si="3"/>
        <v>0</v>
      </c>
      <c r="R28" s="33" t="s">
        <v>2324</v>
      </c>
      <c r="S28" s="34">
        <f>+S26+S27</f>
        <v>16.848611200000001</v>
      </c>
      <c r="T28" s="34">
        <f t="shared" ref="T28:W28" si="5">+T26+T27</f>
        <v>11.703335200000001</v>
      </c>
      <c r="U28" s="34">
        <f t="shared" si="5"/>
        <v>4.5412490000000005</v>
      </c>
      <c r="V28" s="34">
        <f t="shared" si="5"/>
        <v>0</v>
      </c>
      <c r="W28" s="34">
        <f t="shared" si="5"/>
        <v>0.60402699999999998</v>
      </c>
      <c r="X28" s="34">
        <f>+X26+X27</f>
        <v>2343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DDB35-4D18-4981-BC73-D5007E9B2259}">
  <dimension ref="A1:AK32"/>
  <sheetViews>
    <sheetView tabSelected="1" workbookViewId="0">
      <selection activeCell="B21" sqref="B21"/>
    </sheetView>
  </sheetViews>
  <sheetFormatPr baseColWidth="10" defaultColWidth="8.88671875" defaultRowHeight="14.4" x14ac:dyDescent="0.3"/>
  <cols>
    <col min="1" max="1" width="18" style="11" bestFit="1" customWidth="1"/>
    <col min="2" max="19" width="14.88671875" style="21" customWidth="1"/>
    <col min="20" max="21" width="16.5546875" customWidth="1"/>
    <col min="22" max="22" width="10.33203125" customWidth="1"/>
    <col min="23" max="23" width="10.44140625" customWidth="1"/>
    <col min="24" max="25" width="10.109375" customWidth="1"/>
    <col min="26" max="27" width="15.6640625" customWidth="1"/>
    <col min="28" max="31" width="15.33203125" customWidth="1"/>
    <col min="32" max="32" width="12.33203125" customWidth="1"/>
    <col min="33" max="37" width="11.33203125" customWidth="1"/>
  </cols>
  <sheetData>
    <row r="1" spans="1:37" s="35" customFormat="1" ht="57.6" x14ac:dyDescent="0.3">
      <c r="A1" s="38" t="s">
        <v>2327</v>
      </c>
      <c r="B1" s="36" t="s">
        <v>2328</v>
      </c>
      <c r="C1" s="36" t="s">
        <v>2329</v>
      </c>
      <c r="D1" s="37" t="s">
        <v>2330</v>
      </c>
      <c r="E1" s="37" t="s">
        <v>2331</v>
      </c>
      <c r="F1" s="36" t="s">
        <v>2332</v>
      </c>
      <c r="G1" s="36" t="s">
        <v>2333</v>
      </c>
      <c r="H1" s="36" t="s">
        <v>2334</v>
      </c>
      <c r="I1" s="36" t="s">
        <v>2335</v>
      </c>
      <c r="J1" s="41" t="s">
        <v>2337</v>
      </c>
      <c r="K1" s="41" t="s">
        <v>2338</v>
      </c>
      <c r="L1" s="42" t="s">
        <v>2336</v>
      </c>
      <c r="M1" s="42" t="s">
        <v>2339</v>
      </c>
      <c r="N1" s="45" t="s">
        <v>2415</v>
      </c>
      <c r="O1" s="45" t="s">
        <v>2416</v>
      </c>
      <c r="P1" s="36" t="s">
        <v>2341</v>
      </c>
      <c r="Q1" s="36" t="s">
        <v>2340</v>
      </c>
      <c r="R1" s="36" t="s">
        <v>2343</v>
      </c>
      <c r="S1" s="36" t="s">
        <v>2344</v>
      </c>
      <c r="T1" s="36" t="s">
        <v>2413</v>
      </c>
      <c r="U1" s="36" t="s">
        <v>2414</v>
      </c>
      <c r="V1" s="36" t="s">
        <v>2850</v>
      </c>
      <c r="W1" s="36" t="s">
        <v>2851</v>
      </c>
      <c r="X1" s="36" t="s">
        <v>2852</v>
      </c>
      <c r="Y1" s="36" t="s">
        <v>2853</v>
      </c>
      <c r="Z1" s="57" t="s">
        <v>2919</v>
      </c>
      <c r="AA1" s="57" t="s">
        <v>2920</v>
      </c>
      <c r="AB1" s="51" t="s">
        <v>2856</v>
      </c>
      <c r="AC1" s="51" t="s">
        <v>2857</v>
      </c>
      <c r="AD1" s="52" t="s">
        <v>2858</v>
      </c>
      <c r="AE1" s="52" t="s">
        <v>2859</v>
      </c>
      <c r="AF1" s="41" t="s">
        <v>2854</v>
      </c>
      <c r="AG1" s="41" t="s">
        <v>2855</v>
      </c>
      <c r="AH1" s="53" t="s">
        <v>2891</v>
      </c>
      <c r="AI1" s="53" t="s">
        <v>2892</v>
      </c>
      <c r="AJ1" s="55" t="s">
        <v>2893</v>
      </c>
      <c r="AK1" s="55" t="s">
        <v>2894</v>
      </c>
    </row>
    <row r="2" spans="1:37" x14ac:dyDescent="0.3">
      <c r="A2" s="39">
        <v>44774</v>
      </c>
      <c r="B2" s="21">
        <v>9.8982300000000014E-4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N2" s="46"/>
      <c r="O2" s="46"/>
      <c r="T2" s="47"/>
      <c r="U2" s="47"/>
      <c r="V2" s="47">
        <v>0.13016</v>
      </c>
      <c r="W2" s="47">
        <v>0</v>
      </c>
      <c r="X2" s="47">
        <v>885</v>
      </c>
      <c r="Y2" s="47">
        <v>4000</v>
      </c>
      <c r="Z2" s="47">
        <f>F2/1.1</f>
        <v>0</v>
      </c>
      <c r="AA2" s="47">
        <f>G2/1.1</f>
        <v>0</v>
      </c>
      <c r="AB2" s="47">
        <f>(B2+SUM(R2:R$19))</f>
        <v>9.8982300000000014E-4</v>
      </c>
      <c r="AC2" s="47">
        <f>(C2+SUM(S2:S$19))</f>
        <v>0</v>
      </c>
      <c r="AD2" s="47">
        <f t="shared" ref="AD2:AD18" si="0">AB2*$X2/$Y2</f>
        <v>2.1899833875000001E-4</v>
      </c>
      <c r="AE2" s="47">
        <f t="shared" ref="AE2:AE18" si="1">AC2*$X2/$Y2</f>
        <v>0</v>
      </c>
      <c r="AF2" s="47">
        <f>AH2*X2*Y2/1000000</f>
        <v>61.95</v>
      </c>
      <c r="AG2" s="47">
        <f t="shared" ref="AG2:AG17" si="2">AG3</f>
        <v>0.62881578947368411</v>
      </c>
      <c r="AH2" s="47">
        <v>17.5</v>
      </c>
      <c r="AI2" s="47">
        <f t="shared" ref="AI2:AI18" si="3">AG2/($X2/$Y2)</f>
        <v>2.8421052631578942</v>
      </c>
      <c r="AJ2" s="47">
        <f t="shared" ref="AJ2:AJ18" si="4">F2*$X2/$Y2</f>
        <v>0</v>
      </c>
      <c r="AK2" s="47">
        <f t="shared" ref="AK2:AK29" si="5">G2*$X2/$Y2</f>
        <v>0</v>
      </c>
    </row>
    <row r="3" spans="1:37" x14ac:dyDescent="0.3">
      <c r="A3" s="39">
        <v>44805</v>
      </c>
      <c r="B3" s="21">
        <v>1.6188932E-2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N3" s="46"/>
      <c r="O3" s="46"/>
      <c r="T3" s="47"/>
      <c r="U3" s="47"/>
      <c r="V3" s="47">
        <v>0.30563600000000002</v>
      </c>
      <c r="W3" s="47">
        <v>0</v>
      </c>
      <c r="X3" s="47">
        <v>885</v>
      </c>
      <c r="Y3" s="47">
        <v>4000</v>
      </c>
      <c r="Z3" s="47">
        <f t="shared" ref="Z3:Z30" si="6">F3/1.1</f>
        <v>0</v>
      </c>
      <c r="AA3" s="47">
        <f t="shared" ref="AA3:AA30" si="7">G3/1.1</f>
        <v>0</v>
      </c>
      <c r="AB3" s="47">
        <f>(B3+SUM(R3:R$19))</f>
        <v>1.6188932E-2</v>
      </c>
      <c r="AC3" s="47">
        <f>(C3+SUM(S3:S$19))</f>
        <v>0</v>
      </c>
      <c r="AD3" s="47">
        <f t="shared" si="0"/>
        <v>3.581801205E-3</v>
      </c>
      <c r="AE3" s="47">
        <f t="shared" si="1"/>
        <v>0</v>
      </c>
      <c r="AF3" s="47">
        <f t="shared" ref="AF3:AF17" si="8">AF4</f>
        <v>4.3711842105263159</v>
      </c>
      <c r="AG3" s="47">
        <f t="shared" si="2"/>
        <v>0.62881578947368411</v>
      </c>
      <c r="AH3" s="47">
        <v>17.5</v>
      </c>
      <c r="AI3" s="47">
        <f t="shared" si="3"/>
        <v>2.8421052631578942</v>
      </c>
      <c r="AJ3" s="47">
        <f t="shared" si="4"/>
        <v>0</v>
      </c>
      <c r="AK3" s="47">
        <f t="shared" si="5"/>
        <v>0</v>
      </c>
    </row>
    <row r="4" spans="1:37" x14ac:dyDescent="0.3">
      <c r="A4" s="39">
        <v>44835</v>
      </c>
      <c r="B4" s="21">
        <v>0.19064239299999999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N4" s="46"/>
      <c r="O4" s="46"/>
      <c r="T4" s="47"/>
      <c r="U4" s="47"/>
      <c r="V4" s="47">
        <v>0.95151300000000005</v>
      </c>
      <c r="W4" s="47">
        <v>0</v>
      </c>
      <c r="X4" s="47">
        <v>885</v>
      </c>
      <c r="Y4" s="47">
        <v>4000</v>
      </c>
      <c r="Z4" s="47">
        <f t="shared" si="6"/>
        <v>0</v>
      </c>
      <c r="AA4" s="47">
        <f t="shared" si="7"/>
        <v>0</v>
      </c>
      <c r="AB4" s="47">
        <f>(B4+SUM(R4:R$19))</f>
        <v>0.19064239299999999</v>
      </c>
      <c r="AC4" s="47">
        <f>(C4+SUM(S4:S$19))</f>
        <v>0</v>
      </c>
      <c r="AD4" s="47">
        <f t="shared" si="0"/>
        <v>4.2179629451249999E-2</v>
      </c>
      <c r="AE4" s="47">
        <f t="shared" si="1"/>
        <v>0</v>
      </c>
      <c r="AF4" s="47">
        <f t="shared" si="8"/>
        <v>4.3711842105263159</v>
      </c>
      <c r="AG4" s="47">
        <f t="shared" si="2"/>
        <v>0.62881578947368411</v>
      </c>
      <c r="AH4" s="47">
        <v>17.5</v>
      </c>
      <c r="AI4" s="47">
        <f t="shared" si="3"/>
        <v>2.8421052631578942</v>
      </c>
      <c r="AJ4" s="47">
        <f t="shared" si="4"/>
        <v>0</v>
      </c>
      <c r="AK4" s="47">
        <f t="shared" si="5"/>
        <v>0</v>
      </c>
    </row>
    <row r="5" spans="1:37" x14ac:dyDescent="0.3">
      <c r="A5" s="39">
        <v>44866</v>
      </c>
      <c r="B5" s="21">
        <v>0.881737098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N5" s="46"/>
      <c r="O5" s="46"/>
      <c r="T5" s="47"/>
      <c r="U5" s="47"/>
      <c r="V5" s="47">
        <v>1.2448920000000001</v>
      </c>
      <c r="W5" s="47">
        <v>0</v>
      </c>
      <c r="X5" s="47">
        <v>885</v>
      </c>
      <c r="Y5" s="47">
        <v>4000</v>
      </c>
      <c r="Z5" s="47">
        <f t="shared" si="6"/>
        <v>0</v>
      </c>
      <c r="AA5" s="47">
        <f t="shared" si="7"/>
        <v>0</v>
      </c>
      <c r="AB5" s="47">
        <f>(B5+SUM(R5:R$19))</f>
        <v>0.881737098</v>
      </c>
      <c r="AC5" s="47">
        <f>(C5+SUM(S5:S$19))</f>
        <v>0</v>
      </c>
      <c r="AD5" s="47">
        <f t="shared" si="0"/>
        <v>0.19508433293249999</v>
      </c>
      <c r="AE5" s="47">
        <f t="shared" si="1"/>
        <v>0</v>
      </c>
      <c r="AF5" s="47">
        <f t="shared" si="8"/>
        <v>4.3711842105263159</v>
      </c>
      <c r="AG5" s="47">
        <f t="shared" si="2"/>
        <v>0.62881578947368411</v>
      </c>
      <c r="AH5" s="47">
        <v>17.5</v>
      </c>
      <c r="AI5" s="47">
        <f t="shared" si="3"/>
        <v>2.8421052631578942</v>
      </c>
      <c r="AJ5" s="47">
        <f t="shared" si="4"/>
        <v>0</v>
      </c>
      <c r="AK5" s="47">
        <f t="shared" si="5"/>
        <v>0</v>
      </c>
    </row>
    <row r="6" spans="1:37" x14ac:dyDescent="0.3">
      <c r="A6" s="39">
        <v>44896</v>
      </c>
      <c r="B6" s="21">
        <v>0.98614758368079991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N6" s="46"/>
      <c r="O6" s="46"/>
      <c r="T6" s="47"/>
      <c r="U6" s="47"/>
      <c r="V6" s="47">
        <v>1.8142840000000002</v>
      </c>
      <c r="W6" s="47">
        <v>0</v>
      </c>
      <c r="X6" s="47">
        <v>885</v>
      </c>
      <c r="Y6" s="47">
        <v>4000</v>
      </c>
      <c r="Z6" s="47">
        <f t="shared" si="6"/>
        <v>0</v>
      </c>
      <c r="AA6" s="47">
        <f t="shared" si="7"/>
        <v>0</v>
      </c>
      <c r="AB6" s="47">
        <f>(B6+SUM(R6:R$19))</f>
        <v>0.98614758368079991</v>
      </c>
      <c r="AC6" s="47">
        <f>(C6+SUM(S6:S$19))</f>
        <v>0</v>
      </c>
      <c r="AD6" s="47">
        <f t="shared" si="0"/>
        <v>0.21818515288937698</v>
      </c>
      <c r="AE6" s="47">
        <f t="shared" si="1"/>
        <v>0</v>
      </c>
      <c r="AF6" s="47">
        <f t="shared" si="8"/>
        <v>4.3711842105263159</v>
      </c>
      <c r="AG6" s="47">
        <f t="shared" si="2"/>
        <v>0.62881578947368411</v>
      </c>
      <c r="AH6" s="47">
        <v>17.5</v>
      </c>
      <c r="AI6" s="47">
        <f t="shared" si="3"/>
        <v>2.8421052631578942</v>
      </c>
      <c r="AJ6" s="47">
        <f t="shared" si="4"/>
        <v>0</v>
      </c>
      <c r="AK6" s="47">
        <f t="shared" si="5"/>
        <v>0</v>
      </c>
    </row>
    <row r="7" spans="1:37" x14ac:dyDescent="0.3">
      <c r="A7" s="39">
        <v>44927</v>
      </c>
      <c r="B7" s="21">
        <v>0.98886907000000002</v>
      </c>
      <c r="C7" s="21">
        <v>0.31773985999999999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N7" s="46"/>
      <c r="O7" s="46"/>
      <c r="T7" s="47"/>
      <c r="U7" s="47"/>
      <c r="V7" s="47">
        <v>2.0325920000000002</v>
      </c>
      <c r="W7" s="47">
        <v>0</v>
      </c>
      <c r="X7" s="47">
        <v>885</v>
      </c>
      <c r="Y7" s="47">
        <v>4000</v>
      </c>
      <c r="Z7" s="47">
        <f t="shared" si="6"/>
        <v>0</v>
      </c>
      <c r="AA7" s="47">
        <f t="shared" si="7"/>
        <v>0</v>
      </c>
      <c r="AB7" s="47">
        <f>(B7+SUM(R7:R$19))</f>
        <v>0.98886907000000002</v>
      </c>
      <c r="AC7" s="47">
        <f>(C7+SUM(S7:S$19))</f>
        <v>0.31773985999999999</v>
      </c>
      <c r="AD7" s="47">
        <f t="shared" si="0"/>
        <v>0.21878728173750001</v>
      </c>
      <c r="AE7" s="47">
        <f t="shared" si="1"/>
        <v>7.0299944025000005E-2</v>
      </c>
      <c r="AF7" s="47">
        <f t="shared" si="8"/>
        <v>4.3711842105263159</v>
      </c>
      <c r="AG7" s="47">
        <f t="shared" si="2"/>
        <v>0.62881578947368411</v>
      </c>
      <c r="AH7" s="47">
        <v>17.5</v>
      </c>
      <c r="AI7" s="47">
        <f t="shared" si="3"/>
        <v>2.8421052631578942</v>
      </c>
      <c r="AJ7" s="47">
        <f t="shared" si="4"/>
        <v>0</v>
      </c>
      <c r="AK7" s="47">
        <f t="shared" si="5"/>
        <v>0</v>
      </c>
    </row>
    <row r="8" spans="1:37" x14ac:dyDescent="0.3">
      <c r="A8" s="39">
        <v>44958</v>
      </c>
      <c r="B8" s="21">
        <v>1.146622864</v>
      </c>
      <c r="C8" s="21">
        <v>0.39667599999999997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N8" s="46"/>
      <c r="O8" s="46"/>
      <c r="T8" s="47"/>
      <c r="U8" s="47"/>
      <c r="V8" s="47">
        <v>3.113289</v>
      </c>
      <c r="W8" s="47">
        <v>0</v>
      </c>
      <c r="X8" s="47">
        <v>885</v>
      </c>
      <c r="Y8" s="47">
        <v>4000</v>
      </c>
      <c r="Z8" s="47">
        <f t="shared" si="6"/>
        <v>0</v>
      </c>
      <c r="AA8" s="47">
        <f t="shared" si="7"/>
        <v>0</v>
      </c>
      <c r="AB8" s="47">
        <f>(B8+SUM(R8:R$19))</f>
        <v>1.146622864</v>
      </c>
      <c r="AC8" s="47">
        <f>(C8+SUM(S8:S$19))</f>
        <v>0.39667599999999997</v>
      </c>
      <c r="AD8" s="47">
        <f t="shared" si="0"/>
        <v>0.25369030865999997</v>
      </c>
      <c r="AE8" s="47">
        <f t="shared" si="1"/>
        <v>8.7764564999999989E-2</v>
      </c>
      <c r="AF8" s="47">
        <f t="shared" si="8"/>
        <v>4.3711842105263159</v>
      </c>
      <c r="AG8" s="47">
        <f t="shared" si="2"/>
        <v>0.62881578947368411</v>
      </c>
      <c r="AH8" s="47">
        <v>17.5</v>
      </c>
      <c r="AI8" s="47">
        <f t="shared" si="3"/>
        <v>2.8421052631578942</v>
      </c>
      <c r="AJ8" s="47">
        <f t="shared" si="4"/>
        <v>0</v>
      </c>
      <c r="AK8" s="47">
        <f t="shared" si="5"/>
        <v>0</v>
      </c>
    </row>
    <row r="9" spans="1:37" x14ac:dyDescent="0.3">
      <c r="A9" s="39">
        <v>44986</v>
      </c>
      <c r="B9" s="21">
        <v>1.4835564937000001</v>
      </c>
      <c r="C9" s="21">
        <v>0.67150514872219991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N9" s="46"/>
      <c r="O9" s="46"/>
      <c r="T9" s="47"/>
      <c r="U9" s="47"/>
      <c r="V9" s="47">
        <v>3.865872</v>
      </c>
      <c r="W9" s="47">
        <v>0</v>
      </c>
      <c r="X9" s="47">
        <v>885</v>
      </c>
      <c r="Y9" s="47">
        <v>4000</v>
      </c>
      <c r="Z9" s="47">
        <f t="shared" si="6"/>
        <v>0</v>
      </c>
      <c r="AA9" s="47">
        <f t="shared" si="7"/>
        <v>0</v>
      </c>
      <c r="AB9" s="47">
        <f>(B9+SUM(R9:R$19))</f>
        <v>1.4835564937000001</v>
      </c>
      <c r="AC9" s="47">
        <f>(C9+SUM(S9:S$19))</f>
        <v>0.67150514872219991</v>
      </c>
      <c r="AD9" s="47">
        <f t="shared" si="0"/>
        <v>0.32823687423112502</v>
      </c>
      <c r="AE9" s="47">
        <f t="shared" si="1"/>
        <v>0.14857051415478673</v>
      </c>
      <c r="AF9" s="47">
        <f t="shared" si="8"/>
        <v>4.3711842105263159</v>
      </c>
      <c r="AG9" s="47">
        <f t="shared" si="2"/>
        <v>0.62881578947368411</v>
      </c>
      <c r="AH9" s="47">
        <v>17.5</v>
      </c>
      <c r="AI9" s="47">
        <f t="shared" si="3"/>
        <v>2.8421052631578942</v>
      </c>
      <c r="AJ9" s="47">
        <f t="shared" si="4"/>
        <v>0</v>
      </c>
      <c r="AK9" s="47">
        <f t="shared" si="5"/>
        <v>0</v>
      </c>
    </row>
    <row r="10" spans="1:37" x14ac:dyDescent="0.3">
      <c r="A10" s="39">
        <v>45017</v>
      </c>
      <c r="B10" s="21">
        <v>6.0167087949857248</v>
      </c>
      <c r="C10" s="21">
        <v>0.9262281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N10" s="46"/>
      <c r="O10" s="46"/>
      <c r="T10" s="47"/>
      <c r="U10" s="47"/>
      <c r="V10" s="47">
        <v>6.4067170000000004</v>
      </c>
      <c r="W10" s="47">
        <v>0</v>
      </c>
      <c r="X10" s="47">
        <v>885</v>
      </c>
      <c r="Y10" s="47">
        <v>4000</v>
      </c>
      <c r="Z10" s="47">
        <f t="shared" si="6"/>
        <v>0</v>
      </c>
      <c r="AA10" s="47">
        <f t="shared" si="7"/>
        <v>0</v>
      </c>
      <c r="AB10" s="47">
        <f>(B10+SUM(R10:R$19))</f>
        <v>6.0167087949857248</v>
      </c>
      <c r="AC10" s="47">
        <f>(C10+SUM(S10:S$19))</f>
        <v>0.9262281</v>
      </c>
      <c r="AD10" s="47">
        <f t="shared" si="0"/>
        <v>1.3311968208905915</v>
      </c>
      <c r="AE10" s="47">
        <f t="shared" si="1"/>
        <v>0.204927967125</v>
      </c>
      <c r="AF10" s="47">
        <f t="shared" si="8"/>
        <v>4.3711842105263159</v>
      </c>
      <c r="AG10" s="47">
        <f t="shared" si="2"/>
        <v>0.62881578947368411</v>
      </c>
      <c r="AH10" s="47">
        <v>17.5</v>
      </c>
      <c r="AI10" s="47">
        <f t="shared" si="3"/>
        <v>2.8421052631578942</v>
      </c>
      <c r="AJ10" s="47">
        <f t="shared" si="4"/>
        <v>0</v>
      </c>
      <c r="AK10" s="47">
        <f t="shared" si="5"/>
        <v>0</v>
      </c>
    </row>
    <row r="11" spans="1:37" x14ac:dyDescent="0.3">
      <c r="A11" s="39">
        <v>45047</v>
      </c>
      <c r="B11" s="21">
        <v>10.82775213492611</v>
      </c>
      <c r="C11" s="21">
        <v>1.0250615700000001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N11" s="46"/>
      <c r="O11" s="46"/>
      <c r="T11" s="47"/>
      <c r="U11" s="47"/>
      <c r="V11" s="47">
        <v>8.8044620000000009</v>
      </c>
      <c r="W11" s="47">
        <v>0</v>
      </c>
      <c r="X11" s="47">
        <v>885</v>
      </c>
      <c r="Y11" s="47">
        <v>4000</v>
      </c>
      <c r="Z11" s="47">
        <f t="shared" si="6"/>
        <v>0</v>
      </c>
      <c r="AA11" s="47">
        <f t="shared" si="7"/>
        <v>0</v>
      </c>
      <c r="AB11" s="47">
        <f>(B11+SUM(R11:R$19))</f>
        <v>10.82775213492611</v>
      </c>
      <c r="AC11" s="47">
        <f>(C11+SUM(S11:S$19))</f>
        <v>1.0250615700000001</v>
      </c>
      <c r="AD11" s="47">
        <f t="shared" si="0"/>
        <v>2.3956401598524018</v>
      </c>
      <c r="AE11" s="47">
        <f t="shared" si="1"/>
        <v>0.22679487236250004</v>
      </c>
      <c r="AF11" s="47">
        <f t="shared" si="8"/>
        <v>4.3711842105263159</v>
      </c>
      <c r="AG11" s="47">
        <f t="shared" si="2"/>
        <v>0.62881578947368411</v>
      </c>
      <c r="AH11" s="47">
        <v>17.5</v>
      </c>
      <c r="AI11" s="47">
        <f t="shared" si="3"/>
        <v>2.8421052631578942</v>
      </c>
      <c r="AJ11" s="47">
        <f t="shared" si="4"/>
        <v>0</v>
      </c>
      <c r="AK11" s="47">
        <f t="shared" si="5"/>
        <v>0</v>
      </c>
    </row>
    <row r="12" spans="1:37" x14ac:dyDescent="0.3">
      <c r="A12" s="39">
        <v>45078</v>
      </c>
      <c r="B12" s="21">
        <v>9.4494421932726169</v>
      </c>
      <c r="C12" s="21">
        <v>1.5454630039999999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N12" s="46"/>
      <c r="O12" s="46"/>
      <c r="T12" s="47"/>
      <c r="U12" s="47"/>
      <c r="V12" s="47">
        <v>9.5386010000000017</v>
      </c>
      <c r="W12" s="47">
        <v>0</v>
      </c>
      <c r="X12" s="47">
        <v>885</v>
      </c>
      <c r="Y12" s="47">
        <v>4000</v>
      </c>
      <c r="Z12" s="47">
        <f t="shared" si="6"/>
        <v>0</v>
      </c>
      <c r="AA12" s="47">
        <f t="shared" si="7"/>
        <v>0</v>
      </c>
      <c r="AB12" s="47">
        <f>(B12+SUM(R12:R$19))</f>
        <v>9.4494421932726169</v>
      </c>
      <c r="AC12" s="47">
        <f>(C12+SUM(S12:S$19))</f>
        <v>1.5454630039999999</v>
      </c>
      <c r="AD12" s="47">
        <f t="shared" si="0"/>
        <v>2.0906890852615665</v>
      </c>
      <c r="AE12" s="47">
        <f t="shared" si="1"/>
        <v>0.34193368963499998</v>
      </c>
      <c r="AF12" s="47">
        <f t="shared" si="8"/>
        <v>4.3711842105263159</v>
      </c>
      <c r="AG12" s="47">
        <f t="shared" si="2"/>
        <v>0.62881578947368411</v>
      </c>
      <c r="AH12" s="47">
        <v>17.5</v>
      </c>
      <c r="AI12" s="47">
        <f t="shared" si="3"/>
        <v>2.8421052631578942</v>
      </c>
      <c r="AJ12" s="47">
        <f t="shared" si="4"/>
        <v>0</v>
      </c>
      <c r="AK12" s="47">
        <f t="shared" si="5"/>
        <v>0</v>
      </c>
    </row>
    <row r="13" spans="1:37" x14ac:dyDescent="0.3">
      <c r="A13" s="39">
        <v>45108</v>
      </c>
      <c r="B13" s="21">
        <v>8.798967137569667</v>
      </c>
      <c r="C13" s="21">
        <v>1.07436668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N13" s="46"/>
      <c r="O13" s="46"/>
      <c r="T13" s="47"/>
      <c r="U13" s="47"/>
      <c r="V13" s="47">
        <v>11.410028000000002</v>
      </c>
      <c r="W13" s="47">
        <v>0</v>
      </c>
      <c r="X13" s="47">
        <v>885</v>
      </c>
      <c r="Y13" s="47">
        <v>4000</v>
      </c>
      <c r="Z13" s="47">
        <f t="shared" si="6"/>
        <v>0</v>
      </c>
      <c r="AA13" s="47">
        <f t="shared" si="7"/>
        <v>0</v>
      </c>
      <c r="AB13" s="47">
        <f>(B13+SUM(R13:R$19))</f>
        <v>8.798967137569667</v>
      </c>
      <c r="AC13" s="47">
        <f>(C13+SUM(S13:S$19))</f>
        <v>1.07436668</v>
      </c>
      <c r="AD13" s="47">
        <f t="shared" si="0"/>
        <v>1.9467714791872888</v>
      </c>
      <c r="AE13" s="47">
        <f t="shared" si="1"/>
        <v>0.23770362795</v>
      </c>
      <c r="AF13" s="47">
        <f t="shared" si="8"/>
        <v>4.3711842105263159</v>
      </c>
      <c r="AG13" s="47">
        <f t="shared" si="2"/>
        <v>0.62881578947368411</v>
      </c>
      <c r="AH13" s="47">
        <v>17.5</v>
      </c>
      <c r="AI13" s="47">
        <f t="shared" si="3"/>
        <v>2.8421052631578942</v>
      </c>
      <c r="AJ13" s="47">
        <f t="shared" si="4"/>
        <v>0</v>
      </c>
      <c r="AK13" s="47">
        <f t="shared" si="5"/>
        <v>0</v>
      </c>
    </row>
    <row r="14" spans="1:37" x14ac:dyDescent="0.3">
      <c r="A14" s="39">
        <v>45139</v>
      </c>
      <c r="B14" s="21">
        <v>9.4302516371828293</v>
      </c>
      <c r="C14" s="21">
        <v>1.0014386399999999</v>
      </c>
      <c r="D14" s="21">
        <v>0</v>
      </c>
      <c r="E14" s="21">
        <v>0</v>
      </c>
      <c r="F14" s="21">
        <v>8.6999999999999993</v>
      </c>
      <c r="G14" s="21">
        <v>1</v>
      </c>
      <c r="H14" s="21">
        <v>0</v>
      </c>
      <c r="I14" s="21">
        <v>0</v>
      </c>
      <c r="N14" s="46"/>
      <c r="O14" s="46"/>
      <c r="T14" s="47"/>
      <c r="U14" s="47"/>
      <c r="V14" s="47">
        <v>12.479302000000002</v>
      </c>
      <c r="W14" s="47">
        <v>0</v>
      </c>
      <c r="X14" s="47">
        <v>885</v>
      </c>
      <c r="Y14" s="47">
        <v>4000</v>
      </c>
      <c r="Z14" s="47">
        <f t="shared" si="6"/>
        <v>7.9090909090909074</v>
      </c>
      <c r="AA14" s="47">
        <f t="shared" si="7"/>
        <v>0.90909090909090906</v>
      </c>
      <c r="AB14" s="47">
        <f>(B14+SUM(R14:R$19))</f>
        <v>9.4302516371828293</v>
      </c>
      <c r="AC14" s="47">
        <f>(C14+SUM(S14:S$19))</f>
        <v>1.0014386399999999</v>
      </c>
      <c r="AD14" s="47">
        <f t="shared" si="0"/>
        <v>2.0864431747267007</v>
      </c>
      <c r="AE14" s="47">
        <f t="shared" si="1"/>
        <v>0.22156829909999998</v>
      </c>
      <c r="AF14" s="47">
        <f t="shared" si="8"/>
        <v>4.3711842105263159</v>
      </c>
      <c r="AG14" s="47">
        <f t="shared" si="2"/>
        <v>0.62881578947368411</v>
      </c>
      <c r="AH14" s="47">
        <v>17.5</v>
      </c>
      <c r="AI14" s="47">
        <f t="shared" si="3"/>
        <v>2.8421052631578942</v>
      </c>
      <c r="AJ14" s="47">
        <f t="shared" si="4"/>
        <v>1.9248749999999997</v>
      </c>
      <c r="AK14" s="47">
        <f t="shared" si="5"/>
        <v>0.22125</v>
      </c>
    </row>
    <row r="15" spans="1:37" x14ac:dyDescent="0.3">
      <c r="A15" s="39">
        <v>45170</v>
      </c>
      <c r="B15" s="21">
        <v>10.11406700017103</v>
      </c>
      <c r="C15" s="21">
        <v>0.959964072</v>
      </c>
      <c r="D15" s="21">
        <v>0</v>
      </c>
      <c r="E15" s="21">
        <v>0</v>
      </c>
      <c r="F15" s="21">
        <v>9.4</v>
      </c>
      <c r="G15" s="21">
        <v>1</v>
      </c>
      <c r="H15" s="21">
        <v>0</v>
      </c>
      <c r="I15" s="21">
        <v>0</v>
      </c>
      <c r="N15" s="46"/>
      <c r="O15" s="46"/>
      <c r="T15" s="47"/>
      <c r="U15" s="47"/>
      <c r="V15" s="47">
        <v>15.293038000000003</v>
      </c>
      <c r="W15" s="47">
        <v>0</v>
      </c>
      <c r="X15" s="47">
        <v>885</v>
      </c>
      <c r="Y15" s="47">
        <v>4000</v>
      </c>
      <c r="Z15" s="47">
        <f t="shared" si="6"/>
        <v>8.545454545454545</v>
      </c>
      <c r="AA15" s="47">
        <f t="shared" si="7"/>
        <v>0.90909090909090906</v>
      </c>
      <c r="AB15" s="47">
        <f>(B15+SUM(R15:R$19))</f>
        <v>10.11406700017103</v>
      </c>
      <c r="AC15" s="47">
        <f>(C15+SUM(S15:S$19))</f>
        <v>0.959964072</v>
      </c>
      <c r="AD15" s="47">
        <f t="shared" si="0"/>
        <v>2.2377373237878406</v>
      </c>
      <c r="AE15" s="47">
        <f t="shared" si="1"/>
        <v>0.21239205093000002</v>
      </c>
      <c r="AF15" s="47">
        <f t="shared" si="8"/>
        <v>4.3711842105263159</v>
      </c>
      <c r="AG15" s="47">
        <f t="shared" si="2"/>
        <v>0.62881578947368411</v>
      </c>
      <c r="AH15" s="47">
        <v>17.5</v>
      </c>
      <c r="AI15" s="47">
        <f t="shared" si="3"/>
        <v>2.8421052631578942</v>
      </c>
      <c r="AJ15" s="47">
        <f t="shared" si="4"/>
        <v>2.0797500000000002</v>
      </c>
      <c r="AK15" s="47">
        <f t="shared" si="5"/>
        <v>0.22125</v>
      </c>
    </row>
    <row r="16" spans="1:37" x14ac:dyDescent="0.3">
      <c r="A16" s="39">
        <v>45200</v>
      </c>
      <c r="B16" s="21">
        <v>10.42930289655316</v>
      </c>
      <c r="C16" s="21">
        <v>1.20710692</v>
      </c>
      <c r="D16" s="21">
        <v>0</v>
      </c>
      <c r="E16" s="21">
        <v>0</v>
      </c>
      <c r="F16" s="21">
        <v>9.9</v>
      </c>
      <c r="G16" s="21">
        <v>1</v>
      </c>
      <c r="H16" s="21">
        <v>0</v>
      </c>
      <c r="I16" s="21">
        <v>0</v>
      </c>
      <c r="N16" s="46"/>
      <c r="O16" s="46"/>
      <c r="T16" s="47"/>
      <c r="U16" s="47"/>
      <c r="V16" s="47">
        <v>18.171355000000002</v>
      </c>
      <c r="W16" s="47">
        <v>0</v>
      </c>
      <c r="X16" s="47">
        <v>885</v>
      </c>
      <c r="Y16" s="47">
        <v>4000</v>
      </c>
      <c r="Z16" s="47">
        <f t="shared" si="6"/>
        <v>9</v>
      </c>
      <c r="AA16" s="47">
        <f t="shared" si="7"/>
        <v>0.90909090909090906</v>
      </c>
      <c r="AB16" s="47">
        <f>(B16+SUM(R16:R$19))</f>
        <v>10.42930289655316</v>
      </c>
      <c r="AC16" s="47">
        <f>(C16+SUM(S16:S$19))</f>
        <v>1.20710692</v>
      </c>
      <c r="AD16" s="47">
        <f t="shared" si="0"/>
        <v>2.3074832658623867</v>
      </c>
      <c r="AE16" s="47">
        <f t="shared" si="1"/>
        <v>0.26707240604999999</v>
      </c>
      <c r="AF16" s="47">
        <f t="shared" si="8"/>
        <v>4.3711842105263159</v>
      </c>
      <c r="AG16" s="47">
        <f t="shared" si="2"/>
        <v>0.62881578947368411</v>
      </c>
      <c r="AH16" s="47">
        <v>17.5</v>
      </c>
      <c r="AI16" s="47">
        <f t="shared" si="3"/>
        <v>2.8421052631578942</v>
      </c>
      <c r="AJ16" s="47">
        <f t="shared" si="4"/>
        <v>2.190375</v>
      </c>
      <c r="AK16" s="47">
        <f t="shared" si="5"/>
        <v>0.22125</v>
      </c>
    </row>
    <row r="17" spans="1:37" x14ac:dyDescent="0.3">
      <c r="A17" s="39">
        <v>45231</v>
      </c>
      <c r="B17" s="21">
        <v>9.9677793628205986</v>
      </c>
      <c r="C17" s="21">
        <v>1.0207862089999999</v>
      </c>
      <c r="D17" s="21">
        <v>0</v>
      </c>
      <c r="E17" s="21">
        <v>0</v>
      </c>
      <c r="F17" s="21">
        <v>11</v>
      </c>
      <c r="G17" s="21">
        <v>1</v>
      </c>
      <c r="H17" s="21">
        <v>0</v>
      </c>
      <c r="I17" s="21">
        <v>0</v>
      </c>
      <c r="N17" s="46"/>
      <c r="O17" s="46"/>
      <c r="T17" s="47"/>
      <c r="U17" s="47"/>
      <c r="V17" s="47">
        <v>20.743940000000002</v>
      </c>
      <c r="W17" s="47">
        <v>0</v>
      </c>
      <c r="X17" s="47">
        <v>885</v>
      </c>
      <c r="Y17" s="47">
        <v>4000</v>
      </c>
      <c r="Z17" s="47">
        <f t="shared" si="6"/>
        <v>10</v>
      </c>
      <c r="AA17" s="47">
        <f t="shared" si="7"/>
        <v>0.90909090909090906</v>
      </c>
      <c r="AB17" s="47">
        <f>(B17+SUM(R17:R$19))</f>
        <v>9.9677793628205986</v>
      </c>
      <c r="AC17" s="47">
        <f>(C17+SUM(S17:S$19))</f>
        <v>1.0207862089999999</v>
      </c>
      <c r="AD17" s="47">
        <f t="shared" si="0"/>
        <v>2.2053711840240577</v>
      </c>
      <c r="AE17" s="47">
        <f t="shared" si="1"/>
        <v>0.22584894874124997</v>
      </c>
      <c r="AF17" s="47">
        <f t="shared" si="8"/>
        <v>4.3711842105263159</v>
      </c>
      <c r="AG17" s="47">
        <f t="shared" si="2"/>
        <v>0.62881578947368411</v>
      </c>
      <c r="AH17" s="47">
        <v>17.5</v>
      </c>
      <c r="AI17" s="47">
        <f t="shared" si="3"/>
        <v>2.8421052631578942</v>
      </c>
      <c r="AJ17" s="47">
        <f t="shared" si="4"/>
        <v>2.4337499999999999</v>
      </c>
      <c r="AK17" s="47">
        <f t="shared" si="5"/>
        <v>0.22125</v>
      </c>
    </row>
    <row r="18" spans="1:37" x14ac:dyDescent="0.3">
      <c r="A18" s="39">
        <v>45261</v>
      </c>
      <c r="B18" s="21">
        <v>11.4</v>
      </c>
      <c r="C18" s="21">
        <v>1.063585025359</v>
      </c>
      <c r="D18" s="21">
        <v>0</v>
      </c>
      <c r="E18" s="21">
        <v>0</v>
      </c>
      <c r="F18" s="21">
        <v>10.3</v>
      </c>
      <c r="G18" s="21">
        <v>1</v>
      </c>
      <c r="H18" s="21">
        <v>0</v>
      </c>
      <c r="I18" s="21">
        <v>0</v>
      </c>
      <c r="N18" s="46"/>
      <c r="O18" s="46"/>
      <c r="T18" s="47"/>
      <c r="U18" s="47"/>
      <c r="V18" s="47">
        <v>26.091815000000004</v>
      </c>
      <c r="W18" s="47">
        <v>0</v>
      </c>
      <c r="X18" s="47">
        <v>885</v>
      </c>
      <c r="Y18" s="47">
        <v>4000</v>
      </c>
      <c r="Z18" s="47">
        <f t="shared" si="6"/>
        <v>9.3636363636363633</v>
      </c>
      <c r="AA18" s="47">
        <f t="shared" si="7"/>
        <v>0.90909090909090906</v>
      </c>
      <c r="AB18" s="47">
        <f>(B18+SUM(R18:R$19))</f>
        <v>11.4</v>
      </c>
      <c r="AC18" s="47">
        <f>(C18+SUM(S18:S$19))</f>
        <v>1.063585025359</v>
      </c>
      <c r="AD18" s="47">
        <f t="shared" si="0"/>
        <v>2.5222500000000001</v>
      </c>
      <c r="AE18" s="47">
        <f t="shared" si="1"/>
        <v>0.23531818686067876</v>
      </c>
      <c r="AF18" s="47">
        <f>AF19</f>
        <v>4.3711842105263159</v>
      </c>
      <c r="AG18" s="47">
        <f>AG19</f>
        <v>0.62881578947368411</v>
      </c>
      <c r="AH18" s="47">
        <v>17.5</v>
      </c>
      <c r="AI18" s="47">
        <f t="shared" si="3"/>
        <v>2.8421052631578942</v>
      </c>
      <c r="AJ18" s="47">
        <f t="shared" si="4"/>
        <v>2.2788750000000002</v>
      </c>
      <c r="AK18" s="47">
        <f t="shared" si="5"/>
        <v>0.22125</v>
      </c>
    </row>
    <row r="19" spans="1:37" x14ac:dyDescent="0.3">
      <c r="A19" s="39">
        <v>45292</v>
      </c>
      <c r="B19" s="21">
        <v>13.6</v>
      </c>
      <c r="C19" s="21">
        <v>2.7</v>
      </c>
      <c r="D19" s="21">
        <v>0</v>
      </c>
      <c r="E19" s="21">
        <v>0</v>
      </c>
      <c r="F19" s="21">
        <v>14.96</v>
      </c>
      <c r="G19" s="21">
        <v>4.363517346716125</v>
      </c>
      <c r="H19" s="21">
        <v>0</v>
      </c>
      <c r="I19" s="21">
        <v>0.72</v>
      </c>
      <c r="J19" s="43">
        <f>IF(F19-(B19+D19+H19+N19)&lt;0,0,F19-(B19+D19+H19+N19))</f>
        <v>1.3600000000000012</v>
      </c>
      <c r="K19" s="43">
        <f>IF(G19-(C19+E19+I19+O19)&lt;0,0,G19-(C19+E19+I19+O19))</f>
        <v>0.94351734671612508</v>
      </c>
      <c r="L19" s="44">
        <f>IF(F19-(B19+D19+H19+N19)&lt;0,-(F19-(B19+D19+H19+N19)),0)</f>
        <v>0</v>
      </c>
      <c r="M19" s="44">
        <f>IF(G19-(C19+E19+I19+O19)&lt;0,-(G19-(C19+E19+I19+O19)),0)</f>
        <v>0</v>
      </c>
      <c r="N19" s="46"/>
      <c r="O19" s="46"/>
      <c r="T19" s="47"/>
      <c r="U19" s="47"/>
      <c r="V19" s="47">
        <v>28.061743000000003</v>
      </c>
      <c r="W19" s="47">
        <v>0</v>
      </c>
      <c r="X19" s="54">
        <v>885</v>
      </c>
      <c r="Y19" s="54">
        <v>4000</v>
      </c>
      <c r="Z19" s="54">
        <v>15</v>
      </c>
      <c r="AA19" s="54">
        <f t="shared" si="7"/>
        <v>3.9668339515601132</v>
      </c>
      <c r="AB19" s="54">
        <f>(B19+SUM(R$19:R19))</f>
        <v>13.6</v>
      </c>
      <c r="AC19" s="54">
        <f>(C19+SUM(S$19:S19))</f>
        <v>2.7</v>
      </c>
      <c r="AD19" s="54">
        <f>AB19*$X19/$Y19</f>
        <v>3.0089999999999999</v>
      </c>
      <c r="AE19" s="54">
        <f>AC19*$X19/$Y19</f>
        <v>0.59737499999999999</v>
      </c>
      <c r="AF19" s="54">
        <f>AF20</f>
        <v>4.3711842105263159</v>
      </c>
      <c r="AG19" s="54">
        <f>(5-AF19)</f>
        <v>0.62881578947368411</v>
      </c>
      <c r="AH19" s="54">
        <v>17.5</v>
      </c>
      <c r="AI19" s="54">
        <f>AG19/($X19/$Y19)</f>
        <v>2.8421052631578942</v>
      </c>
      <c r="AJ19" s="54">
        <f>F19*$X19/$Y19</f>
        <v>3.3099000000000003</v>
      </c>
      <c r="AK19" s="54">
        <f t="shared" si="5"/>
        <v>0.96542821296094272</v>
      </c>
    </row>
    <row r="20" spans="1:37" x14ac:dyDescent="0.3">
      <c r="A20" s="39">
        <v>45323</v>
      </c>
      <c r="B20" s="21">
        <v>15.8</v>
      </c>
      <c r="C20" s="49">
        <f>C$19/0.95</f>
        <v>2.8421052631578951</v>
      </c>
      <c r="D20" s="21">
        <v>0</v>
      </c>
      <c r="E20" s="21">
        <v>0</v>
      </c>
      <c r="F20" s="21">
        <v>16.079999999999998</v>
      </c>
      <c r="G20" s="21">
        <v>5.5</v>
      </c>
      <c r="H20" s="21">
        <v>0</v>
      </c>
      <c r="I20" s="21">
        <v>0</v>
      </c>
      <c r="J20" s="43">
        <f t="shared" ref="J20:J23" si="9">IF(F20-(B20+D20+H20+N20)&lt;0,0,F20-(B20+D20+H20+N20))</f>
        <v>0.27999999999999758</v>
      </c>
      <c r="K20" s="43">
        <f t="shared" ref="K20:K23" si="10">IF(G20-(C20+E20+I20+O20)&lt;0,0,G20-(C20+E20+I20+O20))</f>
        <v>2.6578947368421049</v>
      </c>
      <c r="L20" s="44">
        <f t="shared" ref="L20:L23" si="11">IF(F20-(B20+D20+H20+N20)&lt;0,-(F20-(B20+D20+H20+N20)),0)</f>
        <v>0</v>
      </c>
      <c r="M20" s="44">
        <f t="shared" ref="M20:M23" si="12">IF(G20-(C20+E20+I20+O20)&lt;0,-(G20-(C20+E20+I20+O20)),0)</f>
        <v>0</v>
      </c>
      <c r="N20" s="46"/>
      <c r="O20" s="46"/>
      <c r="T20" s="47"/>
      <c r="U20" s="47"/>
      <c r="V20" s="47">
        <v>30.688448000000005</v>
      </c>
      <c r="W20" s="47">
        <v>0</v>
      </c>
      <c r="X20" s="47">
        <v>885</v>
      </c>
      <c r="Y20" s="47">
        <v>4000</v>
      </c>
      <c r="Z20" s="47">
        <v>13.9</v>
      </c>
      <c r="AA20" s="47">
        <f t="shared" si="7"/>
        <v>5</v>
      </c>
      <c r="AB20" s="47">
        <f>(B20+SUM(R$19:R20))</f>
        <v>15.8</v>
      </c>
      <c r="AC20" s="47">
        <f>(C20+SUM(S$19:S20))</f>
        <v>2.8421052631578951</v>
      </c>
      <c r="AD20" s="47">
        <f t="shared" ref="AD20:AD30" si="13">AB20*$X20/$Y20</f>
        <v>3.4957500000000001</v>
      </c>
      <c r="AE20" s="47">
        <f t="shared" ref="AE20:AE30" si="14">AC20*$X20/$Y20</f>
        <v>0.62881578947368433</v>
      </c>
      <c r="AF20" s="47">
        <f t="shared" ref="AF20:AF22" si="15">(5-AE20)+$W20*($X20/$Y20)</f>
        <v>4.3711842105263159</v>
      </c>
      <c r="AG20" s="47">
        <f t="shared" ref="AG20:AG21" si="16">(5-AF20)</f>
        <v>0.62881578947368411</v>
      </c>
      <c r="AH20" s="47">
        <v>17.5</v>
      </c>
      <c r="AI20" s="47">
        <f t="shared" ref="AI20:AI22" si="17">AG20/($X20/$Y20)</f>
        <v>2.8421052631578942</v>
      </c>
      <c r="AJ20" s="47">
        <f t="shared" ref="AJ20:AK30" si="18">F20*$X20/$Y20</f>
        <v>3.5576999999999996</v>
      </c>
      <c r="AK20" s="47">
        <f t="shared" si="5"/>
        <v>1.2168749999999999</v>
      </c>
    </row>
    <row r="21" spans="1:37" x14ac:dyDescent="0.3">
      <c r="A21" s="39">
        <v>45352</v>
      </c>
      <c r="B21" s="49">
        <f>B20*30/29</f>
        <v>16.344827586206897</v>
      </c>
      <c r="C21" s="49">
        <f t="shared" ref="C21:C30" si="19">C$19/0.95</f>
        <v>2.8421052631578951</v>
      </c>
      <c r="D21" s="40">
        <f>SUM(R$19:R20)+P21</f>
        <v>0.71050388387096752</v>
      </c>
      <c r="E21" s="40">
        <f>SUM(S$19:S20)+Q21</f>
        <v>4.9779677419354842E-3</v>
      </c>
      <c r="F21" s="21">
        <v>21.96</v>
      </c>
      <c r="G21" s="21">
        <v>5.5</v>
      </c>
      <c r="H21" s="21">
        <v>0</v>
      </c>
      <c r="I21" s="21">
        <v>0</v>
      </c>
      <c r="J21" s="43">
        <f>IF(F21-(B21+D21+H21+N21)&lt;0,0,F21-(B21+D21+H21+N21))</f>
        <v>4.6867035299221378</v>
      </c>
      <c r="K21" s="43">
        <f t="shared" si="10"/>
        <v>2.6529167691001696</v>
      </c>
      <c r="L21" s="44">
        <f t="shared" si="11"/>
        <v>0</v>
      </c>
      <c r="M21" s="44">
        <f t="shared" si="12"/>
        <v>0</v>
      </c>
      <c r="N21" s="48">
        <f>Procedimiento!T27</f>
        <v>0.21796500000000041</v>
      </c>
      <c r="O21" s="48">
        <f>Procedimiento!U27</f>
        <v>0</v>
      </c>
      <c r="P21" s="30">
        <f>SUMIFS(Cronograma!$T$2:$T$3000,Cronograma!$S$2:$S$3000,CONCATENATE(YEAR(Aeropuerto!$A21),"/",MONTH(Aeropuerto!$A21)),Cronograma!$G$2:$G$3000,"Si")/1000000</f>
        <v>0.71050388387096752</v>
      </c>
      <c r="Q21" s="30">
        <f>(SUMIFS(Cronograma!$T$2:$T$3000,Cronograma!$S$2:$S$3000,CONCATENATE(YEAR(Aeropuerto!$A21),"/",MONTH(Aeropuerto!$A21)),Cronograma!$G$2:$G$3000,"No")/1000000)</f>
        <v>4.9779677419354842E-3</v>
      </c>
      <c r="R21" s="32">
        <f>SUMIFS(Cronograma!$U$2:$U$3000,Cronograma!$S$2:$S$3000,CONCATENATE(YEAR(Aeropuerto!$A21),"/",MONTH(Aeropuerto!$A21)),Cronograma!$G$2:$G$3000,"Si")/1000000</f>
        <v>2.2573992000000001</v>
      </c>
      <c r="S21" s="32">
        <f>SUMIFS(Cronograma!$U$2:$U$3000,Cronograma!$S$2:$S$3000,CONCATENATE(YEAR(Aeropuerto!$A21),"/",MONTH(Aeropuerto!$A21)),Cronograma!$G$2:$G$3000,"No")/1000000</f>
        <v>5.1438999999999999E-2</v>
      </c>
      <c r="T21" s="47"/>
      <c r="U21" s="47"/>
      <c r="V21" s="47">
        <v>30.858802000000004</v>
      </c>
      <c r="W21" s="47">
        <v>0</v>
      </c>
      <c r="X21" s="47">
        <v>885</v>
      </c>
      <c r="Y21" s="47">
        <v>4000</v>
      </c>
      <c r="Z21" s="47">
        <v>19.5</v>
      </c>
      <c r="AA21" s="47">
        <f t="shared" si="7"/>
        <v>5</v>
      </c>
      <c r="AB21" s="47">
        <f>(B21+SUM(R$19:R21))</f>
        <v>18.602226786206899</v>
      </c>
      <c r="AC21" s="47">
        <f>(C21+SUM(S$19:S21))</f>
        <v>2.8935442631578949</v>
      </c>
      <c r="AD21" s="47">
        <f t="shared" si="13"/>
        <v>4.1157426764482761</v>
      </c>
      <c r="AE21" s="47">
        <f t="shared" si="14"/>
        <v>0.64019666822368426</v>
      </c>
      <c r="AF21" s="47">
        <f t="shared" si="15"/>
        <v>4.3598033317763161</v>
      </c>
      <c r="AG21" s="47">
        <f t="shared" si="16"/>
        <v>0.64019666822368393</v>
      </c>
      <c r="AH21" s="47">
        <v>17.5</v>
      </c>
      <c r="AI21" s="47">
        <f t="shared" si="17"/>
        <v>2.8935442631578936</v>
      </c>
      <c r="AJ21" s="47">
        <f t="shared" si="18"/>
        <v>4.8586500000000008</v>
      </c>
      <c r="AK21" s="47">
        <f t="shared" si="5"/>
        <v>1.2168749999999999</v>
      </c>
    </row>
    <row r="22" spans="1:37" x14ac:dyDescent="0.3">
      <c r="A22" s="39">
        <v>45383</v>
      </c>
      <c r="B22" s="49">
        <f t="shared" ref="B22:B30" si="20">B21</f>
        <v>16.344827586206897</v>
      </c>
      <c r="C22" s="49">
        <f t="shared" si="19"/>
        <v>2.8421052631578951</v>
      </c>
      <c r="D22" s="40">
        <f>SUM(R$19:R21)+P22</f>
        <v>4.1259864999999998</v>
      </c>
      <c r="E22" s="40">
        <f>SUM(S$19:S21)+Q22</f>
        <v>2.751439</v>
      </c>
      <c r="F22" s="21">
        <v>28.44</v>
      </c>
      <c r="G22" s="21">
        <v>8.1999999999999993</v>
      </c>
      <c r="H22" s="21">
        <v>0</v>
      </c>
      <c r="I22" s="21">
        <v>0</v>
      </c>
      <c r="J22" s="43">
        <f t="shared" si="9"/>
        <v>7.7512209137931052</v>
      </c>
      <c r="K22" s="43">
        <f t="shared" si="10"/>
        <v>2.6064557368421042</v>
      </c>
      <c r="L22" s="44">
        <f t="shared" si="11"/>
        <v>0</v>
      </c>
      <c r="M22" s="44">
        <f>IF(G22-(C22+E22+I22+O22)&lt;0,-(G22-(C22+E22+I22+O22)),0)</f>
        <v>0</v>
      </c>
      <c r="N22" s="48">
        <f t="shared" ref="N22:N24" si="21">N21</f>
        <v>0.21796500000000041</v>
      </c>
      <c r="O22" s="48">
        <f t="shared" ref="O22:O24" si="22">O21</f>
        <v>0</v>
      </c>
      <c r="P22" s="30">
        <f>SUMIFS(Cronograma!$T$2:$T$3000,Cronograma!$S$2:$S$3000,CONCATENATE(YEAR(Aeropuerto!$A22),"/",MONTH(Aeropuerto!$A22)),Cronograma!$G$2:$G$3000,"Si")/1000000</f>
        <v>1.8685873</v>
      </c>
      <c r="Q22" s="34">
        <f>S22</f>
        <v>2.7</v>
      </c>
      <c r="R22" s="32">
        <f>SUMIFS(Cronograma!$U$2:$U$3000,Cronograma!$S$2:$S$3000,CONCATENATE(YEAR(Aeropuerto!$A22),"/",MONTH(Aeropuerto!$A22)),Cronograma!$G$2:$G$3000,"Si")/1000000</f>
        <v>5.1668849999999997</v>
      </c>
      <c r="S22" s="34">
        <f>SUMIFS(Cronograma!$U$2:$U$3000,Cronograma!$S$2:$S$3000,CONCATENATE(YEAR(Aeropuerto!$A22),"/",MONTH(Aeropuerto!$A22)),Cronograma!$G$2:$G$3000,"No")/1000000+2.7</f>
        <v>2.7</v>
      </c>
      <c r="T22" s="47"/>
      <c r="U22" s="47"/>
      <c r="V22" s="50">
        <f>V21+W22</f>
        <v>33.558802000000007</v>
      </c>
      <c r="W22" s="50">
        <f>S22</f>
        <v>2.7</v>
      </c>
      <c r="X22" s="47">
        <v>885</v>
      </c>
      <c r="Y22" s="47">
        <v>4000</v>
      </c>
      <c r="Z22" s="47">
        <v>27.6</v>
      </c>
      <c r="AA22" s="47">
        <f t="shared" si="7"/>
        <v>7.4545454545454533</v>
      </c>
      <c r="AB22" s="47">
        <f>(B22+SUM(R$19:R22))</f>
        <v>23.769111786206896</v>
      </c>
      <c r="AC22" s="47">
        <f>(C22+SUM(S$19:S22))</f>
        <v>5.5935442631578951</v>
      </c>
      <c r="AD22" s="47">
        <f t="shared" si="13"/>
        <v>5.2589159826982756</v>
      </c>
      <c r="AE22" s="47">
        <f t="shared" si="14"/>
        <v>1.2375716682236844</v>
      </c>
      <c r="AF22" s="47">
        <f t="shared" si="15"/>
        <v>4.3598033317763161</v>
      </c>
      <c r="AG22" s="47">
        <f>(5-AF22)+$W22*($X22/$Y22)</f>
        <v>1.2375716682236839</v>
      </c>
      <c r="AH22" s="47">
        <v>17.5</v>
      </c>
      <c r="AI22" s="47">
        <f t="shared" si="17"/>
        <v>5.5935442631578933</v>
      </c>
      <c r="AJ22" s="47">
        <f t="shared" si="18"/>
        <v>6.2923500000000008</v>
      </c>
      <c r="AK22" s="47">
        <f t="shared" si="5"/>
        <v>1.8142499999999997</v>
      </c>
    </row>
    <row r="23" spans="1:37" x14ac:dyDescent="0.3">
      <c r="A23" s="39">
        <v>45413</v>
      </c>
      <c r="B23" s="49">
        <f t="shared" si="20"/>
        <v>16.344827586206897</v>
      </c>
      <c r="C23" s="49">
        <f t="shared" si="19"/>
        <v>2.8421052631578951</v>
      </c>
      <c r="D23" s="40">
        <f>SUM(R$19:R22)+P23</f>
        <v>8.0013705225806451</v>
      </c>
      <c r="E23" s="40">
        <f>SUM(S$19:S22)+Q23</f>
        <v>2.751439</v>
      </c>
      <c r="F23" s="21">
        <v>30.14</v>
      </c>
      <c r="G23" s="21">
        <v>8.1999999999999993</v>
      </c>
      <c r="H23" s="21">
        <v>0</v>
      </c>
      <c r="I23" s="21">
        <v>0</v>
      </c>
      <c r="J23" s="43">
        <f t="shared" si="9"/>
        <v>5.575836891212461</v>
      </c>
      <c r="K23" s="43">
        <f t="shared" si="10"/>
        <v>2.6064557368421042</v>
      </c>
      <c r="L23" s="44">
        <f t="shared" si="11"/>
        <v>0</v>
      </c>
      <c r="M23" s="44">
        <f t="shared" si="12"/>
        <v>0</v>
      </c>
      <c r="N23" s="48">
        <f t="shared" si="21"/>
        <v>0.21796500000000041</v>
      </c>
      <c r="O23" s="48">
        <f t="shared" si="22"/>
        <v>0</v>
      </c>
      <c r="P23" s="30">
        <f>SUMIFS(Cronograma!$T$2:$T$3000,Cronograma!$S$2:$S$3000,CONCATENATE(YEAR(Aeropuerto!$A23),"/",MONTH(Aeropuerto!$A23)),Cronograma!$G$2:$G$3000,"Si")/1000000</f>
        <v>0.57708632258064496</v>
      </c>
      <c r="Q23" s="30">
        <f>SUMIFS(Cronograma!$T$2:$T$3000,Cronograma!$S$2:$S$3000,CONCATENATE(YEAR(Aeropuerto!$A23),"/",MONTH(Aeropuerto!$A23)),Cronograma!$G$2:$G$3000,"No")/1000000</f>
        <v>0</v>
      </c>
      <c r="R23" s="32">
        <f>SUMIFS(Cronograma!$U$2:$U$3000,Cronograma!$S$2:$S$3000,CONCATENATE(YEAR(Aeropuerto!$A23),"/",MONTH(Aeropuerto!$A23)),Cronograma!$G$2:$G$3000,"Si")/1000000</f>
        <v>0.61804400000000004</v>
      </c>
      <c r="S23" s="32">
        <f>SUMIFS(Cronograma!$U$2:$U$3000,Cronograma!$S$2:$S$3000,CONCATENATE(YEAR(Aeropuerto!$A23),"/",MONTH(Aeropuerto!$A23)),Cronograma!$G$2:$G$3000,"No")/1000000</f>
        <v>0</v>
      </c>
      <c r="T23" s="47"/>
      <c r="U23" s="47"/>
      <c r="V23" s="47">
        <f>V22</f>
        <v>33.558802000000007</v>
      </c>
      <c r="W23" s="47">
        <f>W22</f>
        <v>2.7</v>
      </c>
      <c r="X23" s="47">
        <v>885</v>
      </c>
      <c r="Y23" s="47">
        <v>4000</v>
      </c>
      <c r="Z23" s="47">
        <f t="shared" si="6"/>
        <v>27.4</v>
      </c>
      <c r="AA23" s="47">
        <f t="shared" si="7"/>
        <v>7.4545454545454533</v>
      </c>
      <c r="AB23" s="47">
        <f>(B23+SUM(R$19:R23))</f>
        <v>24.387155786206897</v>
      </c>
      <c r="AC23" s="47">
        <f>(C23+SUM(S$19:S23))</f>
        <v>5.5935442631578951</v>
      </c>
      <c r="AD23" s="47">
        <f t="shared" si="13"/>
        <v>5.3956582176982755</v>
      </c>
      <c r="AE23" s="47">
        <f t="shared" si="14"/>
        <v>1.2375716682236844</v>
      </c>
      <c r="AF23" s="56"/>
      <c r="AG23" s="56"/>
      <c r="AH23" s="56"/>
      <c r="AI23" s="56"/>
      <c r="AJ23" s="47">
        <f t="shared" si="18"/>
        <v>6.6684749999999999</v>
      </c>
      <c r="AK23" s="47">
        <f t="shared" si="5"/>
        <v>1.8142499999999997</v>
      </c>
    </row>
    <row r="24" spans="1:37" x14ac:dyDescent="0.3">
      <c r="A24" s="39">
        <v>45444</v>
      </c>
      <c r="B24" s="49">
        <f t="shared" si="20"/>
        <v>16.344827586206897</v>
      </c>
      <c r="C24" s="49">
        <f t="shared" si="19"/>
        <v>2.8421052631578951</v>
      </c>
      <c r="D24" s="40">
        <f>SUM(R$19:R23)+P24</f>
        <v>8.0423282</v>
      </c>
      <c r="E24" s="40">
        <f>SUM(S$19:S23)+Q24</f>
        <v>2.751439</v>
      </c>
      <c r="F24" s="21">
        <v>34.57</v>
      </c>
      <c r="G24" s="21">
        <v>8.1999999999999993</v>
      </c>
      <c r="H24" s="21">
        <v>0</v>
      </c>
      <c r="I24" s="21">
        <v>0</v>
      </c>
      <c r="J24" s="43">
        <f>IF(F24-(B24+D24+H24+N24)&lt;0,0,F24-(B24+D24+H24+N24))</f>
        <v>9.9648792137931039</v>
      </c>
      <c r="K24" s="43">
        <f>IF(G24-(C24+E24+I24+O24)&lt;0,0,G24-(C24+E24+I24+O24))</f>
        <v>2.6064557368421042</v>
      </c>
      <c r="L24" s="44">
        <f>IF(F24-(B24+D24+H24+N24)&lt;0,-(F24-(B24+D24+H24+N24)),0)</f>
        <v>0</v>
      </c>
      <c r="M24" s="44">
        <f>IF(G24-(C24+E24+I24+O24)&lt;0,-(G24-(C24+E24+I24+O24)),0)</f>
        <v>0</v>
      </c>
      <c r="N24" s="48">
        <f t="shared" si="21"/>
        <v>0.21796500000000041</v>
      </c>
      <c r="O24" s="48">
        <f t="shared" si="22"/>
        <v>0</v>
      </c>
      <c r="P24" s="30">
        <f>SUMIFS(Cronograma!$T$2:$T$3000,Cronograma!$S$2:$S$3000,CONCATENATE(YEAR(Aeropuerto!$A24),"/",MONTH(Aeropuerto!$A24)),Cronograma!$G$2:$G$3000,"Si")/1000000</f>
        <v>0</v>
      </c>
      <c r="Q24" s="30">
        <f>SUMIFS(Cronograma!$T$2:$T$3000,Cronograma!$S$2:$S$3000,CONCATENATE(YEAR(Aeropuerto!$A24),"/",MONTH(Aeropuerto!$A24)),Cronograma!$G$2:$G$3000,"No")/1000000</f>
        <v>0</v>
      </c>
      <c r="R24" s="32">
        <f>SUMIFS(Cronograma!$U$2:$U$3000,Cronograma!$S$2:$S$3000,CONCATENATE(YEAR(Aeropuerto!$A24),"/",MONTH(Aeropuerto!$A24)),Cronograma!$G$2:$G$3000,"Si")/1000000</f>
        <v>0</v>
      </c>
      <c r="S24" s="32">
        <f>SUMIFS(Cronograma!$U$2:$U$3000,Cronograma!$S$2:$S$3000,CONCATENATE(YEAR(Aeropuerto!$A24),"/",MONTH(Aeropuerto!$A24)),Cronograma!$G$2:$G$3000,"No")/1000000</f>
        <v>0</v>
      </c>
      <c r="T24" s="47">
        <f>J24-N24</f>
        <v>9.7469142137931044</v>
      </c>
      <c r="U24" s="47">
        <f>K24-M24</f>
        <v>2.6064557368421042</v>
      </c>
      <c r="V24" s="47">
        <f t="shared" ref="V24:V30" si="23">V23</f>
        <v>33.558802000000007</v>
      </c>
      <c r="W24" s="47">
        <f t="shared" ref="W24:W30" si="24">W23</f>
        <v>2.7</v>
      </c>
      <c r="X24" s="47">
        <v>885</v>
      </c>
      <c r="Y24" s="47">
        <v>4000</v>
      </c>
      <c r="Z24" s="47">
        <f>F24/1.1</f>
        <v>31.427272727272726</v>
      </c>
      <c r="AA24" s="47">
        <f t="shared" si="7"/>
        <v>7.4545454545454533</v>
      </c>
      <c r="AB24" s="47">
        <f>(B24+SUM(R$19:R24))</f>
        <v>24.387155786206897</v>
      </c>
      <c r="AC24" s="47">
        <f>(C24+SUM(S$19:S24))</f>
        <v>5.5935442631578951</v>
      </c>
      <c r="AD24" s="47">
        <f t="shared" si="13"/>
        <v>5.3956582176982755</v>
      </c>
      <c r="AE24" s="47">
        <f t="shared" si="14"/>
        <v>1.2375716682236844</v>
      </c>
      <c r="AF24" s="56"/>
      <c r="AG24" s="56"/>
      <c r="AH24" s="56"/>
      <c r="AI24" s="56"/>
      <c r="AJ24" s="47">
        <f t="shared" si="18"/>
        <v>7.6486125000000005</v>
      </c>
      <c r="AK24" s="47">
        <f t="shared" si="5"/>
        <v>1.8142499999999997</v>
      </c>
    </row>
    <row r="25" spans="1:37" x14ac:dyDescent="0.3">
      <c r="A25" s="39">
        <v>45474</v>
      </c>
      <c r="B25" s="49">
        <f t="shared" si="20"/>
        <v>16.344827586206897</v>
      </c>
      <c r="C25" s="49">
        <f t="shared" si="19"/>
        <v>2.8421052631578951</v>
      </c>
      <c r="D25" s="40">
        <f>SUM(R$19:R24)+P25</f>
        <v>8.0423282</v>
      </c>
      <c r="E25" s="40">
        <f>SUM(S$19:S24)+Q25</f>
        <v>2.751439</v>
      </c>
      <c r="F25" s="21">
        <v>40.520000000000003</v>
      </c>
      <c r="G25" s="21">
        <v>8.1999999999999993</v>
      </c>
      <c r="H25" s="21">
        <v>0</v>
      </c>
      <c r="I25" s="21">
        <v>0</v>
      </c>
      <c r="J25" s="43">
        <f>IF(F25-(B25+D25+H25+N25)&lt;0,0,F25-(B25+D25+H25+N25))</f>
        <v>15.914879213793107</v>
      </c>
      <c r="K25" s="43">
        <f>IF(G25-(C25+E25+I25+O25)&lt;0,0,G25-(C25+E25+I25+O25))</f>
        <v>2.6064557368421042</v>
      </c>
      <c r="L25" s="44">
        <f>IF(F25-(B25+D25+H25+N25)&lt;0,-(F25-(B25+D25+H25+N25)),0)</f>
        <v>0</v>
      </c>
      <c r="M25" s="44">
        <f>IF(G25-(C25+E25+I25+O25)&lt;0,-(G25-(C25+E25+I25+O25)),0)</f>
        <v>0</v>
      </c>
      <c r="N25" s="48">
        <f>N24</f>
        <v>0.21796500000000041</v>
      </c>
      <c r="O25" s="48">
        <f>O24</f>
        <v>0</v>
      </c>
      <c r="P25" s="30">
        <f>SUMIFS(Cronograma!$T$2:$T$3000,Cronograma!$S$2:$S$3000,CONCATENATE(YEAR(Aeropuerto!$A25),"/",MONTH(Aeropuerto!$A25)),Cronograma!$G$2:$G$3000,"Si")/1000000</f>
        <v>0</v>
      </c>
      <c r="Q25" s="30">
        <f>SUMIFS(Cronograma!$T$2:$T$3000,Cronograma!$S$2:$S$3000,CONCATENATE(YEAR(Aeropuerto!$A25),"/",MONTH(Aeropuerto!$A25)),Cronograma!$G$2:$G$3000,"No")/1000000</f>
        <v>0</v>
      </c>
      <c r="R25" s="32">
        <f>SUMIFS(Cronograma!$U$2:$U$3000,Cronograma!$S$2:$S$3000,CONCATENATE(YEAR(Aeropuerto!$A25),"/",MONTH(Aeropuerto!$A25)),Cronograma!$G$2:$G$3000,"Si")/1000000</f>
        <v>0</v>
      </c>
      <c r="S25" s="32">
        <f>SUMIFS(Cronograma!$U$2:$U$3000,Cronograma!$S$2:$S$3000,CONCATENATE(YEAR(Aeropuerto!$A25),"/",MONTH(Aeropuerto!$A25)),Cronograma!$G$2:$G$3000,"No")/1000000</f>
        <v>0</v>
      </c>
      <c r="T25" s="47">
        <f t="shared" ref="T25:T30" si="25">J25-N25</f>
        <v>15.696914213793107</v>
      </c>
      <c r="U25" s="47">
        <f t="shared" ref="U25:U30" si="26">K25-M25</f>
        <v>2.6064557368421042</v>
      </c>
      <c r="V25" s="47">
        <f t="shared" si="23"/>
        <v>33.558802000000007</v>
      </c>
      <c r="W25" s="47">
        <f t="shared" si="24"/>
        <v>2.7</v>
      </c>
      <c r="X25" s="47">
        <v>885</v>
      </c>
      <c r="Y25" s="47">
        <v>4000</v>
      </c>
      <c r="Z25" s="47">
        <f t="shared" si="6"/>
        <v>36.836363636363636</v>
      </c>
      <c r="AA25" s="47">
        <f t="shared" si="7"/>
        <v>7.4545454545454533</v>
      </c>
      <c r="AB25" s="47">
        <f>(B25+SUM(R$19:R25))</f>
        <v>24.387155786206897</v>
      </c>
      <c r="AC25" s="47">
        <f>(C25+SUM(S$19:S25))</f>
        <v>5.5935442631578951</v>
      </c>
      <c r="AD25" s="47">
        <f t="shared" si="13"/>
        <v>5.3956582176982755</v>
      </c>
      <c r="AE25" s="47">
        <f t="shared" si="14"/>
        <v>1.2375716682236844</v>
      </c>
      <c r="AF25" s="56"/>
      <c r="AG25" s="56"/>
      <c r="AH25" s="56"/>
      <c r="AI25" s="56"/>
      <c r="AJ25" s="47">
        <f t="shared" si="18"/>
        <v>8.9650500000000015</v>
      </c>
      <c r="AK25" s="47">
        <f t="shared" si="5"/>
        <v>1.8142499999999997</v>
      </c>
    </row>
    <row r="26" spans="1:37" x14ac:dyDescent="0.3">
      <c r="A26" s="39">
        <v>45505</v>
      </c>
      <c r="B26" s="49">
        <f t="shared" si="20"/>
        <v>16.344827586206897</v>
      </c>
      <c r="C26" s="49">
        <f t="shared" si="19"/>
        <v>2.8421052631578951</v>
      </c>
      <c r="D26" s="40">
        <f>SUM(R$19:R25)+P26</f>
        <v>8.0423282</v>
      </c>
      <c r="E26" s="40">
        <f>SUM(S$19:S25)+Q26</f>
        <v>2.751439</v>
      </c>
      <c r="F26" s="21">
        <v>43.07</v>
      </c>
      <c r="G26" s="21">
        <v>8.1999999999999993</v>
      </c>
      <c r="H26" s="21">
        <v>0</v>
      </c>
      <c r="I26" s="21">
        <v>0</v>
      </c>
      <c r="J26" s="43">
        <f t="shared" ref="J26:J29" si="27">IF(F26-(B26+D26+H26+N26)&lt;0,0,F26-(B26+D26+H26+N26))</f>
        <v>18.464879213793104</v>
      </c>
      <c r="K26" s="43">
        <f t="shared" ref="K26:K29" si="28">IF(G26-(C26+E26+I26+O26)&lt;0,0,G26-(C26+E26+I26+O26))</f>
        <v>2.6064557368421042</v>
      </c>
      <c r="L26" s="44">
        <f t="shared" ref="L26:L29" si="29">IF(F26-(B26+D26+H26+N26)&lt;0,-(F26-(B26+D26+H26+N26)),0)</f>
        <v>0</v>
      </c>
      <c r="M26" s="44">
        <f t="shared" ref="M26:M29" si="30">IF(G26-(C26+E26+I26+O26)&lt;0,-(G26-(C26+E26+I26+O26)),0)</f>
        <v>0</v>
      </c>
      <c r="N26" s="48">
        <f t="shared" ref="N26:N30" si="31">N25</f>
        <v>0.21796500000000041</v>
      </c>
      <c r="O26" s="48">
        <f t="shared" ref="O26:O30" si="32">O25</f>
        <v>0</v>
      </c>
      <c r="P26" s="30">
        <f>SUMIFS(Cronograma!$T$2:$T$3000,Cronograma!$S$2:$S$3000,CONCATENATE(YEAR(Aeropuerto!$A26),"/",MONTH(Aeropuerto!$A26)),Cronograma!$G$2:$G$3000,"Si")/1000000</f>
        <v>0</v>
      </c>
      <c r="Q26" s="30">
        <f>SUMIFS(Cronograma!$T$2:$T$3000,Cronograma!$S$2:$S$3000,CONCATENATE(YEAR(Aeropuerto!$A26),"/",MONTH(Aeropuerto!$A26)),Cronograma!$G$2:$G$3000,"No")/1000000</f>
        <v>0</v>
      </c>
      <c r="R26" s="32">
        <f>SUMIFS(Cronograma!$U$2:$U$3000,Cronograma!$S$2:$S$3000,CONCATENATE(YEAR(Aeropuerto!$A26),"/",MONTH(Aeropuerto!$A26)),Cronograma!$G$2:$G$3000,"Si")/1000000</f>
        <v>0</v>
      </c>
      <c r="S26" s="32">
        <f>SUMIFS(Cronograma!$U$2:$U$3000,Cronograma!$S$2:$S$3000,CONCATENATE(YEAR(Aeropuerto!$A26),"/",MONTH(Aeropuerto!$A26)),Cronograma!$G$2:$G$3000,"No")/1000000</f>
        <v>0</v>
      </c>
      <c r="T26" s="47">
        <f t="shared" si="25"/>
        <v>18.246914213793104</v>
      </c>
      <c r="U26" s="47">
        <f t="shared" si="26"/>
        <v>2.6064557368421042</v>
      </c>
      <c r="V26" s="47">
        <f t="shared" si="23"/>
        <v>33.558802000000007</v>
      </c>
      <c r="W26" s="47">
        <f t="shared" si="24"/>
        <v>2.7</v>
      </c>
      <c r="X26" s="47">
        <v>885</v>
      </c>
      <c r="Y26" s="47">
        <v>4000</v>
      </c>
      <c r="Z26" s="47">
        <f t="shared" si="6"/>
        <v>39.154545454545449</v>
      </c>
      <c r="AA26" s="47">
        <f t="shared" si="7"/>
        <v>7.4545454545454533</v>
      </c>
      <c r="AB26" s="47">
        <f>(B26+SUM(R$19:R26))</f>
        <v>24.387155786206897</v>
      </c>
      <c r="AC26" s="47">
        <f>(C26+SUM(S$19:S26))</f>
        <v>5.5935442631578951</v>
      </c>
      <c r="AD26" s="47">
        <f t="shared" si="13"/>
        <v>5.3956582176982755</v>
      </c>
      <c r="AE26" s="47">
        <f t="shared" si="14"/>
        <v>1.2375716682236844</v>
      </c>
      <c r="AF26" s="56"/>
      <c r="AG26" s="56"/>
      <c r="AH26" s="56"/>
      <c r="AI26" s="56"/>
      <c r="AJ26" s="47">
        <f t="shared" si="18"/>
        <v>9.5292374999999989</v>
      </c>
      <c r="AK26" s="47">
        <f t="shared" si="5"/>
        <v>1.8142499999999997</v>
      </c>
    </row>
    <row r="27" spans="1:37" x14ac:dyDescent="0.3">
      <c r="A27" s="39">
        <v>45536</v>
      </c>
      <c r="B27" s="49">
        <f t="shared" si="20"/>
        <v>16.344827586206897</v>
      </c>
      <c r="C27" s="49">
        <f t="shared" si="19"/>
        <v>2.8421052631578951</v>
      </c>
      <c r="D27" s="40">
        <f>SUM(R$19:R26)+P27</f>
        <v>8.0423282</v>
      </c>
      <c r="E27" s="40">
        <f>SUM(S$19:S26)+Q27</f>
        <v>2.751439</v>
      </c>
      <c r="F27" s="21">
        <v>45.62</v>
      </c>
      <c r="G27" s="21">
        <v>8.1999999999999993</v>
      </c>
      <c r="H27" s="21">
        <v>0</v>
      </c>
      <c r="I27" s="21">
        <v>0</v>
      </c>
      <c r="J27" s="43">
        <f t="shared" si="27"/>
        <v>21.014879213793101</v>
      </c>
      <c r="K27" s="43">
        <f t="shared" si="28"/>
        <v>2.6064557368421042</v>
      </c>
      <c r="L27" s="44">
        <f t="shared" si="29"/>
        <v>0</v>
      </c>
      <c r="M27" s="44">
        <f t="shared" si="30"/>
        <v>0</v>
      </c>
      <c r="N27" s="48">
        <f t="shared" si="31"/>
        <v>0.21796500000000041</v>
      </c>
      <c r="O27" s="48">
        <f t="shared" si="32"/>
        <v>0</v>
      </c>
      <c r="P27" s="30">
        <f>SUMIFS(Cronograma!$T$2:$T$3000,Cronograma!$S$2:$S$3000,CONCATENATE(YEAR(Aeropuerto!$A27),"/",MONTH(Aeropuerto!$A27)),Cronograma!$G$2:$G$3000,"Si")/1000000</f>
        <v>0</v>
      </c>
      <c r="Q27" s="30">
        <f>SUMIFS(Cronograma!$T$2:$T$3000,Cronograma!$S$2:$S$3000,CONCATENATE(YEAR(Aeropuerto!$A27),"/",MONTH(Aeropuerto!$A27)),Cronograma!$G$2:$G$3000,"No")/1000000</f>
        <v>0</v>
      </c>
      <c r="R27" s="32">
        <f>SUMIFS(Cronograma!$U$2:$U$3000,Cronograma!$S$2:$S$3000,CONCATENATE(YEAR(Aeropuerto!$A27),"/",MONTH(Aeropuerto!$A27)),Cronograma!$G$2:$G$3000,"Si")/1000000</f>
        <v>0</v>
      </c>
      <c r="S27" s="32">
        <f>SUMIFS(Cronograma!$U$2:$U$3000,Cronograma!$S$2:$S$3000,CONCATENATE(YEAR(Aeropuerto!$A27),"/",MONTH(Aeropuerto!$A27)),Cronograma!$G$2:$G$3000,"No")/1000000</f>
        <v>0</v>
      </c>
      <c r="T27" s="47">
        <f t="shared" si="25"/>
        <v>20.796914213793102</v>
      </c>
      <c r="U27" s="47">
        <f t="shared" si="26"/>
        <v>2.6064557368421042</v>
      </c>
      <c r="V27" s="47">
        <f t="shared" si="23"/>
        <v>33.558802000000007</v>
      </c>
      <c r="W27" s="47">
        <f t="shared" si="24"/>
        <v>2.7</v>
      </c>
      <c r="X27" s="47">
        <v>885</v>
      </c>
      <c r="Y27" s="47">
        <v>4000</v>
      </c>
      <c r="Z27" s="47">
        <f t="shared" si="6"/>
        <v>41.472727272727269</v>
      </c>
      <c r="AA27" s="47">
        <f t="shared" si="7"/>
        <v>7.4545454545454533</v>
      </c>
      <c r="AB27" s="47">
        <f>(B27+SUM(R$19:R27))</f>
        <v>24.387155786206897</v>
      </c>
      <c r="AC27" s="47">
        <f>(C27+SUM(S$19:S27))</f>
        <v>5.5935442631578951</v>
      </c>
      <c r="AD27" s="47">
        <f t="shared" si="13"/>
        <v>5.3956582176982755</v>
      </c>
      <c r="AE27" s="47">
        <f t="shared" si="14"/>
        <v>1.2375716682236844</v>
      </c>
      <c r="AF27" s="56"/>
      <c r="AG27" s="56"/>
      <c r="AH27" s="56"/>
      <c r="AI27" s="56"/>
      <c r="AJ27" s="47">
        <f t="shared" si="18"/>
        <v>10.093425</v>
      </c>
      <c r="AK27" s="47">
        <f t="shared" si="5"/>
        <v>1.8142499999999997</v>
      </c>
    </row>
    <row r="28" spans="1:37" x14ac:dyDescent="0.3">
      <c r="A28" s="39">
        <v>45566</v>
      </c>
      <c r="B28" s="49">
        <f t="shared" si="20"/>
        <v>16.344827586206897</v>
      </c>
      <c r="C28" s="49">
        <f t="shared" si="19"/>
        <v>2.8421052631578951</v>
      </c>
      <c r="D28" s="40">
        <f>SUM(R$19:R27)+P28</f>
        <v>8.0423282</v>
      </c>
      <c r="E28" s="40">
        <f>SUM(S$19:S27)+Q28</f>
        <v>2.751439</v>
      </c>
      <c r="F28" s="21">
        <v>48.17</v>
      </c>
      <c r="G28" s="21">
        <v>8.1999999999999993</v>
      </c>
      <c r="H28" s="21">
        <v>0</v>
      </c>
      <c r="I28" s="21">
        <v>0</v>
      </c>
      <c r="J28" s="43">
        <f t="shared" si="27"/>
        <v>23.564879213793105</v>
      </c>
      <c r="K28" s="43">
        <f t="shared" si="28"/>
        <v>2.6064557368421042</v>
      </c>
      <c r="L28" s="44">
        <f t="shared" si="29"/>
        <v>0</v>
      </c>
      <c r="M28" s="44">
        <f t="shared" si="30"/>
        <v>0</v>
      </c>
      <c r="N28" s="48">
        <f t="shared" si="31"/>
        <v>0.21796500000000041</v>
      </c>
      <c r="O28" s="48">
        <f t="shared" si="32"/>
        <v>0</v>
      </c>
      <c r="P28" s="30">
        <f>SUMIFS(Cronograma!$T$2:$T$3000,Cronograma!$S$2:$S$3000,CONCATENATE(YEAR(Aeropuerto!$A28),"/",MONTH(Aeropuerto!$A28)),Cronograma!$G$2:$G$3000,"Si")/1000000</f>
        <v>0</v>
      </c>
      <c r="Q28" s="30">
        <f>SUMIFS(Cronograma!$T$2:$T$3000,Cronograma!$S$2:$S$3000,CONCATENATE(YEAR(Aeropuerto!$A28),"/",MONTH(Aeropuerto!$A28)),Cronograma!$G$2:$G$3000,"No")/1000000</f>
        <v>0</v>
      </c>
      <c r="R28" s="32">
        <f>SUMIFS(Cronograma!$U$2:$U$3000,Cronograma!$S$2:$S$3000,CONCATENATE(YEAR(Aeropuerto!$A28),"/",MONTH(Aeropuerto!$A28)),Cronograma!$G$2:$G$3000,"Si")/1000000</f>
        <v>0</v>
      </c>
      <c r="S28" s="32">
        <f>SUMIFS(Cronograma!$U$2:$U$3000,Cronograma!$S$2:$S$3000,CONCATENATE(YEAR(Aeropuerto!$A28),"/",MONTH(Aeropuerto!$A28)),Cronograma!$G$2:$G$3000,"No")/1000000</f>
        <v>0</v>
      </c>
      <c r="T28" s="47">
        <f t="shared" si="25"/>
        <v>23.346914213793106</v>
      </c>
      <c r="U28" s="47">
        <f t="shared" si="26"/>
        <v>2.6064557368421042</v>
      </c>
      <c r="V28" s="47">
        <f t="shared" si="23"/>
        <v>33.558802000000007</v>
      </c>
      <c r="W28" s="47">
        <f t="shared" si="24"/>
        <v>2.7</v>
      </c>
      <c r="X28" s="47">
        <v>885</v>
      </c>
      <c r="Y28" s="47">
        <v>4000</v>
      </c>
      <c r="Z28" s="47">
        <f t="shared" si="6"/>
        <v>43.790909090909089</v>
      </c>
      <c r="AA28" s="47">
        <f t="shared" si="7"/>
        <v>7.4545454545454533</v>
      </c>
      <c r="AB28" s="47">
        <f>(B28+SUM(R$19:R28))</f>
        <v>24.387155786206897</v>
      </c>
      <c r="AC28" s="47">
        <f>(C28+SUM(S$19:S28))</f>
        <v>5.5935442631578951</v>
      </c>
      <c r="AD28" s="47">
        <f t="shared" si="13"/>
        <v>5.3956582176982755</v>
      </c>
      <c r="AE28" s="47">
        <f t="shared" si="14"/>
        <v>1.2375716682236844</v>
      </c>
      <c r="AF28" s="56"/>
      <c r="AG28" s="56"/>
      <c r="AH28" s="56"/>
      <c r="AI28" s="56"/>
      <c r="AJ28" s="47">
        <f t="shared" si="18"/>
        <v>10.657612500000001</v>
      </c>
      <c r="AK28" s="47">
        <f t="shared" si="5"/>
        <v>1.8142499999999997</v>
      </c>
    </row>
    <row r="29" spans="1:37" x14ac:dyDescent="0.3">
      <c r="A29" s="39">
        <v>45597</v>
      </c>
      <c r="B29" s="49">
        <f t="shared" si="20"/>
        <v>16.344827586206897</v>
      </c>
      <c r="C29" s="49">
        <f t="shared" si="19"/>
        <v>2.8421052631578951</v>
      </c>
      <c r="D29" s="40">
        <f>SUM(R$19:R28)+P29</f>
        <v>8.0423282</v>
      </c>
      <c r="E29" s="40">
        <f>SUM(S$19:S28)+Q29</f>
        <v>2.751439</v>
      </c>
      <c r="F29" s="21">
        <v>50.72</v>
      </c>
      <c r="G29" s="21">
        <v>8.1999999999999993</v>
      </c>
      <c r="H29" s="21">
        <v>0</v>
      </c>
      <c r="I29" s="21">
        <v>0</v>
      </c>
      <c r="J29" s="43">
        <f t="shared" si="27"/>
        <v>26.114879213793103</v>
      </c>
      <c r="K29" s="43">
        <f t="shared" si="28"/>
        <v>2.6064557368421042</v>
      </c>
      <c r="L29" s="44">
        <f t="shared" si="29"/>
        <v>0</v>
      </c>
      <c r="M29" s="44">
        <f t="shared" si="30"/>
        <v>0</v>
      </c>
      <c r="N29" s="48">
        <f t="shared" si="31"/>
        <v>0.21796500000000041</v>
      </c>
      <c r="O29" s="48">
        <f t="shared" si="32"/>
        <v>0</v>
      </c>
      <c r="P29" s="30">
        <f>SUMIFS(Cronograma!$T$2:$T$3000,Cronograma!$S$2:$S$3000,CONCATENATE(YEAR(Aeropuerto!$A29),"/",MONTH(Aeropuerto!$A29)),Cronograma!$G$2:$G$3000,"Si")/1000000</f>
        <v>0</v>
      </c>
      <c r="Q29" s="30">
        <f>SUMIFS(Cronograma!$T$2:$T$3000,Cronograma!$S$2:$S$3000,CONCATENATE(YEAR(Aeropuerto!$A29),"/",MONTH(Aeropuerto!$A29)),Cronograma!$G$2:$G$3000,"No")/1000000</f>
        <v>0</v>
      </c>
      <c r="R29" s="32">
        <f>SUMIFS(Cronograma!$U$2:$U$3000,Cronograma!$S$2:$S$3000,CONCATENATE(YEAR(Aeropuerto!$A29),"/",MONTH(Aeropuerto!$A29)),Cronograma!$G$2:$G$3000,"Si")/1000000</f>
        <v>0</v>
      </c>
      <c r="S29" s="32">
        <f>SUMIFS(Cronograma!$U$2:$U$3000,Cronograma!$S$2:$S$3000,CONCATENATE(YEAR(Aeropuerto!$A29),"/",MONTH(Aeropuerto!$A29)),Cronograma!$G$2:$G$3000,"No")/1000000</f>
        <v>0</v>
      </c>
      <c r="T29" s="47">
        <f t="shared" si="25"/>
        <v>25.896914213793103</v>
      </c>
      <c r="U29" s="47">
        <f t="shared" si="26"/>
        <v>2.6064557368421042</v>
      </c>
      <c r="V29" s="47">
        <f t="shared" si="23"/>
        <v>33.558802000000007</v>
      </c>
      <c r="W29" s="47">
        <f t="shared" si="24"/>
        <v>2.7</v>
      </c>
      <c r="X29" s="47">
        <v>885</v>
      </c>
      <c r="Y29" s="47">
        <v>4000</v>
      </c>
      <c r="Z29" s="47">
        <f t="shared" si="6"/>
        <v>46.109090909090902</v>
      </c>
      <c r="AA29" s="47">
        <f t="shared" si="7"/>
        <v>7.4545454545454533</v>
      </c>
      <c r="AB29" s="47">
        <f>(B29+SUM(R$19:R29))</f>
        <v>24.387155786206897</v>
      </c>
      <c r="AC29" s="47">
        <f>(C29+SUM(S$19:S29))</f>
        <v>5.5935442631578951</v>
      </c>
      <c r="AD29" s="47">
        <f t="shared" si="13"/>
        <v>5.3956582176982755</v>
      </c>
      <c r="AE29" s="47">
        <f t="shared" si="14"/>
        <v>1.2375716682236844</v>
      </c>
      <c r="AF29" s="56"/>
      <c r="AG29" s="56"/>
      <c r="AH29" s="56"/>
      <c r="AI29" s="56"/>
      <c r="AJ29" s="47">
        <f t="shared" si="18"/>
        <v>11.2218</v>
      </c>
      <c r="AK29" s="47">
        <f t="shared" si="5"/>
        <v>1.8142499999999997</v>
      </c>
    </row>
    <row r="30" spans="1:37" x14ac:dyDescent="0.3">
      <c r="A30" s="39">
        <v>45627</v>
      </c>
      <c r="B30" s="49">
        <f t="shared" si="20"/>
        <v>16.344827586206897</v>
      </c>
      <c r="C30" s="49">
        <f t="shared" si="19"/>
        <v>2.8421052631578951</v>
      </c>
      <c r="D30" s="40">
        <f>SUM(R$19:R29)+P30</f>
        <v>8.0423282</v>
      </c>
      <c r="E30" s="40">
        <f>SUM(S$19:S29)+Q30</f>
        <v>2.751439</v>
      </c>
      <c r="F30" s="21">
        <v>53.27</v>
      </c>
      <c r="G30" s="21">
        <v>8.1999999999999993</v>
      </c>
      <c r="H30" s="21">
        <v>0</v>
      </c>
      <c r="I30" s="21">
        <v>0</v>
      </c>
      <c r="J30" s="43">
        <f>IF(F30-(B30+D30+H30+N30)&lt;0,0,F30-(B30+D30+H30+N30))</f>
        <v>28.664879213793107</v>
      </c>
      <c r="K30" s="43">
        <f>IF(G30-(C30+E30+I30+O30)&lt;0,0,G30-(C30+E30+I30+O30))</f>
        <v>2.6064557368421042</v>
      </c>
      <c r="L30" s="44">
        <f>IF(F30-(B30+D30+H30+N30)&lt;0,-(F30-(B30+D30+H30+N30)),0)</f>
        <v>0</v>
      </c>
      <c r="M30" s="44">
        <f>IF(G30-(C30+E30+I30+O30)&lt;0,-(G30-(C30+E30+I30+O30)),0)</f>
        <v>0</v>
      </c>
      <c r="N30" s="48">
        <f t="shared" si="31"/>
        <v>0.21796500000000041</v>
      </c>
      <c r="O30" s="48">
        <f t="shared" si="32"/>
        <v>0</v>
      </c>
      <c r="P30" s="30">
        <f>SUMIFS(Cronograma!$T$2:$T$3000,Cronograma!$S$2:$S$3000,CONCATENATE(YEAR(Aeropuerto!$A30),"/",MONTH(Aeropuerto!$A30)),Cronograma!$G$2:$G$3000,"Si")/1000000</f>
        <v>0</v>
      </c>
      <c r="Q30" s="30">
        <f>SUMIFS(Cronograma!$T$2:$T$3000,Cronograma!$S$2:$S$3000,CONCATENATE(YEAR(Aeropuerto!$A30),"/",MONTH(Aeropuerto!$A30)),Cronograma!$G$2:$G$3000,"No")/1000000</f>
        <v>0</v>
      </c>
      <c r="R30" s="32">
        <f>SUMIFS(Cronograma!$U$2:$U$3000,Cronograma!$S$2:$S$3000,CONCATENATE(YEAR(Aeropuerto!$A30),"/",MONTH(Aeropuerto!$A30)),Cronograma!$G$2:$G$3000,"Si")/1000000</f>
        <v>0</v>
      </c>
      <c r="S30" s="32">
        <f>SUMIFS(Cronograma!$U$2:$U$3000,Cronograma!$S$2:$S$3000,CONCATENATE(YEAR(Aeropuerto!$A30),"/",MONTH(Aeropuerto!$A30)),Cronograma!$G$2:$G$3000,"No")/1000000</f>
        <v>0</v>
      </c>
      <c r="T30" s="47">
        <f t="shared" si="25"/>
        <v>28.446914213793107</v>
      </c>
      <c r="U30" s="47">
        <f t="shared" si="26"/>
        <v>2.6064557368421042</v>
      </c>
      <c r="V30" s="47">
        <f t="shared" si="23"/>
        <v>33.558802000000007</v>
      </c>
      <c r="W30" s="47">
        <f t="shared" si="24"/>
        <v>2.7</v>
      </c>
      <c r="X30" s="47">
        <v>885</v>
      </c>
      <c r="Y30" s="47">
        <v>4000</v>
      </c>
      <c r="Z30" s="47">
        <f t="shared" si="6"/>
        <v>48.427272727272729</v>
      </c>
      <c r="AA30" s="47">
        <f t="shared" si="7"/>
        <v>7.4545454545454533</v>
      </c>
      <c r="AB30" s="47">
        <f>(B30+SUM(R$19:R30))</f>
        <v>24.387155786206897</v>
      </c>
      <c r="AC30" s="47">
        <f>(C30+SUM(S$19:S30))</f>
        <v>5.5935442631578951</v>
      </c>
      <c r="AD30" s="47">
        <f t="shared" si="13"/>
        <v>5.3956582176982755</v>
      </c>
      <c r="AE30" s="47">
        <f t="shared" si="14"/>
        <v>1.2375716682236844</v>
      </c>
      <c r="AF30" s="56"/>
      <c r="AG30" s="56"/>
      <c r="AH30" s="56"/>
      <c r="AI30" s="56"/>
      <c r="AJ30" s="47">
        <f t="shared" si="18"/>
        <v>11.785987500000001</v>
      </c>
      <c r="AK30" s="47">
        <f t="shared" si="18"/>
        <v>1.8142499999999997</v>
      </c>
    </row>
    <row r="31" spans="1:37" x14ac:dyDescent="0.3">
      <c r="N31" s="46"/>
      <c r="O31" s="46"/>
      <c r="AF31" s="47"/>
      <c r="AG31" s="47"/>
    </row>
    <row r="32" spans="1:37" x14ac:dyDescent="0.3">
      <c r="AD32" s="47"/>
      <c r="AF32" s="4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25C3-F626-4856-97CC-C35DED325417}">
  <dimension ref="A1:H14"/>
  <sheetViews>
    <sheetView workbookViewId="0">
      <selection activeCell="E34" sqref="E34"/>
    </sheetView>
  </sheetViews>
  <sheetFormatPr baseColWidth="10" defaultColWidth="11.5546875" defaultRowHeight="14.4" x14ac:dyDescent="0.3"/>
  <cols>
    <col min="1" max="16384" width="11.5546875" style="14"/>
  </cols>
  <sheetData>
    <row r="1" spans="1:8" x14ac:dyDescent="0.3">
      <c r="A1" s="13" t="s">
        <v>2290</v>
      </c>
      <c r="B1" s="13" t="s">
        <v>2290</v>
      </c>
      <c r="C1" s="13" t="s">
        <v>2291</v>
      </c>
      <c r="D1" s="13" t="s">
        <v>282</v>
      </c>
      <c r="E1" s="13" t="s">
        <v>143</v>
      </c>
      <c r="F1" s="13" t="s">
        <v>277</v>
      </c>
      <c r="G1" s="13" t="s">
        <v>292</v>
      </c>
      <c r="H1" s="13" t="s">
        <v>2290</v>
      </c>
    </row>
    <row r="2" spans="1:8" x14ac:dyDescent="0.3">
      <c r="A2" s="13"/>
      <c r="B2" s="13"/>
      <c r="C2" s="13"/>
      <c r="D2" s="13">
        <v>1</v>
      </c>
      <c r="E2" s="13">
        <v>2</v>
      </c>
      <c r="F2" s="13">
        <v>3</v>
      </c>
      <c r="G2" s="13">
        <v>4</v>
      </c>
    </row>
    <row r="3" spans="1:8" x14ac:dyDescent="0.3">
      <c r="A3" s="14" t="s">
        <v>145</v>
      </c>
      <c r="B3" s="14">
        <v>12</v>
      </c>
      <c r="C3" s="14">
        <v>31</v>
      </c>
      <c r="D3" s="15"/>
      <c r="E3" s="16"/>
      <c r="F3" s="16"/>
      <c r="G3" s="16"/>
      <c r="H3" s="14" t="str">
        <f>A3</f>
        <v>DICIEMBRE</v>
      </c>
    </row>
    <row r="4" spans="1:8" x14ac:dyDescent="0.3">
      <c r="A4" s="14" t="s">
        <v>279</v>
      </c>
      <c r="B4" s="14">
        <v>1</v>
      </c>
      <c r="C4" s="14">
        <v>31</v>
      </c>
      <c r="D4" s="17">
        <v>45295</v>
      </c>
      <c r="E4" s="17">
        <f>D4+7</f>
        <v>45302</v>
      </c>
      <c r="F4" s="17">
        <f t="shared" ref="F4:G4" si="0">E4+7</f>
        <v>45309</v>
      </c>
      <c r="G4" s="17">
        <f t="shared" si="0"/>
        <v>45316</v>
      </c>
      <c r="H4" s="14" t="str">
        <f t="shared" ref="H4:H14" si="1">A4</f>
        <v>ENERO</v>
      </c>
    </row>
    <row r="5" spans="1:8" x14ac:dyDescent="0.3">
      <c r="A5" s="14" t="s">
        <v>748</v>
      </c>
      <c r="B5" s="14">
        <f>B4+1</f>
        <v>2</v>
      </c>
      <c r="C5" s="14">
        <v>29</v>
      </c>
      <c r="D5" s="17">
        <v>45323</v>
      </c>
      <c r="E5" s="17">
        <f t="shared" ref="E5:G8" si="2">D5+7</f>
        <v>45330</v>
      </c>
      <c r="F5" s="17">
        <f t="shared" si="2"/>
        <v>45337</v>
      </c>
      <c r="G5" s="17">
        <f t="shared" si="2"/>
        <v>45344</v>
      </c>
      <c r="H5" s="14" t="str">
        <f t="shared" si="1"/>
        <v>FEBRERO</v>
      </c>
    </row>
    <row r="6" spans="1:8" x14ac:dyDescent="0.3">
      <c r="A6" s="14" t="s">
        <v>1120</v>
      </c>
      <c r="B6" s="14">
        <f t="shared" ref="B6:B14" si="3">B5+1</f>
        <v>3</v>
      </c>
      <c r="C6" s="14">
        <v>31</v>
      </c>
      <c r="D6" s="17">
        <v>45358</v>
      </c>
      <c r="E6" s="17">
        <f t="shared" si="2"/>
        <v>45365</v>
      </c>
      <c r="F6" s="17">
        <f t="shared" si="2"/>
        <v>45372</v>
      </c>
      <c r="G6" s="17">
        <f t="shared" si="2"/>
        <v>45379</v>
      </c>
      <c r="H6" s="14" t="str">
        <f t="shared" si="1"/>
        <v>MARZO</v>
      </c>
    </row>
    <row r="7" spans="1:8" x14ac:dyDescent="0.3">
      <c r="A7" s="14" t="s">
        <v>2292</v>
      </c>
      <c r="B7" s="14">
        <f t="shared" si="3"/>
        <v>4</v>
      </c>
      <c r="C7" s="14">
        <v>30</v>
      </c>
      <c r="D7" s="17">
        <v>45386</v>
      </c>
      <c r="E7" s="17">
        <f t="shared" si="2"/>
        <v>45393</v>
      </c>
      <c r="F7" s="17">
        <f t="shared" si="2"/>
        <v>45400</v>
      </c>
      <c r="G7" s="17">
        <f t="shared" si="2"/>
        <v>45407</v>
      </c>
      <c r="H7" s="14" t="str">
        <f t="shared" si="1"/>
        <v>ABRIL</v>
      </c>
    </row>
    <row r="8" spans="1:8" x14ac:dyDescent="0.3">
      <c r="A8" s="14" t="s">
        <v>2293</v>
      </c>
      <c r="B8" s="14">
        <f t="shared" si="3"/>
        <v>5</v>
      </c>
      <c r="C8" s="14">
        <v>31</v>
      </c>
      <c r="D8" s="17">
        <v>45414</v>
      </c>
      <c r="E8" s="17">
        <f t="shared" si="2"/>
        <v>45421</v>
      </c>
      <c r="F8" s="17">
        <f t="shared" si="2"/>
        <v>45428</v>
      </c>
      <c r="G8" s="17">
        <f t="shared" si="2"/>
        <v>45435</v>
      </c>
      <c r="H8" s="14" t="str">
        <f t="shared" si="1"/>
        <v>MAYO</v>
      </c>
    </row>
    <row r="9" spans="1:8" x14ac:dyDescent="0.3">
      <c r="A9" s="14" t="s">
        <v>2294</v>
      </c>
      <c r="B9" s="14">
        <f t="shared" si="3"/>
        <v>6</v>
      </c>
      <c r="C9" s="14">
        <v>30</v>
      </c>
      <c r="D9" s="15"/>
      <c r="E9" s="16"/>
      <c r="F9" s="16"/>
      <c r="G9" s="16"/>
      <c r="H9" s="14" t="str">
        <f t="shared" si="1"/>
        <v>JUNIO</v>
      </c>
    </row>
    <row r="10" spans="1:8" x14ac:dyDescent="0.3">
      <c r="A10" s="14" t="s">
        <v>2295</v>
      </c>
      <c r="B10" s="14">
        <f t="shared" si="3"/>
        <v>7</v>
      </c>
      <c r="C10" s="14">
        <v>31</v>
      </c>
      <c r="D10" s="15"/>
      <c r="E10" s="16"/>
      <c r="F10" s="16"/>
      <c r="G10" s="16"/>
      <c r="H10" s="14" t="str">
        <f t="shared" si="1"/>
        <v>JULIO</v>
      </c>
    </row>
    <row r="11" spans="1:8" x14ac:dyDescent="0.3">
      <c r="A11" s="14" t="s">
        <v>2296</v>
      </c>
      <c r="B11" s="14">
        <f t="shared" si="3"/>
        <v>8</v>
      </c>
      <c r="C11" s="14">
        <v>30</v>
      </c>
      <c r="D11" s="15"/>
      <c r="E11" s="16"/>
      <c r="F11" s="16"/>
      <c r="G11" s="16"/>
      <c r="H11" s="14" t="str">
        <f t="shared" si="1"/>
        <v>AGOSTO</v>
      </c>
    </row>
    <row r="12" spans="1:8" x14ac:dyDescent="0.3">
      <c r="A12" s="14" t="s">
        <v>2297</v>
      </c>
      <c r="B12" s="14">
        <f t="shared" si="3"/>
        <v>9</v>
      </c>
      <c r="C12" s="14">
        <v>30</v>
      </c>
      <c r="D12" s="15"/>
      <c r="E12" s="16"/>
      <c r="F12" s="16"/>
      <c r="G12" s="16"/>
      <c r="H12" s="14" t="str">
        <f t="shared" si="1"/>
        <v>SEPTIEMBRE</v>
      </c>
    </row>
    <row r="13" spans="1:8" x14ac:dyDescent="0.3">
      <c r="A13" s="14" t="s">
        <v>2298</v>
      </c>
      <c r="B13" s="14">
        <f t="shared" si="3"/>
        <v>10</v>
      </c>
      <c r="C13" s="14">
        <v>31</v>
      </c>
      <c r="D13" s="15"/>
      <c r="E13" s="16"/>
      <c r="F13" s="16"/>
      <c r="G13" s="16"/>
      <c r="H13" s="14" t="str">
        <f t="shared" si="1"/>
        <v>OCTUBRE</v>
      </c>
    </row>
    <row r="14" spans="1:8" x14ac:dyDescent="0.3">
      <c r="A14" s="14" t="s">
        <v>2059</v>
      </c>
      <c r="B14" s="14">
        <f t="shared" si="3"/>
        <v>11</v>
      </c>
      <c r="C14" s="14">
        <v>30</v>
      </c>
      <c r="D14" s="15"/>
      <c r="E14" s="16"/>
      <c r="F14" s="16"/>
      <c r="G14" s="16"/>
      <c r="H14" s="14" t="str">
        <f t="shared" si="1"/>
        <v>NOVIEMBRE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Cronograma</vt:lpstr>
      <vt:lpstr>Procedimiento</vt:lpstr>
      <vt:lpstr>Aeropuerto</vt:lpstr>
      <vt:lpstr>Meses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Strategy</dc:creator>
  <cp:lastModifiedBy>Luis Fernando Gonzalez Perez</cp:lastModifiedBy>
  <dcterms:created xsi:type="dcterms:W3CDTF">2023-12-11T23:33:14Z</dcterms:created>
  <dcterms:modified xsi:type="dcterms:W3CDTF">2024-03-05T20:25:34Z</dcterms:modified>
</cp:coreProperties>
</file>