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/>
  <mc:AlternateContent xmlns:mc="http://schemas.openxmlformats.org/markup-compatibility/2006">
    <mc:Choice Requires="x15">
      <x15ac:absPath xmlns:x15ac="http://schemas.microsoft.com/office/spreadsheetml/2010/11/ac" url="C:\Users\luisj\Desktop\"/>
    </mc:Choice>
  </mc:AlternateContent>
  <xr:revisionPtr revIDLastSave="0" documentId="13_ncr:1_{231D8009-C315-4DF3-9C1E-69AEB40D2F94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Hipotecas" sheetId="1" r:id="rId1"/>
    <sheet name="2DO - &gt; 8 - 28 " sheetId="6" r:id="rId2"/>
    <sheet name="2DO - &gt; 8 - 28  - edad24-44" sheetId="7" r:id="rId3"/>
    <sheet name="2DO - &gt;28" sheetId="2" r:id="rId4"/>
    <sheet name="2DO - &gt;28 - buroV" sheetId="8" r:id="rId5"/>
    <sheet name="2DO - &gt;28 - buroV - InfonavitNO" sheetId="9" r:id="rId6"/>
    <sheet name="2DO - &gt;28 - buroV - InfoNO - Ah" sheetId="10" r:id="rId7"/>
  </sheets>
  <definedNames>
    <definedName name="_xlnm._FilterDatabase" localSheetId="0" hidden="1">Hipotecas!$A$1:$AF$32</definedName>
    <definedName name="Z_D07F7C9A_16B2_4600_9A2F_D8DE2BC52330_.wvu.FilterData" localSheetId="0" hidden="1">Hipotecas!$A$1:$F$32</definedName>
    <definedName name="Z_D7FF6955_C68C_4D0C_94EF_506C3524D1CD_.wvu.FilterData" localSheetId="0" hidden="1">Hipotecas!$E$1:$E$997</definedName>
    <definedName name="Z_ED54637B_9F02_4FC0_9BB1_696179924253_.wvu.FilterData" localSheetId="0" hidden="1">Hipotecas!$A$1:$F$32</definedName>
  </definedNames>
  <calcPr calcId="191029"/>
  <customWorkbookViews>
    <customWorkbookView name="Filtro 3" guid="{D7FF6955-C68C-4D0C-94EF-506C3524D1CD}" maximized="1" windowWidth="0" windowHeight="0" activeSheetId="0"/>
    <customWorkbookView name="Filtro 2" guid="{D07F7C9A-16B2-4600-9A2F-D8DE2BC52330}" maximized="1" windowWidth="0" windowHeight="0" activeSheetId="0"/>
    <customWorkbookView name="Filtro 1" guid="{ED54637B-9F02-4FC0-9BB1-69617992425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7" l="1"/>
  <c r="B8" i="7"/>
  <c r="I14" i="10"/>
  <c r="I13" i="10"/>
  <c r="I12" i="10"/>
  <c r="J22" i="9"/>
  <c r="J21" i="9"/>
  <c r="J20" i="9"/>
  <c r="J16" i="9"/>
  <c r="J15" i="9"/>
  <c r="J14" i="9"/>
  <c r="B20" i="8"/>
  <c r="B19" i="8"/>
  <c r="B18" i="8"/>
  <c r="K39" i="8"/>
  <c r="K38" i="8"/>
  <c r="K32" i="8"/>
  <c r="K34" i="8"/>
  <c r="K33" i="8"/>
  <c r="K26" i="8"/>
  <c r="K28" i="8"/>
  <c r="K27" i="8"/>
  <c r="I27" i="8"/>
  <c r="J27" i="8" s="1"/>
  <c r="G14" i="10" l="1"/>
  <c r="F14" i="10"/>
  <c r="G13" i="10"/>
  <c r="F13" i="10"/>
  <c r="G12" i="10"/>
  <c r="F12" i="10"/>
  <c r="F8" i="10"/>
  <c r="E8" i="10"/>
  <c r="H22" i="9"/>
  <c r="G22" i="9"/>
  <c r="H21" i="9"/>
  <c r="G21" i="9"/>
  <c r="H20" i="9"/>
  <c r="G20" i="9"/>
  <c r="H16" i="9"/>
  <c r="G16" i="9"/>
  <c r="H15" i="9"/>
  <c r="G15" i="9"/>
  <c r="H14" i="9"/>
  <c r="G14" i="9"/>
  <c r="G10" i="9"/>
  <c r="F10" i="9"/>
  <c r="I39" i="8"/>
  <c r="H39" i="8"/>
  <c r="I38" i="8"/>
  <c r="H38" i="8"/>
  <c r="I34" i="8"/>
  <c r="H34" i="8"/>
  <c r="I33" i="8"/>
  <c r="H33" i="8"/>
  <c r="I32" i="8"/>
  <c r="H32" i="8"/>
  <c r="I28" i="8"/>
  <c r="H28" i="8"/>
  <c r="H27" i="8"/>
  <c r="I26" i="8"/>
  <c r="H26" i="8"/>
  <c r="H17" i="8"/>
  <c r="G17" i="8"/>
  <c r="K24" i="7"/>
  <c r="I17" i="7"/>
  <c r="H17" i="7"/>
  <c r="I16" i="7"/>
  <c r="H16" i="7"/>
  <c r="K11" i="7"/>
  <c r="I10" i="7"/>
  <c r="H10" i="7"/>
  <c r="I6" i="7"/>
  <c r="J25" i="2"/>
  <c r="I25" i="2"/>
  <c r="J24" i="2"/>
  <c r="I24" i="2"/>
  <c r="J20" i="2"/>
  <c r="I20" i="2"/>
  <c r="J19" i="2"/>
  <c r="I19" i="2"/>
  <c r="J18" i="2"/>
  <c r="I18" i="2"/>
  <c r="J14" i="2"/>
  <c r="J13" i="2"/>
  <c r="I14" i="2"/>
  <c r="I13" i="2"/>
  <c r="J12" i="2"/>
  <c r="I12" i="2"/>
  <c r="J8" i="2"/>
  <c r="I8" i="2"/>
  <c r="J7" i="2"/>
  <c r="I7" i="2"/>
  <c r="I3" i="2"/>
  <c r="H3" i="2"/>
  <c r="J25" i="6"/>
  <c r="I25" i="6"/>
  <c r="J24" i="6"/>
  <c r="I24" i="6"/>
  <c r="J20" i="6"/>
  <c r="I20" i="6"/>
  <c r="J19" i="6"/>
  <c r="I19" i="6"/>
  <c r="J18" i="6"/>
  <c r="I18" i="6"/>
  <c r="J14" i="6"/>
  <c r="J13" i="6"/>
  <c r="I14" i="6"/>
  <c r="I13" i="6"/>
  <c r="J12" i="6"/>
  <c r="I12" i="6"/>
  <c r="J8" i="6"/>
  <c r="I8" i="6"/>
  <c r="J7" i="6"/>
  <c r="I7" i="6"/>
  <c r="I3" i="6"/>
  <c r="H3" i="6"/>
  <c r="G8" i="10" l="1"/>
  <c r="H10" i="9"/>
  <c r="I15" i="9"/>
  <c r="I16" i="9"/>
  <c r="I22" i="9"/>
  <c r="J28" i="8"/>
  <c r="J26" i="8"/>
  <c r="I17" i="8"/>
  <c r="J32" i="8"/>
  <c r="J39" i="8"/>
  <c r="J34" i="8"/>
  <c r="K23" i="7"/>
  <c r="K25" i="7" s="1"/>
  <c r="B10" i="7" s="1"/>
  <c r="K17" i="7"/>
  <c r="K16" i="7"/>
  <c r="J10" i="7"/>
  <c r="K10" i="7" s="1"/>
  <c r="K12" i="7" s="1"/>
  <c r="J3" i="6"/>
  <c r="L8" i="6"/>
  <c r="L18" i="6"/>
  <c r="K20" i="6"/>
  <c r="L20" i="6" s="1"/>
  <c r="K18" i="2"/>
  <c r="L18" i="2" s="1"/>
  <c r="K20" i="2"/>
  <c r="L20" i="2" s="1"/>
  <c r="K25" i="2"/>
  <c r="L25" i="2" s="1"/>
  <c r="L25" i="6"/>
  <c r="K7" i="6"/>
  <c r="L7" i="6" s="1"/>
  <c r="L12" i="6"/>
  <c r="L19" i="6"/>
  <c r="L8" i="2"/>
  <c r="L14" i="6"/>
  <c r="K14" i="2"/>
  <c r="L14" i="2" s="1"/>
  <c r="K12" i="2"/>
  <c r="L12" i="2" s="1"/>
  <c r="K13" i="6"/>
  <c r="L13" i="6" s="1"/>
  <c r="L19" i="2"/>
  <c r="K13" i="2"/>
  <c r="L13" i="2" s="1"/>
  <c r="K7" i="2"/>
  <c r="L7" i="2" s="1"/>
  <c r="K24" i="2"/>
  <c r="J3" i="2"/>
  <c r="K24" i="6"/>
  <c r="L24" i="6" s="1"/>
  <c r="I15" i="10" l="1"/>
  <c r="L8" i="10" s="1"/>
  <c r="J23" i="9"/>
  <c r="M11" i="9" s="1"/>
  <c r="J17" i="9"/>
  <c r="M10" i="9" s="1"/>
  <c r="K29" i="8"/>
  <c r="K40" i="8"/>
  <c r="K35" i="8"/>
  <c r="K19" i="7"/>
  <c r="L9" i="6"/>
  <c r="B12" i="6" s="1"/>
  <c r="L21" i="6"/>
  <c r="B14" i="6" s="1"/>
  <c r="L26" i="6"/>
  <c r="B15" i="6" s="1"/>
  <c r="L15" i="6"/>
  <c r="B13" i="6" s="1"/>
  <c r="L24" i="2"/>
  <c r="L26" i="2" s="1"/>
  <c r="B22" i="2" s="1"/>
  <c r="L15" i="2"/>
  <c r="B20" i="2" s="1"/>
  <c r="L21" i="2"/>
  <c r="B21" i="2" s="1"/>
  <c r="L9" i="2"/>
  <c r="B19" i="2" s="1"/>
  <c r="I42" i="1"/>
  <c r="H42" i="1"/>
  <c r="H43" i="1"/>
  <c r="I43" i="1"/>
  <c r="J35" i="1"/>
  <c r="K35" i="1" s="1"/>
  <c r="J29" i="1"/>
  <c r="K29" i="1" s="1"/>
  <c r="J27" i="1"/>
  <c r="K27" i="1" s="1"/>
  <c r="J28" i="1"/>
  <c r="K28" i="1" s="1"/>
  <c r="H21" i="1"/>
  <c r="J37" i="1"/>
  <c r="K37" i="1" s="1"/>
  <c r="J36" i="1"/>
  <c r="K36" i="1" s="1"/>
  <c r="I22" i="1"/>
  <c r="H22" i="1"/>
  <c r="I21" i="1"/>
  <c r="K14" i="1"/>
  <c r="J15" i="1"/>
  <c r="K15" i="1" s="1"/>
  <c r="J16" i="1"/>
  <c r="K16" i="1" s="1"/>
  <c r="G3" i="1"/>
  <c r="G2" i="1"/>
  <c r="J42" i="1" l="1"/>
  <c r="K42" i="1" s="1"/>
  <c r="J43" i="1"/>
  <c r="K43" i="1" s="1"/>
  <c r="K38" i="1"/>
  <c r="K30" i="1"/>
  <c r="J21" i="1"/>
  <c r="K21" i="1" s="1"/>
  <c r="K17" i="1"/>
  <c r="K22" i="1"/>
  <c r="H5" i="1"/>
  <c r="H6" i="1" s="1"/>
  <c r="H7" i="1"/>
  <c r="H8" i="1" s="1"/>
  <c r="K23" i="1" l="1"/>
  <c r="K44" i="1"/>
  <c r="H9" i="1"/>
  <c r="B37" i="1" l="1"/>
  <c r="B41" i="1"/>
  <c r="B39" i="1"/>
  <c r="B40" i="1"/>
  <c r="B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Mtro. César Fonseca</author>
  </authors>
  <commentList>
    <comment ref="K14" authorId="0" shapeId="0" xr:uid="{E57B7D90-A685-4FD9-AC88-F7B201B2661F}">
      <text>
        <r>
          <rPr>
            <b/>
            <sz val="9"/>
            <color indexed="81"/>
            <rFont val="Tahoma"/>
            <family val="2"/>
          </rPr>
          <t>Mtro. César Fonseca:</t>
        </r>
        <r>
          <rPr>
            <sz val="9"/>
            <color indexed="81"/>
            <rFont val="Tahoma"/>
            <family val="2"/>
          </rPr>
          <t xml:space="preserve">
Del &lt;8 sale directo que no se otorga, por eso se elimina ese atributo para la siguiente tabla.</t>
        </r>
      </text>
    </comment>
  </commentList>
</comments>
</file>

<file path=xl/sharedStrings.xml><?xml version="1.0" encoding="utf-8"?>
<sst xmlns="http://schemas.openxmlformats.org/spreadsheetml/2006/main" count="717" uniqueCount="79">
  <si>
    <t>Rango sueldo(k$)</t>
  </si>
  <si>
    <t xml:space="preserve">Buró de crédito </t>
  </si>
  <si>
    <t xml:space="preserve">Edad </t>
  </si>
  <si>
    <t>Ahorros(% de sueldo mensual)</t>
  </si>
  <si>
    <t>Otorgar</t>
  </si>
  <si>
    <t>&lt; 8</t>
  </si>
  <si>
    <t>V</t>
  </si>
  <si>
    <t>45-64</t>
  </si>
  <si>
    <t>SI</t>
  </si>
  <si>
    <t>NO</t>
  </si>
  <si>
    <t>51-150</t>
  </si>
  <si>
    <t>No</t>
  </si>
  <si>
    <t>&lt; 24 o &gt; 64</t>
  </si>
  <si>
    <t>Si</t>
  </si>
  <si>
    <t>24 -44</t>
  </si>
  <si>
    <t>R</t>
  </si>
  <si>
    <t>&lt; 50</t>
  </si>
  <si>
    <t>&gt; 8 - 28</t>
  </si>
  <si>
    <t>&gt; 150</t>
  </si>
  <si>
    <t>&gt; 28</t>
  </si>
  <si>
    <t>Infonavit o fovisste (5 años cotizados)</t>
  </si>
  <si>
    <t>p</t>
  </si>
  <si>
    <t>n</t>
  </si>
  <si>
    <t>p1</t>
  </si>
  <si>
    <t>p2</t>
  </si>
  <si>
    <t>p3</t>
  </si>
  <si>
    <t>p4</t>
  </si>
  <si>
    <t>Entropía general</t>
  </si>
  <si>
    <t>&lt;8</t>
  </si>
  <si>
    <t>Rango sueldo</t>
  </si>
  <si>
    <t>Atributo</t>
  </si>
  <si>
    <t>E(A)</t>
  </si>
  <si>
    <t>I(P,N)</t>
  </si>
  <si>
    <t>E(A)-C/Atributo</t>
  </si>
  <si>
    <t>Buró de crédito</t>
  </si>
  <si>
    <t>Edad</t>
  </si>
  <si>
    <t>24 - 44</t>
  </si>
  <si>
    <t>45 - 64</t>
  </si>
  <si>
    <t>Ahorros</t>
  </si>
  <si>
    <t>51 - 150</t>
  </si>
  <si>
    <t>INFONAVIT</t>
  </si>
  <si>
    <t>GANANCIA RANGO/S</t>
  </si>
  <si>
    <t>GANANCIA BURÓ/C</t>
  </si>
  <si>
    <t>GANANCIA EDAD</t>
  </si>
  <si>
    <t>GANANCIA AHORROS</t>
  </si>
  <si>
    <t>GANANCIA INFONAVIT</t>
  </si>
  <si>
    <t>Mejor ganancia Rango sueldo</t>
  </si>
  <si>
    <t>BURÓ DE CRÉDITO</t>
  </si>
  <si>
    <t>P</t>
  </si>
  <si>
    <t>N</t>
  </si>
  <si>
    <t>EDAD</t>
  </si>
  <si>
    <t>Menor que 50</t>
  </si>
  <si>
    <t>Mayor que 150</t>
  </si>
  <si>
    <t>Entre 51 y 150</t>
  </si>
  <si>
    <t>AHORROS</t>
  </si>
  <si>
    <t>Menor que 24 o mayor que 64</t>
  </si>
  <si>
    <t>Entre 45 y 64</t>
  </si>
  <si>
    <t>Entre 24 y 44</t>
  </si>
  <si>
    <t>GANANCIA POR ATRIBUTO</t>
  </si>
  <si>
    <t>MAYOR GANANCIA EDAD</t>
  </si>
  <si>
    <t>ENTROPÍA GENERAL</t>
  </si>
  <si>
    <t>Mayor que 8 y menor 28</t>
  </si>
  <si>
    <t>&lt;20 O &gt;64</t>
  </si>
  <si>
    <t>&lt;50</t>
  </si>
  <si>
    <t>&gt;150</t>
  </si>
  <si>
    <t>E(A)-ATRB</t>
  </si>
  <si>
    <t>E(A)-ATRIB</t>
  </si>
  <si>
    <t>I(N,P)</t>
  </si>
  <si>
    <t>E(A)-Atrib</t>
  </si>
  <si>
    <t>MENOR 50</t>
  </si>
  <si>
    <t>ENTRE 51 Y 150</t>
  </si>
  <si>
    <t>MAYOR 150</t>
  </si>
  <si>
    <t>SÍ</t>
  </si>
  <si>
    <t>BURÓ</t>
  </si>
  <si>
    <t>AHORRO</t>
  </si>
  <si>
    <t>Tanto ahorro como infonavit, tienen la misma ganancia, se usara infonavit.</t>
  </si>
  <si>
    <t>Tiene mayor ganancia infonavit</t>
  </si>
  <si>
    <t>Tiene mayos ganancia ahorros</t>
  </si>
  <si>
    <t>Mayor ganancia buró de crédito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</si>
</sst>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Roboto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24"/>
      <color rgb="FFFF0000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6"/>
      <color rgb="FFFF0000"/>
      <name val="Arial"/>
      <family val="2"/>
    </font>
    <font>
      <b/>
      <sz val="18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1" fillId="5" borderId="1" xfId="0" applyFont="1" applyFill="1" applyBorder="1" applyAlignment="1"/>
    <xf numFmtId="0" fontId="0" fillId="5" borderId="1" xfId="0" applyFont="1" applyFill="1" applyBorder="1" applyAlignment="1"/>
    <xf numFmtId="0" fontId="1" fillId="6" borderId="1" xfId="0" applyFont="1" applyFill="1" applyBorder="1"/>
    <xf numFmtId="0" fontId="6" fillId="0" borderId="0" xfId="0" applyFont="1" applyAlignment="1"/>
    <xf numFmtId="0" fontId="4" fillId="0" borderId="0" xfId="0" applyFont="1" applyAlignment="1"/>
    <xf numFmtId="0" fontId="4" fillId="4" borderId="1" xfId="0" applyFont="1" applyFill="1" applyBorder="1" applyAlignment="1"/>
    <xf numFmtId="0" fontId="1" fillId="4" borderId="1" xfId="0" applyFont="1" applyFill="1" applyBorder="1" applyAlignment="1"/>
    <xf numFmtId="0" fontId="0" fillId="4" borderId="1" xfId="0" applyFont="1" applyFill="1" applyBorder="1" applyAlignment="1"/>
    <xf numFmtId="0" fontId="4" fillId="5" borderId="1" xfId="0" applyFont="1" applyFill="1" applyBorder="1" applyAlignment="1"/>
    <xf numFmtId="0" fontId="4" fillId="6" borderId="1" xfId="0" applyFont="1" applyFill="1" applyBorder="1"/>
    <xf numFmtId="0" fontId="1" fillId="0" borderId="0" xfId="0" applyFont="1" applyFill="1" applyAlignment="1"/>
    <xf numFmtId="0" fontId="2" fillId="0" borderId="0" xfId="0" applyFont="1" applyFill="1" applyAlignment="1"/>
    <xf numFmtId="0" fontId="6" fillId="5" borderId="1" xfId="0" applyFont="1" applyFill="1" applyBorder="1" applyAlignment="1"/>
    <xf numFmtId="0" fontId="8" fillId="5" borderId="1" xfId="0" applyFont="1" applyFill="1" applyBorder="1" applyAlignment="1"/>
    <xf numFmtId="0" fontId="0" fillId="0" borderId="0" xfId="0" applyFont="1" applyFill="1" applyBorder="1" applyAlignment="1"/>
    <xf numFmtId="0" fontId="8" fillId="0" borderId="0" xfId="0" applyFont="1" applyFill="1" applyBorder="1" applyAlignment="1"/>
    <xf numFmtId="0" fontId="6" fillId="0" borderId="0" xfId="0" applyFont="1" applyFill="1" applyBorder="1" applyAlignment="1"/>
    <xf numFmtId="0" fontId="9" fillId="0" borderId="0" xfId="0" applyFont="1" applyFill="1" applyBorder="1" applyAlignment="1"/>
    <xf numFmtId="0" fontId="0" fillId="0" borderId="0" xfId="0" applyFont="1" applyBorder="1" applyAlignment="1"/>
    <xf numFmtId="0" fontId="0" fillId="5" borderId="0" xfId="0" applyFont="1" applyFill="1" applyBorder="1" applyAlignment="1"/>
    <xf numFmtId="0" fontId="6" fillId="5" borderId="0" xfId="0" applyFont="1" applyFill="1" applyBorder="1" applyAlignment="1"/>
    <xf numFmtId="0" fontId="10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center"/>
    </xf>
    <xf numFmtId="0" fontId="4" fillId="0" borderId="0" xfId="0" applyFont="1" applyFill="1" applyAlignment="1"/>
    <xf numFmtId="0" fontId="3" fillId="0" borderId="0" xfId="0" applyFont="1" applyFill="1" applyAlignment="1"/>
    <xf numFmtId="0" fontId="9" fillId="5" borderId="1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/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0" xfId="0" applyFont="1" applyAlignment="1">
      <alignment horizontal="center" wrapText="1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8" fillId="5" borderId="5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0" fillId="7" borderId="0" xfId="0" applyFont="1" applyFill="1" applyBorder="1" applyAlignment="1"/>
    <xf numFmtId="0" fontId="6" fillId="7" borderId="0" xfId="0" applyFont="1" applyFill="1" applyBorder="1" applyAlignment="1"/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B20CE9-1B28-484A-BB1A-FAC309B9B80E}" name="Tabla15" displayName="Tabla15" ref="A1:F9" totalsRowShown="0" headerRowDxfId="40" dataDxfId="39">
  <autoFilter ref="A1:F9" xr:uid="{085AE575-1E66-4AC5-AC2E-57EE8800B589}"/>
  <tableColumns count="6">
    <tableColumn id="2" xr3:uid="{8FFC5367-15EE-4B83-9910-871EE79CE914}" name="Rango sueldo(k$)" dataDxfId="38"/>
    <tableColumn id="3" xr3:uid="{BD3D425A-6034-4734-9F8E-24ECDAF5DBCD}" name="Buró de crédito " dataDxfId="37"/>
    <tableColumn id="4" xr3:uid="{8A295DE8-49DC-4DC5-982D-520D05BE0CB8}" name="Edad " dataDxfId="36"/>
    <tableColumn id="5" xr3:uid="{DB78474A-8540-48FF-B4F4-C7E592423E9D}" name="Ahorros(% de sueldo mensual)" dataDxfId="35"/>
    <tableColumn id="6" xr3:uid="{052005B3-B33B-492D-930F-07493C7C6058}" name="Infonavit o fovisste (5 años cotizados)" dataDxfId="34"/>
    <tableColumn id="1" xr3:uid="{1DEB8247-184E-41BA-82C4-141794B3906E}" name="Otorgar" dataDxfId="3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06EBAE-CD2D-4703-8F93-1022DD00A55C}" name="Tabla156" displayName="Tabla156" ref="A1:E3" totalsRowShown="0" headerRowDxfId="32" dataDxfId="31">
  <autoFilter ref="A1:E3" xr:uid="{085AE575-1E66-4AC5-AC2E-57EE8800B589}"/>
  <tableColumns count="5">
    <tableColumn id="3" xr3:uid="{0B8302DC-74ED-446D-95D7-AEB58C39AA0C}" name="Buró de crédito " dataDxfId="30"/>
    <tableColumn id="4" xr3:uid="{5A7F962E-AB60-4E6B-A461-AA5C087F33EA}" name="Edad " dataDxfId="29"/>
    <tableColumn id="5" xr3:uid="{AAE3CC0A-CF56-4550-9E77-441DB05EB9FA}" name="Ahorros(% de sueldo mensual)" dataDxfId="28"/>
    <tableColumn id="6" xr3:uid="{FF41FAF1-B51F-4BCA-B308-CEFF23680C75}" name="Infonavit o fovisste (5 años cotizados)" dataDxfId="27"/>
    <tableColumn id="1" xr3:uid="{39F754B4-2038-42CF-8727-14F2E537CE15}" name="Otorgar" dataDxfId="26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4D328E-0309-42E9-B8CE-416B321B59D2}" name="Tabla1" displayName="Tabla1" ref="A1:F16" totalsRowShown="0" headerRowDxfId="25" dataDxfId="24">
  <autoFilter ref="A1:F16" xr:uid="{085AE575-1E66-4AC5-AC2E-57EE8800B589}"/>
  <tableColumns count="6">
    <tableColumn id="2" xr3:uid="{FAF20A0A-B161-4490-BBB4-818F439A8383}" name="Rango sueldo(k$)" dataDxfId="23"/>
    <tableColumn id="3" xr3:uid="{F96CC701-49E3-4CE1-BBBF-E97BC3DE6702}" name="Buró de crédito " dataDxfId="22"/>
    <tableColumn id="4" xr3:uid="{1A108DC3-52CF-46D1-ACA1-1CABC768408E}" name="Edad " dataDxfId="21"/>
    <tableColumn id="5" xr3:uid="{0D423DF6-4EA4-4C36-A63A-AAE44895A7F5}" name="Ahorros(% de sueldo mensual)" dataDxfId="20"/>
    <tableColumn id="6" xr3:uid="{0AAAFC8E-BFC0-4D22-A1CF-DFC7DE1EAFDF}" name="Infonavit o fovisste (5 años cotizados)" dataDxfId="19"/>
    <tableColumn id="1" xr3:uid="{80EF97C6-8B3A-4781-8B16-4CB502175860}" name="Otorgar" dataDxfId="18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D26558-6DE0-4CAF-AA09-3F9BA8C01280}" name="Tabla17" displayName="Tabla17" ref="A1:E13" totalsRowShown="0" headerRowDxfId="17" dataDxfId="16">
  <autoFilter ref="A1:E13" xr:uid="{085AE575-1E66-4AC5-AC2E-57EE8800B589}"/>
  <tableColumns count="5">
    <tableColumn id="3" xr3:uid="{0CB27C75-5379-412C-A15A-1F4F9E70EBE3}" name="Buró de crédito " dataDxfId="15"/>
    <tableColumn id="4" xr3:uid="{71FD6D3E-D2EA-4B9C-B31D-DDFAB8F37613}" name="Edad " dataDxfId="14"/>
    <tableColumn id="5" xr3:uid="{C895C5C9-A646-43EA-BCE9-917FF541D937}" name="Ahorros(% de sueldo mensual)" dataDxfId="13"/>
    <tableColumn id="6" xr3:uid="{8D560309-571D-48AA-93B0-4D41F7AA2A50}" name="Infonavit o fovisste (5 años cotizados)" dataDxfId="12"/>
    <tableColumn id="1" xr3:uid="{5A7E8D13-424B-4258-84A7-3928F64CEAE8}" name="Otorgar" dataDxfId="11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B7D9BC-3F95-47C1-A42A-2FA3BFC08F39}" name="Tabla178" displayName="Tabla178" ref="A1:D6" totalsRowShown="0" headerRowDxfId="10" dataDxfId="9">
  <autoFilter ref="A1:D6" xr:uid="{085AE575-1E66-4AC5-AC2E-57EE8800B589}"/>
  <tableColumns count="4">
    <tableColumn id="4" xr3:uid="{6A7F1F01-9044-42A9-BBEA-B6615C14C7C4}" name="Edad " dataDxfId="8"/>
    <tableColumn id="5" xr3:uid="{CA8E2BDF-CF32-4DF4-97FC-67EE1F924DED}" name="Ahorros(% de sueldo mensual)" dataDxfId="7"/>
    <tableColumn id="6" xr3:uid="{02BCD2CF-9DA8-4AB7-89EE-03E49129BBDB}" name="Infonavit o fovisste (5 años cotizados)" dataDxfId="6"/>
    <tableColumn id="1" xr3:uid="{B0BFFEE8-A55B-4D91-9BB3-1BC140F876B3}" name="Otorgar" dataDxfId="5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677842-8448-4E86-9C67-E59030B3683C}" name="Tabla1789" displayName="Tabla1789" ref="A1:C4" totalsRowShown="0" headerRowDxfId="4" dataDxfId="3">
  <autoFilter ref="A1:C4" xr:uid="{085AE575-1E66-4AC5-AC2E-57EE8800B589}"/>
  <tableColumns count="3">
    <tableColumn id="4" xr3:uid="{9377C538-DF34-4C9F-BD6E-DFDB453A94DC}" name="Edad " dataDxfId="2"/>
    <tableColumn id="5" xr3:uid="{F5E278C3-547B-44BD-8AC5-D921C6822637}" name="Ahorros(% de sueldo mensual)" dataDxfId="1"/>
    <tableColumn id="1" xr3:uid="{E89BEAAD-41F3-48A7-AE04-1D4A50080BDF}" name="Otorgar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45"/>
  <sheetViews>
    <sheetView topLeftCell="A24" zoomScale="80" zoomScaleNormal="80" workbookViewId="0">
      <selection activeCell="B39" sqref="B39"/>
    </sheetView>
  </sheetViews>
  <sheetFormatPr baseColWidth="10" defaultColWidth="14.42578125" defaultRowHeight="15.75" customHeight="1"/>
  <cols>
    <col min="1" max="1" width="21.42578125" bestFit="1" customWidth="1"/>
    <col min="4" max="4" width="27.28515625" customWidth="1"/>
    <col min="5" max="5" width="35.140625" customWidth="1"/>
  </cols>
  <sheetData>
    <row r="1" spans="1:32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  <c r="F1" s="1" t="s">
        <v>4</v>
      </c>
      <c r="G1" s="1"/>
      <c r="H1" s="1"/>
      <c r="I1" s="1"/>
      <c r="J1" s="1"/>
      <c r="K1" s="1"/>
      <c r="L1" s="1"/>
    </row>
    <row r="2" spans="1:32" ht="12.75">
      <c r="A2" s="1" t="s">
        <v>5</v>
      </c>
      <c r="B2" s="1" t="s">
        <v>6</v>
      </c>
      <c r="C2" s="2" t="s">
        <v>7</v>
      </c>
      <c r="D2" s="1" t="s">
        <v>10</v>
      </c>
      <c r="E2" s="1" t="s">
        <v>11</v>
      </c>
      <c r="F2" s="1" t="s">
        <v>9</v>
      </c>
      <c r="G2">
        <f>COUNTIF(F2:F32,"SI")</f>
        <v>10</v>
      </c>
      <c r="H2" s="1" t="s">
        <v>21</v>
      </c>
    </row>
    <row r="3" spans="1:32" ht="12.75">
      <c r="A3" s="1" t="s">
        <v>5</v>
      </c>
      <c r="B3" s="1" t="s">
        <v>6</v>
      </c>
      <c r="C3" s="1" t="s">
        <v>12</v>
      </c>
      <c r="D3" s="1" t="s">
        <v>18</v>
      </c>
      <c r="E3" s="1" t="s">
        <v>13</v>
      </c>
      <c r="F3" s="2" t="s">
        <v>9</v>
      </c>
      <c r="G3">
        <f>COUNTIF(F2:F32,"NO")</f>
        <v>21</v>
      </c>
      <c r="H3" s="1" t="s">
        <v>22</v>
      </c>
    </row>
    <row r="4" spans="1:32" ht="12.75">
      <c r="A4" s="1" t="s">
        <v>5</v>
      </c>
      <c r="B4" s="1" t="s">
        <v>6</v>
      </c>
      <c r="C4" s="1" t="s">
        <v>14</v>
      </c>
      <c r="D4" s="1" t="s">
        <v>10</v>
      </c>
      <c r="E4" s="1" t="s">
        <v>11</v>
      </c>
      <c r="F4" s="1" t="s">
        <v>9</v>
      </c>
    </row>
    <row r="5" spans="1:32" ht="12.75">
      <c r="A5" s="1" t="s">
        <v>5</v>
      </c>
      <c r="B5" s="1" t="s">
        <v>15</v>
      </c>
      <c r="C5" s="1" t="s">
        <v>7</v>
      </c>
      <c r="D5" s="1" t="s">
        <v>18</v>
      </c>
      <c r="E5" s="1" t="s">
        <v>13</v>
      </c>
      <c r="F5" s="1" t="s">
        <v>9</v>
      </c>
      <c r="G5" s="1" t="s">
        <v>23</v>
      </c>
      <c r="H5">
        <f>((G2/(G2+G3)))</f>
        <v>0.32258064516129031</v>
      </c>
    </row>
    <row r="6" spans="1:32" ht="12.75">
      <c r="A6" s="1" t="s">
        <v>5</v>
      </c>
      <c r="B6" s="1" t="s">
        <v>15</v>
      </c>
      <c r="C6" s="1" t="s">
        <v>12</v>
      </c>
      <c r="D6" s="1" t="s">
        <v>16</v>
      </c>
      <c r="E6" s="1" t="s">
        <v>11</v>
      </c>
      <c r="F6" s="1" t="s">
        <v>9</v>
      </c>
      <c r="G6" s="1" t="s">
        <v>24</v>
      </c>
      <c r="H6">
        <f>LOG(H5,2)</f>
        <v>-1.632268215499513</v>
      </c>
    </row>
    <row r="7" spans="1:32" ht="12.75">
      <c r="A7" s="1" t="s">
        <v>5</v>
      </c>
      <c r="B7" s="1" t="s">
        <v>15</v>
      </c>
      <c r="C7" s="1" t="s">
        <v>14</v>
      </c>
      <c r="D7" s="1" t="s">
        <v>10</v>
      </c>
      <c r="E7" s="1" t="s">
        <v>13</v>
      </c>
      <c r="F7" s="1" t="s">
        <v>9</v>
      </c>
      <c r="G7" s="1" t="s">
        <v>25</v>
      </c>
      <c r="H7">
        <f>(G3/(G2+G3))</f>
        <v>0.67741935483870963</v>
      </c>
    </row>
    <row r="8" spans="1:32" ht="12.75">
      <c r="A8" s="1" t="s">
        <v>5</v>
      </c>
      <c r="B8" s="1" t="s">
        <v>15</v>
      </c>
      <c r="C8" s="1" t="s">
        <v>7</v>
      </c>
      <c r="D8" s="1" t="s">
        <v>18</v>
      </c>
      <c r="E8" s="1" t="s">
        <v>11</v>
      </c>
      <c r="F8" s="1" t="s">
        <v>9</v>
      </c>
      <c r="G8" s="1" t="s">
        <v>26</v>
      </c>
      <c r="H8">
        <f>LOG(H7,2)</f>
        <v>-0.561878887608115</v>
      </c>
    </row>
    <row r="9" spans="1:32" ht="12.75">
      <c r="A9" s="1" t="s">
        <v>17</v>
      </c>
      <c r="B9" s="1" t="s">
        <v>6</v>
      </c>
      <c r="C9" s="1" t="s">
        <v>12</v>
      </c>
      <c r="D9" s="10" t="s">
        <v>16</v>
      </c>
      <c r="E9" s="1" t="s">
        <v>13</v>
      </c>
      <c r="F9" s="1" t="s">
        <v>9</v>
      </c>
      <c r="G9" s="1" t="s">
        <v>27</v>
      </c>
      <c r="H9" s="1">
        <f>(-1)*((H5*H6)+(H7*H8))</f>
        <v>0.90716576757308198</v>
      </c>
    </row>
    <row r="10" spans="1:32" ht="12.75">
      <c r="A10" s="3" t="s">
        <v>17</v>
      </c>
      <c r="B10" s="1" t="s">
        <v>15</v>
      </c>
      <c r="C10" s="1" t="s">
        <v>7</v>
      </c>
      <c r="D10" s="10" t="s">
        <v>18</v>
      </c>
      <c r="E10" s="1" t="s">
        <v>13</v>
      </c>
      <c r="F10" s="1" t="s">
        <v>9</v>
      </c>
    </row>
    <row r="11" spans="1:32" ht="15">
      <c r="A11" s="3" t="s">
        <v>17</v>
      </c>
      <c r="B11" s="1" t="s">
        <v>15</v>
      </c>
      <c r="C11" s="1" t="s">
        <v>12</v>
      </c>
      <c r="D11" s="1" t="s">
        <v>16</v>
      </c>
      <c r="E11" s="1" t="s">
        <v>11</v>
      </c>
      <c r="F11" s="1" t="s">
        <v>9</v>
      </c>
      <c r="G11" s="42" t="s">
        <v>29</v>
      </c>
      <c r="H11" s="42"/>
      <c r="I11" s="42"/>
      <c r="J11" s="42"/>
      <c r="K11" s="42"/>
    </row>
    <row r="12" spans="1:32" ht="12.75">
      <c r="A12" s="3" t="s">
        <v>17</v>
      </c>
      <c r="B12" s="1" t="s">
        <v>6</v>
      </c>
      <c r="C12" s="1" t="s">
        <v>14</v>
      </c>
      <c r="D12" s="10" t="s">
        <v>18</v>
      </c>
      <c r="E12" s="1" t="s">
        <v>13</v>
      </c>
      <c r="F12" s="1" t="s">
        <v>8</v>
      </c>
      <c r="G12" s="6"/>
      <c r="H12" s="6"/>
      <c r="I12" s="6"/>
      <c r="J12" s="6"/>
      <c r="K12" s="7"/>
    </row>
    <row r="13" spans="1:32" ht="12.75">
      <c r="A13" s="3" t="s">
        <v>17</v>
      </c>
      <c r="B13" s="1" t="s">
        <v>15</v>
      </c>
      <c r="C13" s="1" t="s">
        <v>7</v>
      </c>
      <c r="D13" s="1" t="s">
        <v>18</v>
      </c>
      <c r="E13" s="1" t="s">
        <v>11</v>
      </c>
      <c r="F13" s="1" t="s">
        <v>9</v>
      </c>
      <c r="G13" s="6" t="s">
        <v>30</v>
      </c>
      <c r="H13" s="6" t="s">
        <v>21</v>
      </c>
      <c r="I13" s="6" t="s">
        <v>22</v>
      </c>
      <c r="J13" s="6" t="s">
        <v>32</v>
      </c>
      <c r="K13" s="6" t="s">
        <v>33</v>
      </c>
    </row>
    <row r="14" spans="1:32" ht="12.75">
      <c r="A14" s="3" t="s">
        <v>17</v>
      </c>
      <c r="B14" s="1" t="s">
        <v>6</v>
      </c>
      <c r="C14" s="1" t="s">
        <v>12</v>
      </c>
      <c r="D14" s="1" t="s">
        <v>16</v>
      </c>
      <c r="E14" s="1" t="s">
        <v>11</v>
      </c>
      <c r="F14" s="1" t="s">
        <v>9</v>
      </c>
      <c r="G14" s="6" t="s">
        <v>28</v>
      </c>
      <c r="H14" s="7">
        <v>0</v>
      </c>
      <c r="I14" s="7">
        <v>8</v>
      </c>
      <c r="J14" s="7">
        <v>0</v>
      </c>
      <c r="K14" s="7">
        <f>(((H14+I14)/31)*J14)</f>
        <v>0</v>
      </c>
    </row>
    <row r="15" spans="1:32" ht="12.75">
      <c r="A15" s="3" t="s">
        <v>17</v>
      </c>
      <c r="B15" s="1" t="s">
        <v>15</v>
      </c>
      <c r="C15" s="1" t="s">
        <v>7</v>
      </c>
      <c r="D15" s="1" t="s">
        <v>10</v>
      </c>
      <c r="E15" s="1" t="s">
        <v>11</v>
      </c>
      <c r="F15" s="1" t="s">
        <v>9</v>
      </c>
      <c r="G15" s="6" t="s">
        <v>17</v>
      </c>
      <c r="H15" s="7">
        <v>1</v>
      </c>
      <c r="I15" s="7">
        <v>7</v>
      </c>
      <c r="J15" s="7">
        <f t="shared" ref="J15:J16" si="0">(-1)*((H15/(H15+I15))*LOG((H15/(H15+I15)),2)+((I15/(H15+I15))*(LOG((I15/(H15+I15)),2))))</f>
        <v>0.5435644431995964</v>
      </c>
      <c r="K15" s="7">
        <f t="shared" ref="K15:K16" si="1">(((H15+I15)/31)*J15)</f>
        <v>0.14027469501925069</v>
      </c>
    </row>
    <row r="16" spans="1:32" ht="12.75">
      <c r="A16" s="4" t="s">
        <v>19</v>
      </c>
      <c r="B16" s="4" t="s">
        <v>6</v>
      </c>
      <c r="C16" s="2" t="s">
        <v>7</v>
      </c>
      <c r="D16" s="10" t="s">
        <v>18</v>
      </c>
      <c r="E16" s="4" t="s">
        <v>13</v>
      </c>
      <c r="F16" s="4" t="s">
        <v>8</v>
      </c>
      <c r="G16" s="8" t="s">
        <v>19</v>
      </c>
      <c r="H16" s="8">
        <v>9</v>
      </c>
      <c r="I16" s="8">
        <v>6</v>
      </c>
      <c r="J16" s="7">
        <f t="shared" si="0"/>
        <v>0.97095059445466858</v>
      </c>
      <c r="K16" s="7">
        <f t="shared" si="1"/>
        <v>0.46981480376838802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11" ht="12.75">
      <c r="A17" s="1" t="s">
        <v>19</v>
      </c>
      <c r="B17" s="1" t="s">
        <v>15</v>
      </c>
      <c r="C17" s="1" t="s">
        <v>12</v>
      </c>
      <c r="D17" s="1" t="s">
        <v>16</v>
      </c>
      <c r="E17" s="1" t="s">
        <v>11</v>
      </c>
      <c r="F17" s="1" t="s">
        <v>9</v>
      </c>
      <c r="G17" s="7"/>
      <c r="H17" s="7"/>
      <c r="I17" s="7"/>
      <c r="J17" s="7" t="s">
        <v>31</v>
      </c>
      <c r="K17" s="7">
        <f>SUM(K14:K16)</f>
        <v>0.61008949878763874</v>
      </c>
    </row>
    <row r="18" spans="1:11" ht="12.75">
      <c r="A18" s="1" t="s">
        <v>19</v>
      </c>
      <c r="B18" s="1" t="s">
        <v>6</v>
      </c>
      <c r="C18" s="1" t="s">
        <v>14</v>
      </c>
      <c r="D18" s="1" t="s">
        <v>10</v>
      </c>
      <c r="E18" s="1" t="s">
        <v>13</v>
      </c>
      <c r="F18" s="1" t="s">
        <v>8</v>
      </c>
    </row>
    <row r="19" spans="1:11" ht="12.75">
      <c r="A19" s="1" t="s">
        <v>19</v>
      </c>
      <c r="B19" s="1" t="s">
        <v>15</v>
      </c>
      <c r="C19" s="1" t="s">
        <v>7</v>
      </c>
      <c r="D19" s="10" t="s">
        <v>18</v>
      </c>
      <c r="E19" s="1" t="s">
        <v>8</v>
      </c>
      <c r="F19" s="1" t="s">
        <v>9</v>
      </c>
      <c r="G19" s="40" t="s">
        <v>34</v>
      </c>
      <c r="H19" s="41"/>
      <c r="I19" s="41"/>
      <c r="J19" s="41"/>
      <c r="K19" s="41"/>
    </row>
    <row r="20" spans="1:11" ht="12.75">
      <c r="A20" s="1" t="s">
        <v>19</v>
      </c>
      <c r="B20" s="1" t="s">
        <v>6</v>
      </c>
      <c r="C20" s="1" t="s">
        <v>12</v>
      </c>
      <c r="D20" s="10" t="s">
        <v>18</v>
      </c>
      <c r="E20" s="2" t="s">
        <v>9</v>
      </c>
      <c r="F20" s="2" t="s">
        <v>9</v>
      </c>
      <c r="G20" s="11" t="s">
        <v>30</v>
      </c>
      <c r="H20" s="11" t="s">
        <v>21</v>
      </c>
      <c r="I20" s="11" t="s">
        <v>22</v>
      </c>
      <c r="J20" s="12" t="s">
        <v>32</v>
      </c>
      <c r="K20" s="12" t="s">
        <v>33</v>
      </c>
    </row>
    <row r="21" spans="1:11" ht="12.75">
      <c r="A21" s="1" t="s">
        <v>19</v>
      </c>
      <c r="B21" s="1" t="s">
        <v>15</v>
      </c>
      <c r="C21" s="10" t="s">
        <v>12</v>
      </c>
      <c r="D21" s="1" t="s">
        <v>16</v>
      </c>
      <c r="E21" s="1" t="s">
        <v>8</v>
      </c>
      <c r="F21" s="1" t="s">
        <v>9</v>
      </c>
      <c r="G21" s="11" t="s">
        <v>6</v>
      </c>
      <c r="H21" s="13">
        <f>COUNTIFS(B2:B32,"V",F2:F32,"SI")</f>
        <v>10</v>
      </c>
      <c r="I21" s="13">
        <f>COUNTIFS(B2:B32,"V",F2:F32,"NO")</f>
        <v>10</v>
      </c>
      <c r="J21" s="13">
        <f>(-1)*((H21/(H21+I21))*LOG((H21/(H21+I21)),2)+((I21/(H21+I21))*(LOG((I21/(H21+I21)),2))))</f>
        <v>1</v>
      </c>
      <c r="K21" s="13">
        <f>(((H21+I21)/31)*J21)</f>
        <v>0.64516129032258063</v>
      </c>
    </row>
    <row r="22" spans="1:11" ht="12.75">
      <c r="A22" s="1" t="s">
        <v>19</v>
      </c>
      <c r="B22" s="1" t="s">
        <v>6</v>
      </c>
      <c r="C22" s="2" t="s">
        <v>7</v>
      </c>
      <c r="D22" s="10" t="s">
        <v>18</v>
      </c>
      <c r="E22" s="1" t="s">
        <v>11</v>
      </c>
      <c r="F22" s="1" t="s">
        <v>9</v>
      </c>
      <c r="G22" s="11" t="s">
        <v>15</v>
      </c>
      <c r="H22" s="13">
        <f>COUNTIFS(B2:B32,"R",F2:F32,"SI")</f>
        <v>0</v>
      </c>
      <c r="I22" s="13">
        <f>COUNTIFS(B2:B32,"R",F2:F32,"NO")</f>
        <v>11</v>
      </c>
      <c r="J22" s="13">
        <v>0</v>
      </c>
      <c r="K22" s="13">
        <f>(((H22+I22)/31)*J22)</f>
        <v>0</v>
      </c>
    </row>
    <row r="23" spans="1:11" ht="12.75">
      <c r="A23" s="1" t="s">
        <v>5</v>
      </c>
      <c r="B23" s="1" t="s">
        <v>6</v>
      </c>
      <c r="C23" s="1" t="s">
        <v>14</v>
      </c>
      <c r="D23" s="1" t="s">
        <v>16</v>
      </c>
      <c r="E23" s="1" t="s">
        <v>13</v>
      </c>
      <c r="F23" s="2" t="s">
        <v>9</v>
      </c>
      <c r="J23" s="9" t="s">
        <v>31</v>
      </c>
      <c r="K23">
        <f>K21+K22</f>
        <v>0.64516129032258063</v>
      </c>
    </row>
    <row r="24" spans="1:11" ht="15">
      <c r="A24" s="3" t="s">
        <v>17</v>
      </c>
      <c r="B24" s="1" t="s">
        <v>6</v>
      </c>
      <c r="C24" s="1" t="s">
        <v>14</v>
      </c>
      <c r="D24" s="1" t="s">
        <v>10</v>
      </c>
      <c r="E24" s="1" t="s">
        <v>11</v>
      </c>
      <c r="F24" s="2" t="s">
        <v>9</v>
      </c>
      <c r="G24" s="42" t="s">
        <v>35</v>
      </c>
      <c r="H24" s="42"/>
      <c r="I24" s="42"/>
      <c r="J24" s="42"/>
      <c r="K24" s="42"/>
    </row>
    <row r="25" spans="1:11" ht="12.75">
      <c r="A25" s="1" t="s">
        <v>19</v>
      </c>
      <c r="B25" s="1" t="s">
        <v>6</v>
      </c>
      <c r="C25" s="1" t="s">
        <v>14</v>
      </c>
      <c r="D25" s="10" t="s">
        <v>18</v>
      </c>
      <c r="E25" s="1" t="s">
        <v>13</v>
      </c>
      <c r="F25" s="1" t="s">
        <v>8</v>
      </c>
      <c r="G25" s="6"/>
      <c r="H25" s="6"/>
      <c r="I25" s="6"/>
      <c r="J25" s="6"/>
      <c r="K25" s="7"/>
    </row>
    <row r="26" spans="1:11" ht="12.75">
      <c r="A26" s="3" t="s">
        <v>19</v>
      </c>
      <c r="B26" s="1" t="s">
        <v>6</v>
      </c>
      <c r="C26" s="1" t="s">
        <v>14</v>
      </c>
      <c r="D26" s="1" t="s">
        <v>16</v>
      </c>
      <c r="E26" s="1" t="s">
        <v>13</v>
      </c>
      <c r="F26" s="1" t="s">
        <v>8</v>
      </c>
      <c r="G26" s="6" t="s">
        <v>30</v>
      </c>
      <c r="H26" s="6" t="s">
        <v>21</v>
      </c>
      <c r="I26" s="6" t="s">
        <v>22</v>
      </c>
      <c r="J26" s="6" t="s">
        <v>32</v>
      </c>
      <c r="K26" s="6" t="s">
        <v>33</v>
      </c>
    </row>
    <row r="27" spans="1:11" ht="12.75">
      <c r="A27" s="1" t="s">
        <v>19</v>
      </c>
      <c r="B27" s="1" t="s">
        <v>6</v>
      </c>
      <c r="C27" s="1" t="s">
        <v>14</v>
      </c>
      <c r="D27" s="1" t="s">
        <v>16</v>
      </c>
      <c r="E27" s="1" t="s">
        <v>9</v>
      </c>
      <c r="F27" s="1" t="s">
        <v>9</v>
      </c>
      <c r="G27" s="14" t="s">
        <v>12</v>
      </c>
      <c r="H27" s="13">
        <v>1</v>
      </c>
      <c r="I27" s="13">
        <v>8</v>
      </c>
      <c r="J27" s="7">
        <f>(-1)*((H27/(H27+I27))*LOG((H27/(H27+I27)),2)+((I27/(H27+I27))*(LOG((I27/(H27+I27)),2))))</f>
        <v>0.50325833477564574</v>
      </c>
      <c r="K27" s="7">
        <f>(((H27+I27)/31)*J27)</f>
        <v>0.14610725848325201</v>
      </c>
    </row>
    <row r="28" spans="1:11" ht="12.75">
      <c r="A28" s="1" t="s">
        <v>19</v>
      </c>
      <c r="B28" s="1" t="s">
        <v>6</v>
      </c>
      <c r="C28" s="2" t="s">
        <v>7</v>
      </c>
      <c r="D28" s="1" t="s">
        <v>16</v>
      </c>
      <c r="E28" s="1" t="s">
        <v>13</v>
      </c>
      <c r="F28" s="1" t="s">
        <v>8</v>
      </c>
      <c r="G28" s="14" t="s">
        <v>36</v>
      </c>
      <c r="H28" s="13">
        <v>5</v>
      </c>
      <c r="I28" s="7">
        <v>5</v>
      </c>
      <c r="J28" s="7">
        <f>(-1)*((H28/(H28+I28))*LOG((H28/(H28+I28)),2)+((I28/(H28+I28))*(LOG((I28/(H28+I28)),2))))</f>
        <v>1</v>
      </c>
      <c r="K28" s="7">
        <f>(((H28+I28)/31)*J28)</f>
        <v>0.32258064516129031</v>
      </c>
    </row>
    <row r="29" spans="1:11" ht="12.75">
      <c r="A29" s="1" t="s">
        <v>19</v>
      </c>
      <c r="B29" s="1" t="s">
        <v>6</v>
      </c>
      <c r="C29" s="2" t="s">
        <v>7</v>
      </c>
      <c r="D29" s="1" t="s">
        <v>10</v>
      </c>
      <c r="E29" s="1" t="s">
        <v>13</v>
      </c>
      <c r="F29" s="1" t="s">
        <v>8</v>
      </c>
      <c r="G29" s="15" t="s">
        <v>37</v>
      </c>
      <c r="H29" s="8">
        <v>4</v>
      </c>
      <c r="I29" s="8">
        <v>8</v>
      </c>
      <c r="J29" s="7">
        <f>(-1)*((H29/(H29+I29))*LOG((H29/(H29+I29)),2)+((I29/(H29+I29))*(LOG((I29/(H29+I29)),2))))</f>
        <v>0.91829583405448956</v>
      </c>
      <c r="K29" s="7">
        <f>(((H29+I29)/31)*J29)</f>
        <v>0.35546935511786693</v>
      </c>
    </row>
    <row r="30" spans="1:11" ht="12.75">
      <c r="A30" s="1" t="s">
        <v>19</v>
      </c>
      <c r="B30" s="1" t="s">
        <v>6</v>
      </c>
      <c r="C30" s="1" t="s">
        <v>14</v>
      </c>
      <c r="D30" s="10" t="s">
        <v>18</v>
      </c>
      <c r="E30" s="1" t="s">
        <v>9</v>
      </c>
      <c r="F30" s="1" t="s">
        <v>8</v>
      </c>
      <c r="G30" s="7"/>
      <c r="H30" s="7"/>
      <c r="I30" s="7"/>
      <c r="J30" s="7" t="s">
        <v>31</v>
      </c>
      <c r="K30" s="7">
        <f>SUM(K27:K29)</f>
        <v>0.82415725876240931</v>
      </c>
    </row>
    <row r="31" spans="1:11" ht="12.75">
      <c r="A31" s="1" t="s">
        <v>19</v>
      </c>
      <c r="B31" s="1" t="s">
        <v>6</v>
      </c>
      <c r="C31" s="2" t="s">
        <v>7</v>
      </c>
      <c r="D31" s="1" t="s">
        <v>10</v>
      </c>
      <c r="E31" s="1" t="s">
        <v>9</v>
      </c>
      <c r="F31" s="1" t="s">
        <v>8</v>
      </c>
    </row>
    <row r="32" spans="1:11" ht="15">
      <c r="A32" s="1" t="s">
        <v>19</v>
      </c>
      <c r="B32" s="1" t="s">
        <v>6</v>
      </c>
      <c r="C32" s="10" t="s">
        <v>12</v>
      </c>
      <c r="D32" s="10" t="s">
        <v>18</v>
      </c>
      <c r="E32" s="1" t="s">
        <v>8</v>
      </c>
      <c r="F32" s="1" t="s">
        <v>8</v>
      </c>
      <c r="G32" s="42" t="s">
        <v>38</v>
      </c>
      <c r="H32" s="42"/>
      <c r="I32" s="42"/>
      <c r="J32" s="42"/>
      <c r="K32" s="42"/>
    </row>
    <row r="33" spans="1:11" ht="15.75" customHeight="1">
      <c r="G33" s="6"/>
      <c r="H33" s="6"/>
      <c r="I33" s="6"/>
      <c r="J33" s="6"/>
      <c r="K33" s="7"/>
    </row>
    <row r="34" spans="1:11" ht="15.75" customHeight="1">
      <c r="G34" s="6" t="s">
        <v>30</v>
      </c>
      <c r="H34" s="6" t="s">
        <v>21</v>
      </c>
      <c r="I34" s="6" t="s">
        <v>22</v>
      </c>
      <c r="J34" s="6" t="s">
        <v>32</v>
      </c>
      <c r="K34" s="6" t="s">
        <v>33</v>
      </c>
    </row>
    <row r="35" spans="1:11" ht="15.75" customHeight="1">
      <c r="G35" s="14" t="s">
        <v>16</v>
      </c>
      <c r="H35" s="7">
        <v>2</v>
      </c>
      <c r="I35" s="7">
        <v>8</v>
      </c>
      <c r="J35" s="7">
        <f t="shared" ref="J35:J37" si="2">(-1)*((H35/(H35+I35))*LOG((H35/(H35+I35)),2)+((I35/(H35+I35))*(LOG((I35/(H35+I35)),2))))</f>
        <v>0.72192809488736231</v>
      </c>
      <c r="K35" s="7">
        <f>(((H35+I35)/31)*J35)</f>
        <v>0.23288003060882656</v>
      </c>
    </row>
    <row r="36" spans="1:11" ht="15.75" customHeight="1">
      <c r="G36" s="14" t="s">
        <v>39</v>
      </c>
      <c r="H36" s="7">
        <v>3</v>
      </c>
      <c r="I36" s="7">
        <v>5</v>
      </c>
      <c r="J36" s="7">
        <f t="shared" si="2"/>
        <v>0.95443400292496494</v>
      </c>
      <c r="K36" s="7">
        <f t="shared" ref="K36:K37" si="3">(((H36+I36)/31)*J36)</f>
        <v>0.24630554914192643</v>
      </c>
    </row>
    <row r="37" spans="1:11" ht="15.75" customHeight="1">
      <c r="A37" s="9" t="s">
        <v>41</v>
      </c>
      <c r="B37">
        <f>H$9-K17</f>
        <v>0.29707626878544324</v>
      </c>
      <c r="G37" s="15" t="s">
        <v>18</v>
      </c>
      <c r="H37" s="8">
        <v>5</v>
      </c>
      <c r="I37" s="8">
        <v>8</v>
      </c>
      <c r="J37" s="7">
        <f t="shared" si="2"/>
        <v>0.96123660472287598</v>
      </c>
      <c r="K37" s="7">
        <f t="shared" si="3"/>
        <v>0.4030992213353996</v>
      </c>
    </row>
    <row r="38" spans="1:11" ht="15.75" customHeight="1">
      <c r="A38" s="9" t="s">
        <v>42</v>
      </c>
      <c r="B38">
        <f>H9-K23</f>
        <v>0.26200447725050136</v>
      </c>
      <c r="G38" s="7"/>
      <c r="H38" s="7"/>
      <c r="I38" s="7"/>
      <c r="J38" s="7" t="s">
        <v>31</v>
      </c>
      <c r="K38" s="7">
        <f>SUM(K35:K37)</f>
        <v>0.88228480108615259</v>
      </c>
    </row>
    <row r="39" spans="1:11" ht="15.75" customHeight="1">
      <c r="A39" s="9" t="s">
        <v>43</v>
      </c>
      <c r="B39">
        <f>H9-K30</f>
        <v>8.3008508810672677E-2</v>
      </c>
    </row>
    <row r="40" spans="1:11" ht="15.75" customHeight="1">
      <c r="A40" s="9" t="s">
        <v>44</v>
      </c>
      <c r="B40">
        <f>H9-K38</f>
        <v>2.488096648692939E-2</v>
      </c>
      <c r="G40" s="40" t="s">
        <v>40</v>
      </c>
      <c r="H40" s="41"/>
      <c r="I40" s="41"/>
      <c r="J40" s="41"/>
      <c r="K40" s="41"/>
    </row>
    <row r="41" spans="1:11" ht="15.75" customHeight="1">
      <c r="A41" s="9" t="s">
        <v>45</v>
      </c>
      <c r="B41">
        <f>H9-K44</f>
        <v>0.11691923214425681</v>
      </c>
      <c r="G41" s="14" t="s">
        <v>30</v>
      </c>
      <c r="H41" s="14" t="s">
        <v>21</v>
      </c>
      <c r="I41" s="14" t="s">
        <v>22</v>
      </c>
      <c r="J41" s="6" t="s">
        <v>32</v>
      </c>
      <c r="K41" s="6" t="s">
        <v>33</v>
      </c>
    </row>
    <row r="42" spans="1:11" ht="15.75" customHeight="1">
      <c r="G42" s="14" t="s">
        <v>13</v>
      </c>
      <c r="H42" s="7">
        <f>COUNTIFS(E2:E32,"Si",F2:F32,"SI")</f>
        <v>8</v>
      </c>
      <c r="I42" s="7">
        <f>COUNTIFS(E2:E32,"sI",F2:F32,"NO")</f>
        <v>8</v>
      </c>
      <c r="J42" s="7">
        <f>(-1)*((H42/(H42+I42))*LOG((H42/(H42+I42)),2)+((I42/(H42+I42))*(LOG((I42/(H42+I42)),2))))</f>
        <v>1</v>
      </c>
      <c r="K42" s="7">
        <f>(((H42+I42)/31)*J42)</f>
        <v>0.5161290322580645</v>
      </c>
    </row>
    <row r="43" spans="1:11" ht="15.75" customHeight="1">
      <c r="G43" s="14" t="s">
        <v>9</v>
      </c>
      <c r="H43" s="7">
        <f>COUNTIFS(E2:E32,"NO",F2:F32,"SI")</f>
        <v>2</v>
      </c>
      <c r="I43" s="7">
        <f>COUNTIFS(E2:E32,"NO",F2:F32,"NO")</f>
        <v>13</v>
      </c>
      <c r="J43" s="7">
        <f>(-1)*((H43/(H43+I43))*LOG((H43/(H43+I43)),2)+((I43/(H43+I43))*(LOG((I43/(H43+I43)),2))))</f>
        <v>0.56650950655290533</v>
      </c>
      <c r="K43" s="7">
        <f>(((H43+I43)/31)*J43)</f>
        <v>0.27411750317076067</v>
      </c>
    </row>
    <row r="44" spans="1:11" ht="15.75" customHeight="1">
      <c r="A44" s="39" t="s">
        <v>46</v>
      </c>
      <c r="B44" s="39"/>
      <c r="C44" s="39"/>
      <c r="D44" s="39"/>
      <c r="G44" s="7"/>
      <c r="H44" s="7"/>
      <c r="I44" s="7"/>
      <c r="J44" s="7" t="s">
        <v>31</v>
      </c>
      <c r="K44" s="7">
        <f>SUM(K41:K43)</f>
        <v>0.79024653542882517</v>
      </c>
    </row>
    <row r="45" spans="1:11" ht="15.75" customHeight="1">
      <c r="A45" s="39"/>
      <c r="B45" s="39"/>
      <c r="C45" s="39"/>
      <c r="D45" s="39"/>
    </row>
  </sheetData>
  <autoFilter ref="A1:AF32" xr:uid="{00000000-0009-0000-0000-000000000000}"/>
  <customSheetViews>
    <customSheetView guid="{D7FF6955-C68C-4D0C-94EF-506C3524D1CD}" filter="1" showAutoFilter="1">
      <pageMargins left="0.7" right="0.7" top="0.75" bottom="0.75" header="0.3" footer="0.3"/>
      <autoFilter ref="E1:E997" xr:uid="{00000000-0000-0000-0000-000000000000}"/>
    </customSheetView>
    <customSheetView guid="{ED54637B-9F02-4FC0-9BB1-696179924253}" filter="1" showAutoFilter="1">
      <pageMargins left="0.7" right="0.7" top="0.75" bottom="0.75" header="0.3" footer="0.3"/>
      <autoFilter ref="A1:F32" xr:uid="{00000000-0000-0000-0000-000000000000}"/>
    </customSheetView>
    <customSheetView guid="{D07F7C9A-16B2-4600-9A2F-D8DE2BC52330}" filter="1" showAutoFilter="1">
      <pageMargins left="0.7" right="0.7" top="0.75" bottom="0.75" header="0.3" footer="0.3"/>
      <autoFilter ref="A1:F32" xr:uid="{00000000-0000-0000-0000-000000000000}"/>
    </customSheetView>
  </customSheetViews>
  <mergeCells count="6">
    <mergeCell ref="A44:D45"/>
    <mergeCell ref="G40:K40"/>
    <mergeCell ref="G11:K11"/>
    <mergeCell ref="G19:K19"/>
    <mergeCell ref="G24:K24"/>
    <mergeCell ref="G32:K3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9D9C-65EE-427B-ACFD-633919A30776}">
  <dimension ref="A1:L26"/>
  <sheetViews>
    <sheetView zoomScale="90" zoomScaleNormal="90" workbookViewId="0">
      <selection activeCell="B14" sqref="B14"/>
    </sheetView>
  </sheetViews>
  <sheetFormatPr baseColWidth="10" defaultRowHeight="12.75"/>
  <cols>
    <col min="1" max="1" width="21.85546875" bestFit="1" customWidth="1"/>
    <col min="2" max="2" width="17.140625" customWidth="1"/>
    <col min="3" max="3" width="28.5703125" customWidth="1"/>
    <col min="4" max="4" width="33.85546875" customWidth="1"/>
    <col min="5" max="5" width="9.28515625" customWidth="1"/>
    <col min="10" max="10" width="12.285156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  <c r="F1" s="1" t="s">
        <v>4</v>
      </c>
      <c r="G1" s="21"/>
      <c r="H1" s="49" t="s">
        <v>60</v>
      </c>
      <c r="I1" s="49"/>
      <c r="J1" s="49"/>
    </row>
    <row r="2" spans="1:12">
      <c r="A2" s="16" t="s">
        <v>61</v>
      </c>
      <c r="B2" s="16" t="s">
        <v>6</v>
      </c>
      <c r="C2" s="16" t="s">
        <v>55</v>
      </c>
      <c r="D2" s="29" t="s">
        <v>51</v>
      </c>
      <c r="E2" s="16" t="s">
        <v>13</v>
      </c>
      <c r="F2" s="16" t="s">
        <v>9</v>
      </c>
      <c r="G2" s="20"/>
      <c r="H2" s="19" t="s">
        <v>48</v>
      </c>
      <c r="I2" s="19" t="s">
        <v>49</v>
      </c>
      <c r="J2" s="19" t="s">
        <v>32</v>
      </c>
      <c r="K2" s="24"/>
      <c r="L2" s="24"/>
    </row>
    <row r="3" spans="1:12">
      <c r="A3" s="30" t="s">
        <v>61</v>
      </c>
      <c r="B3" s="16" t="s">
        <v>15</v>
      </c>
      <c r="C3" s="16" t="s">
        <v>56</v>
      </c>
      <c r="D3" s="29" t="s">
        <v>52</v>
      </c>
      <c r="E3" s="16" t="s">
        <v>13</v>
      </c>
      <c r="F3" s="16" t="s">
        <v>9</v>
      </c>
      <c r="G3" s="23"/>
      <c r="H3" s="31">
        <f>COUNTIF(Tabla15[Otorgar],"SI")</f>
        <v>1</v>
      </c>
      <c r="I3" s="31">
        <f>COUNTIF(Tabla15[Otorgar],"NO")</f>
        <v>7</v>
      </c>
      <c r="J3" s="19">
        <f t="shared" ref="J3" si="0">(-1)*((H3/(H3+I3))*LOG((H3/(H3+I3)),2)+((I3/(H3+I3))*(LOG((I3/(H3+I3)),2))))</f>
        <v>0.5435644431995964</v>
      </c>
      <c r="K3" s="24"/>
      <c r="L3" s="24"/>
    </row>
    <row r="4" spans="1:12">
      <c r="A4" s="30" t="s">
        <v>61</v>
      </c>
      <c r="B4" s="16" t="s">
        <v>15</v>
      </c>
      <c r="C4" s="16" t="s">
        <v>55</v>
      </c>
      <c r="D4" s="16" t="s">
        <v>51</v>
      </c>
      <c r="E4" s="16" t="s">
        <v>11</v>
      </c>
      <c r="F4" s="16" t="s">
        <v>9</v>
      </c>
      <c r="G4" s="22"/>
      <c r="H4" s="22"/>
      <c r="I4" s="22"/>
      <c r="J4" s="22"/>
      <c r="K4" s="24"/>
      <c r="L4" s="24"/>
    </row>
    <row r="5" spans="1:12">
      <c r="A5" s="30" t="s">
        <v>61</v>
      </c>
      <c r="B5" s="16" t="s">
        <v>6</v>
      </c>
      <c r="C5" s="16" t="s">
        <v>57</v>
      </c>
      <c r="D5" s="29" t="s">
        <v>52</v>
      </c>
      <c r="E5" s="16" t="s">
        <v>13</v>
      </c>
      <c r="F5" s="16" t="s">
        <v>8</v>
      </c>
      <c r="G5" s="20"/>
      <c r="H5" s="43" t="s">
        <v>47</v>
      </c>
      <c r="I5" s="44"/>
      <c r="J5" s="44"/>
      <c r="K5" s="44"/>
      <c r="L5" s="45"/>
    </row>
    <row r="6" spans="1:12">
      <c r="A6" s="30" t="s">
        <v>61</v>
      </c>
      <c r="B6" s="16" t="s">
        <v>15</v>
      </c>
      <c r="C6" s="16" t="s">
        <v>56</v>
      </c>
      <c r="D6" s="16" t="s">
        <v>52</v>
      </c>
      <c r="E6" s="16" t="s">
        <v>11</v>
      </c>
      <c r="F6" s="16" t="s">
        <v>9</v>
      </c>
      <c r="G6" s="20"/>
      <c r="H6" s="7"/>
      <c r="I6" s="18" t="s">
        <v>48</v>
      </c>
      <c r="J6" s="18" t="s">
        <v>49</v>
      </c>
      <c r="K6" s="18" t="s">
        <v>32</v>
      </c>
      <c r="L6" s="18" t="s">
        <v>65</v>
      </c>
    </row>
    <row r="7" spans="1:12">
      <c r="A7" s="30" t="s">
        <v>61</v>
      </c>
      <c r="B7" s="16" t="s">
        <v>6</v>
      </c>
      <c r="C7" s="16" t="s">
        <v>55</v>
      </c>
      <c r="D7" s="16" t="s">
        <v>51</v>
      </c>
      <c r="E7" s="16" t="s">
        <v>11</v>
      </c>
      <c r="F7" s="16" t="s">
        <v>9</v>
      </c>
      <c r="G7" s="20"/>
      <c r="H7" s="18" t="s">
        <v>6</v>
      </c>
      <c r="I7" s="7">
        <f>COUNTIFS(Tabla15[[Buró de crédito ]],"V",Tabla15[Otorgar],"SI")</f>
        <v>1</v>
      </c>
      <c r="J7" s="7">
        <f>COUNTIFS(Tabla15[[Buró de crédito ]],"V",Tabla15[Otorgar],"NO")</f>
        <v>3</v>
      </c>
      <c r="K7" s="7">
        <f t="shared" ref="K7" si="1">(-1)*((I7/(I7+J7))*LOG((I7/(I7+J7)),2)+((J7/(I7+J7))*(LOG((J7/(I7+J7)),2))))</f>
        <v>0.81127812445913283</v>
      </c>
      <c r="L7" s="7">
        <f>((I7+J7)/8)*K7</f>
        <v>0.40563906222956642</v>
      </c>
    </row>
    <row r="8" spans="1:12">
      <c r="A8" s="30" t="s">
        <v>61</v>
      </c>
      <c r="B8" s="16" t="s">
        <v>15</v>
      </c>
      <c r="C8" s="16" t="s">
        <v>56</v>
      </c>
      <c r="D8" s="16" t="s">
        <v>53</v>
      </c>
      <c r="E8" s="16" t="s">
        <v>11</v>
      </c>
      <c r="F8" s="16" t="s">
        <v>9</v>
      </c>
      <c r="G8" s="20"/>
      <c r="H8" s="18" t="s">
        <v>15</v>
      </c>
      <c r="I8" s="7">
        <f>COUNTIFS(Tabla15[[Buró de crédito ]],"R",Tabla15[Otorgar],"SI")</f>
        <v>0</v>
      </c>
      <c r="J8" s="7">
        <f>COUNTIFS(Tabla15[[Buró de crédito ]],"R",Tabla15[Otorgar],"NO")</f>
        <v>4</v>
      </c>
      <c r="K8" s="7">
        <v>0</v>
      </c>
      <c r="L8" s="7">
        <f>((I8+J8)/8)*K8</f>
        <v>0</v>
      </c>
    </row>
    <row r="9" spans="1:12">
      <c r="A9" s="30" t="s">
        <v>61</v>
      </c>
      <c r="B9" s="16" t="s">
        <v>6</v>
      </c>
      <c r="C9" s="16" t="s">
        <v>57</v>
      </c>
      <c r="D9" s="16" t="s">
        <v>53</v>
      </c>
      <c r="E9" s="16" t="s">
        <v>11</v>
      </c>
      <c r="F9" s="16" t="s">
        <v>9</v>
      </c>
      <c r="G9" s="20"/>
      <c r="H9" s="20"/>
      <c r="I9" s="20"/>
      <c r="J9" s="20"/>
      <c r="K9" s="33" t="s">
        <v>31</v>
      </c>
      <c r="L9" s="24">
        <f>SUM(L7:L8)</f>
        <v>0.40563906222956642</v>
      </c>
    </row>
    <row r="10" spans="1:12">
      <c r="A10" s="48"/>
      <c r="B10" s="48"/>
      <c r="C10" s="20"/>
      <c r="F10" s="20"/>
      <c r="G10" s="20"/>
      <c r="H10" s="49" t="s">
        <v>50</v>
      </c>
      <c r="I10" s="49"/>
      <c r="J10" s="49"/>
      <c r="K10" s="49"/>
      <c r="L10" s="49"/>
    </row>
    <row r="11" spans="1:12">
      <c r="A11" s="46" t="s">
        <v>58</v>
      </c>
      <c r="B11" s="46"/>
      <c r="C11" s="20"/>
      <c r="H11" s="7"/>
      <c r="I11" s="18" t="s">
        <v>48</v>
      </c>
      <c r="J11" s="18" t="s">
        <v>49</v>
      </c>
      <c r="K11" s="18" t="s">
        <v>32</v>
      </c>
      <c r="L11" s="18" t="s">
        <v>66</v>
      </c>
    </row>
    <row r="12" spans="1:12" ht="20.25">
      <c r="A12" s="22" t="s">
        <v>47</v>
      </c>
      <c r="B12" s="20">
        <f>J3-L9</f>
        <v>0.13792538097002999</v>
      </c>
      <c r="C12" s="20"/>
      <c r="D12" s="27"/>
      <c r="E12" s="27"/>
      <c r="H12" s="18" t="s">
        <v>62</v>
      </c>
      <c r="I12" s="7">
        <f>COUNTIFS(Tabla15[[Edad ]],"Menor que 24 o mayor que 64",Tabla15[Otorgar],"SI")</f>
        <v>0</v>
      </c>
      <c r="J12" s="7">
        <f>COUNTIFS(Tabla15[[Edad ]],"Menor que 24 o mayor que 64",Tabla15[Otorgar],"NO")</f>
        <v>3</v>
      </c>
      <c r="K12" s="7">
        <v>0</v>
      </c>
      <c r="L12" s="7">
        <f>((I12+J12)/8)*K12</f>
        <v>0</v>
      </c>
    </row>
    <row r="13" spans="1:12" ht="20.25" customHeight="1">
      <c r="A13" s="22" t="s">
        <v>50</v>
      </c>
      <c r="B13" s="20">
        <f>J3-L15</f>
        <v>0.2935644431995964</v>
      </c>
      <c r="C13" s="20"/>
      <c r="D13" s="47" t="s">
        <v>59</v>
      </c>
      <c r="E13" s="47"/>
      <c r="H13" s="18" t="s">
        <v>36</v>
      </c>
      <c r="I13" s="7">
        <f>COUNTIFS(Tabla15[[Edad ]],"Entre 24 y 44",Tabla15[Otorgar],"SI")</f>
        <v>1</v>
      </c>
      <c r="J13" s="7">
        <f>COUNTIFS(Tabla15[[Edad ]],"Entre 24 y 44",Tabla15[Otorgar],"NO")</f>
        <v>1</v>
      </c>
      <c r="K13" s="7">
        <f t="shared" ref="K13" si="2">(-1)*((I13/(I13+J13))*LOG((I13/(I13+J13)),2)+((J13/(I13+J13))*(LOG((J13/(I13+J13)),2))))</f>
        <v>1</v>
      </c>
      <c r="L13" s="7">
        <f t="shared" ref="L13:L14" si="3">((I13+J13)/8)*K13</f>
        <v>0.25</v>
      </c>
    </row>
    <row r="14" spans="1:12" ht="20.25" customHeight="1">
      <c r="A14" s="22" t="s">
        <v>54</v>
      </c>
      <c r="B14" s="20">
        <f>J3-L21</f>
        <v>0.19920350542916282</v>
      </c>
      <c r="C14" s="20"/>
      <c r="D14" s="47"/>
      <c r="E14" s="47"/>
      <c r="H14" s="18" t="s">
        <v>37</v>
      </c>
      <c r="I14" s="7">
        <f>COUNTIFS(Tabla15[[Edad ]],"Entre 45 y 64",Tabla15[Otorgar],"SI")</f>
        <v>0</v>
      </c>
      <c r="J14" s="7">
        <f>COUNTIFS(Tabla15[[Edad ]],"Entre 45 y 64",Tabla15[Otorgar],"NO")</f>
        <v>3</v>
      </c>
      <c r="K14" s="7">
        <v>0</v>
      </c>
      <c r="L14" s="7">
        <f t="shared" si="3"/>
        <v>0</v>
      </c>
    </row>
    <row r="15" spans="1:12">
      <c r="A15" s="22" t="s">
        <v>40</v>
      </c>
      <c r="B15" s="20">
        <f>J3-L26</f>
        <v>0.19920350542916282</v>
      </c>
      <c r="C15" s="20"/>
      <c r="K15" s="9" t="s">
        <v>31</v>
      </c>
      <c r="L15">
        <f>SUM(L12:L14)</f>
        <v>0.25</v>
      </c>
    </row>
    <row r="16" spans="1:12">
      <c r="A16" s="20"/>
      <c r="B16" s="20"/>
      <c r="C16" s="20"/>
      <c r="H16" s="49" t="s">
        <v>54</v>
      </c>
      <c r="I16" s="49"/>
      <c r="J16" s="49"/>
      <c r="K16" s="49"/>
      <c r="L16" s="49"/>
    </row>
    <row r="17" spans="8:12">
      <c r="H17" s="7"/>
      <c r="I17" s="18" t="s">
        <v>48</v>
      </c>
      <c r="J17" s="18" t="s">
        <v>49</v>
      </c>
      <c r="K17" s="18" t="s">
        <v>32</v>
      </c>
      <c r="L17" s="18" t="s">
        <v>66</v>
      </c>
    </row>
    <row r="18" spans="8:12">
      <c r="H18" s="18" t="s">
        <v>63</v>
      </c>
      <c r="I18" s="7">
        <f>COUNTIFS(Tabla15[Ahorros(% de sueldo mensual)],"Menor que 50",Tabla15[Otorgar],"SI")</f>
        <v>0</v>
      </c>
      <c r="J18" s="7">
        <f>COUNTIFS(Tabla15[Ahorros(% de sueldo mensual)],"Menor que 50",Tabla15[Otorgar],"NO")</f>
        <v>3</v>
      </c>
      <c r="K18" s="7">
        <v>0</v>
      </c>
      <c r="L18" s="7">
        <f>((I18+J18)/8)*K18</f>
        <v>0</v>
      </c>
    </row>
    <row r="19" spans="8:12">
      <c r="H19" s="18" t="s">
        <v>39</v>
      </c>
      <c r="I19" s="7">
        <f>COUNTIFS(Tabla15[Ahorros(% de sueldo mensual)],"Entre 51 y 150",Tabla15[Otorgar],"SI")</f>
        <v>0</v>
      </c>
      <c r="J19" s="7">
        <f>COUNTIFS(Tabla15[Ahorros(% de sueldo mensual)],"Entre 51 y 150",Tabla15[Otorgar],"NO")</f>
        <v>2</v>
      </c>
      <c r="K19" s="7">
        <v>0</v>
      </c>
      <c r="L19" s="7">
        <f t="shared" ref="L19:L20" si="4">((I19+J19)/8)*K19</f>
        <v>0</v>
      </c>
    </row>
    <row r="20" spans="8:12">
      <c r="H20" s="18" t="s">
        <v>64</v>
      </c>
      <c r="I20" s="7">
        <f>COUNTIFS(Tabla15[Ahorros(% de sueldo mensual)],"Mayor que 150",Tabla15[Otorgar],"SI")</f>
        <v>1</v>
      </c>
      <c r="J20" s="7">
        <f>COUNTIFS(Tabla15[Ahorros(% de sueldo mensual)],"Mayor que 150",Tabla15[Otorgar],"NO")</f>
        <v>2</v>
      </c>
      <c r="K20" s="7">
        <f t="shared" ref="K20" si="5">(-1)*((I20/(I20+J20))*LOG((I20/(I20+J20)),2)+((J20/(I20+J20))*(LOG((J20/(I20+J20)),2))))</f>
        <v>0.91829583405448956</v>
      </c>
      <c r="L20" s="7">
        <f t="shared" si="4"/>
        <v>0.34436093777043358</v>
      </c>
    </row>
    <row r="21" spans="8:12">
      <c r="K21" s="9" t="s">
        <v>31</v>
      </c>
      <c r="L21">
        <f>SUM(L18:L20)</f>
        <v>0.34436093777043358</v>
      </c>
    </row>
    <row r="22" spans="8:12">
      <c r="H22" s="43" t="s">
        <v>40</v>
      </c>
      <c r="I22" s="44"/>
      <c r="J22" s="44"/>
      <c r="K22" s="44"/>
      <c r="L22" s="45"/>
    </row>
    <row r="23" spans="8:12">
      <c r="H23" s="7"/>
      <c r="I23" s="18" t="s">
        <v>48</v>
      </c>
      <c r="J23" s="18" t="s">
        <v>49</v>
      </c>
      <c r="K23" s="18" t="s">
        <v>32</v>
      </c>
      <c r="L23" s="18" t="s">
        <v>66</v>
      </c>
    </row>
    <row r="24" spans="8:12">
      <c r="H24" s="18" t="s">
        <v>8</v>
      </c>
      <c r="I24" s="7">
        <f>COUNTIFS(Tabla15[Infonavit o fovisste (5 años cotizados)],"Si",Tabla15[Otorgar],"SI")</f>
        <v>1</v>
      </c>
      <c r="J24" s="7">
        <f>COUNTIFS(Tabla15[Infonavit o fovisste (5 años cotizados)],"Si",Tabla15[Otorgar],"NO")</f>
        <v>2</v>
      </c>
      <c r="K24" s="7">
        <f t="shared" ref="K24" si="6">(-1)*((I24/(I24+J24))*LOG((I24/(I24+J24)),2)+((J24/(I24+J24))*(LOG((J24/(I24+J24)),2))))</f>
        <v>0.91829583405448956</v>
      </c>
      <c r="L24" s="7">
        <f>((I24+J24)/8)*K24</f>
        <v>0.34436093777043358</v>
      </c>
    </row>
    <row r="25" spans="8:12">
      <c r="H25" s="18" t="s">
        <v>9</v>
      </c>
      <c r="I25" s="7">
        <f>COUNTIFS(Tabla15[Infonavit o fovisste (5 años cotizados)],"No",Tabla15[Otorgar],"SI")</f>
        <v>0</v>
      </c>
      <c r="J25" s="7">
        <f>COUNTIFS(Tabla15[Infonavit o fovisste (5 años cotizados)],"No",Tabla15[Otorgar],"NO")</f>
        <v>5</v>
      </c>
      <c r="K25" s="7">
        <v>0</v>
      </c>
      <c r="L25" s="7">
        <f>((I25+J25)/8)*K25</f>
        <v>0</v>
      </c>
    </row>
    <row r="26" spans="8:12">
      <c r="K26" s="9" t="s">
        <v>31</v>
      </c>
      <c r="L26">
        <f>SUM(L24:L25)</f>
        <v>0.34436093777043358</v>
      </c>
    </row>
  </sheetData>
  <mergeCells count="8">
    <mergeCell ref="H22:L22"/>
    <mergeCell ref="A11:B11"/>
    <mergeCell ref="D13:E14"/>
    <mergeCell ref="A10:B10"/>
    <mergeCell ref="H1:J1"/>
    <mergeCell ref="H5:L5"/>
    <mergeCell ref="H10:L10"/>
    <mergeCell ref="H16:L16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B850-9A7C-48B4-9F86-D23EB7A3AC74}">
  <dimension ref="A1:L25"/>
  <sheetViews>
    <sheetView zoomScale="90" zoomScaleNormal="90" workbookViewId="0">
      <selection activeCell="B18" sqref="B18"/>
    </sheetView>
  </sheetViews>
  <sheetFormatPr baseColWidth="10" defaultRowHeight="12.75"/>
  <cols>
    <col min="1" max="1" width="17.140625" customWidth="1"/>
    <col min="2" max="2" width="28.5703125" customWidth="1"/>
    <col min="3" max="3" width="33.85546875" customWidth="1"/>
    <col min="4" max="4" width="9.28515625" customWidth="1"/>
    <col min="7" max="7" width="15" bestFit="1" customWidth="1"/>
    <col min="9" max="9" width="12.28515625" bestFit="1" customWidth="1"/>
  </cols>
  <sheetData>
    <row r="1" spans="1:12">
      <c r="A1" s="1" t="s">
        <v>1</v>
      </c>
      <c r="B1" s="1" t="s">
        <v>2</v>
      </c>
      <c r="C1" s="1" t="s">
        <v>3</v>
      </c>
      <c r="D1" s="1" t="s">
        <v>20</v>
      </c>
      <c r="E1" s="1" t="s">
        <v>4</v>
      </c>
      <c r="F1" s="21"/>
      <c r="G1" s="21"/>
      <c r="H1" s="21"/>
      <c r="I1" s="21"/>
      <c r="J1" s="21"/>
      <c r="K1" s="21"/>
      <c r="L1" s="21"/>
    </row>
    <row r="2" spans="1:12">
      <c r="A2" s="16" t="s">
        <v>6</v>
      </c>
      <c r="B2" s="16" t="s">
        <v>57</v>
      </c>
      <c r="C2" s="29" t="s">
        <v>52</v>
      </c>
      <c r="D2" s="16" t="s">
        <v>13</v>
      </c>
      <c r="E2" s="16" t="s">
        <v>8</v>
      </c>
      <c r="F2" s="21"/>
      <c r="G2" s="21"/>
      <c r="H2" s="21"/>
      <c r="I2" s="21"/>
      <c r="J2" s="21"/>
      <c r="K2" s="21"/>
      <c r="L2" s="21"/>
    </row>
    <row r="3" spans="1:12">
      <c r="A3" s="16" t="s">
        <v>6</v>
      </c>
      <c r="B3" s="16" t="s">
        <v>57</v>
      </c>
      <c r="C3" s="16" t="s">
        <v>53</v>
      </c>
      <c r="D3" s="16" t="s">
        <v>11</v>
      </c>
      <c r="E3" s="16" t="s">
        <v>9</v>
      </c>
      <c r="F3" s="21"/>
      <c r="G3" s="21"/>
      <c r="H3" s="21"/>
      <c r="I3" s="21"/>
      <c r="J3" s="21"/>
      <c r="K3" s="21"/>
      <c r="L3" s="21"/>
    </row>
    <row r="4" spans="1:12">
      <c r="A4" s="28"/>
      <c r="B4" s="20"/>
      <c r="E4" s="20"/>
      <c r="F4" s="21"/>
      <c r="G4" s="49" t="s">
        <v>27</v>
      </c>
      <c r="H4" s="49"/>
      <c r="I4" s="49"/>
      <c r="J4" s="21"/>
      <c r="K4" s="21"/>
      <c r="L4" s="21"/>
    </row>
    <row r="5" spans="1:12">
      <c r="A5" s="32"/>
      <c r="B5" s="20"/>
      <c r="F5" s="21"/>
      <c r="G5" s="19" t="s">
        <v>48</v>
      </c>
      <c r="H5" s="19" t="s">
        <v>49</v>
      </c>
      <c r="I5" s="19" t="s">
        <v>67</v>
      </c>
      <c r="J5" s="21"/>
      <c r="K5" s="21"/>
      <c r="L5" s="21"/>
    </row>
    <row r="6" spans="1:12" ht="20.25">
      <c r="A6" s="20"/>
      <c r="B6" s="20"/>
      <c r="C6" s="27"/>
      <c r="D6" s="27"/>
      <c r="F6" s="21"/>
      <c r="G6" s="19">
        <v>1</v>
      </c>
      <c r="H6" s="19">
        <v>1</v>
      </c>
      <c r="I6" s="19">
        <f t="shared" ref="I6" si="0">(-1)*((G6/(G6+H6))*LOG((G6/(G6+H6)),2)+((H6/(G6+H6))*(LOG((H6/(G6+H6)),2))))</f>
        <v>1</v>
      </c>
      <c r="J6" s="21"/>
      <c r="K6" s="21"/>
      <c r="L6" s="21"/>
    </row>
    <row r="7" spans="1:12" ht="20.25" customHeight="1">
      <c r="A7" s="46" t="s">
        <v>58</v>
      </c>
      <c r="B7" s="50"/>
      <c r="C7" s="47"/>
      <c r="D7" s="47"/>
      <c r="F7" s="21"/>
      <c r="G7" s="21"/>
      <c r="H7" s="21"/>
      <c r="I7" s="21"/>
      <c r="J7" s="21"/>
      <c r="K7" s="21"/>
      <c r="L7" s="21"/>
    </row>
    <row r="8" spans="1:12" ht="20.25" customHeight="1">
      <c r="A8" s="22" t="s">
        <v>73</v>
      </c>
      <c r="B8" s="20">
        <f>I6-K12</f>
        <v>0</v>
      </c>
      <c r="C8" s="47"/>
      <c r="D8" s="47"/>
      <c r="F8" s="21"/>
      <c r="G8" s="49" t="s">
        <v>47</v>
      </c>
      <c r="H8" s="49"/>
      <c r="I8" s="49"/>
      <c r="J8" s="49"/>
      <c r="K8" s="49"/>
      <c r="L8" s="21"/>
    </row>
    <row r="9" spans="1:12">
      <c r="A9" s="22" t="s">
        <v>74</v>
      </c>
      <c r="B9" s="20">
        <f>I6-K19</f>
        <v>1</v>
      </c>
      <c r="F9" s="21"/>
      <c r="G9" s="19"/>
      <c r="H9" s="19" t="s">
        <v>48</v>
      </c>
      <c r="I9" s="19" t="s">
        <v>49</v>
      </c>
      <c r="J9" s="19" t="s">
        <v>67</v>
      </c>
      <c r="K9" s="19" t="s">
        <v>68</v>
      </c>
      <c r="L9" s="21"/>
    </row>
    <row r="10" spans="1:12">
      <c r="A10" s="22" t="s">
        <v>40</v>
      </c>
      <c r="B10" s="20">
        <f>I6-K25</f>
        <v>1</v>
      </c>
      <c r="F10" s="21"/>
      <c r="G10" s="19" t="s">
        <v>6</v>
      </c>
      <c r="H10" s="19">
        <f>COUNTIFS(Tabla156[[Buró de crédito ]],"V",Tabla156[Otorgar],"SI")</f>
        <v>1</v>
      </c>
      <c r="I10" s="19">
        <f>COUNTIFS(Tabla156[[Buró de crédito ]],"V",Tabla156[Otorgar],"NO")</f>
        <v>1</v>
      </c>
      <c r="J10" s="7">
        <f t="shared" ref="J10" si="1">(-1)*((H10/(H10+I10))*LOG((H10/(H10+I10)),2)+((I10/(H10+I10))*(LOG((I10/(H10+I10)),2))))</f>
        <v>1</v>
      </c>
      <c r="K10" s="7">
        <f>((H10+I10)/2)*J10</f>
        <v>1</v>
      </c>
      <c r="L10" s="21"/>
    </row>
    <row r="11" spans="1:12">
      <c r="F11" s="21"/>
      <c r="G11" s="19" t="s">
        <v>15</v>
      </c>
      <c r="H11" s="19">
        <v>0</v>
      </c>
      <c r="I11" s="19">
        <v>0</v>
      </c>
      <c r="J11" s="7">
        <v>0</v>
      </c>
      <c r="K11" s="7">
        <f>((H11+I11)/2)*J11</f>
        <v>0</v>
      </c>
      <c r="L11" s="21"/>
    </row>
    <row r="12" spans="1:12">
      <c r="C12" s="51" t="s">
        <v>75</v>
      </c>
      <c r="D12" s="51"/>
      <c r="E12" s="51"/>
      <c r="F12" s="21"/>
      <c r="G12" s="21"/>
      <c r="H12" s="21"/>
      <c r="I12" s="21"/>
      <c r="J12" s="21" t="s">
        <v>31</v>
      </c>
      <c r="K12" s="21">
        <f>SUM(K10:K11)</f>
        <v>1</v>
      </c>
      <c r="L12" s="21"/>
    </row>
    <row r="13" spans="1:12" ht="12.75" customHeight="1">
      <c r="C13" s="51"/>
      <c r="D13" s="51"/>
      <c r="E13" s="51"/>
      <c r="F13" s="21"/>
      <c r="G13" s="21"/>
      <c r="H13" s="21"/>
      <c r="I13" s="21"/>
      <c r="J13" s="21"/>
      <c r="K13" s="21"/>
      <c r="L13" s="21"/>
    </row>
    <row r="14" spans="1:12" ht="12.75" customHeight="1">
      <c r="C14" s="51"/>
      <c r="D14" s="51"/>
      <c r="E14" s="51"/>
      <c r="F14" s="21"/>
      <c r="G14" s="49" t="s">
        <v>54</v>
      </c>
      <c r="H14" s="49"/>
      <c r="I14" s="49"/>
      <c r="J14" s="49"/>
      <c r="K14" s="49"/>
      <c r="L14" s="21"/>
    </row>
    <row r="15" spans="1:12">
      <c r="C15" s="51"/>
      <c r="D15" s="51"/>
      <c r="E15" s="51"/>
      <c r="F15" s="20"/>
      <c r="G15" s="19"/>
      <c r="H15" s="19" t="s">
        <v>48</v>
      </c>
      <c r="I15" s="19" t="s">
        <v>49</v>
      </c>
      <c r="J15" s="19" t="s">
        <v>67</v>
      </c>
      <c r="K15" s="19" t="s">
        <v>68</v>
      </c>
      <c r="L15" s="20"/>
    </row>
    <row r="16" spans="1:12">
      <c r="F16" s="20"/>
      <c r="G16" s="19" t="s">
        <v>70</v>
      </c>
      <c r="H16" s="19">
        <f>COUNTIFS(Tabla156[Ahorros(% de sueldo mensual)],"Entre 51 y 150",Tabla156[Otorgar],"SI")</f>
        <v>0</v>
      </c>
      <c r="I16" s="19">
        <f>COUNTIFS(Tabla156[Ahorros(% de sueldo mensual)],"Entre 51 y 150",Tabla156[Otorgar],"NO")</f>
        <v>1</v>
      </c>
      <c r="J16" s="7">
        <v>0</v>
      </c>
      <c r="K16" s="7">
        <f>((H16+I16)/2)*J16</f>
        <v>0</v>
      </c>
      <c r="L16" s="20"/>
    </row>
    <row r="17" spans="6:12">
      <c r="F17" s="20"/>
      <c r="G17" s="19" t="s">
        <v>71</v>
      </c>
      <c r="H17" s="19">
        <f>COUNTIFS(Tabla156[Ahorros(% de sueldo mensual)],"Mayor que 150",Tabla156[Otorgar],"SI")</f>
        <v>1</v>
      </c>
      <c r="I17" s="19">
        <f>COUNTIFS(Tabla156[Ahorros(% de sueldo mensual)],"Mayor que 150",Tabla156[Otorgar],"NO")</f>
        <v>0</v>
      </c>
      <c r="J17" s="7">
        <v>0</v>
      </c>
      <c r="K17" s="7">
        <f>((H17+I17)/2)*J17</f>
        <v>0</v>
      </c>
      <c r="L17" s="20"/>
    </row>
    <row r="18" spans="6:12">
      <c r="F18" s="20"/>
      <c r="G18" s="18" t="s">
        <v>69</v>
      </c>
      <c r="H18" s="7">
        <v>0</v>
      </c>
      <c r="I18" s="7">
        <v>0</v>
      </c>
      <c r="J18" s="7">
        <v>0</v>
      </c>
      <c r="K18" s="7">
        <v>0</v>
      </c>
      <c r="L18" s="20"/>
    </row>
    <row r="19" spans="6:12">
      <c r="F19" s="20"/>
      <c r="G19" s="22"/>
      <c r="H19" s="20"/>
      <c r="I19" s="20"/>
      <c r="J19" s="22" t="s">
        <v>31</v>
      </c>
      <c r="K19" s="20">
        <f>SUM(K16:K18)</f>
        <v>0</v>
      </c>
      <c r="L19" s="20"/>
    </row>
    <row r="20" spans="6:12">
      <c r="F20" s="20"/>
      <c r="G20" s="20"/>
      <c r="H20" s="20"/>
      <c r="I20" s="20"/>
      <c r="J20" s="22"/>
      <c r="K20" s="20"/>
      <c r="L20" s="20"/>
    </row>
    <row r="21" spans="6:12">
      <c r="F21" s="20"/>
      <c r="G21" s="49" t="s">
        <v>40</v>
      </c>
      <c r="H21" s="49"/>
      <c r="I21" s="49"/>
      <c r="J21" s="49"/>
      <c r="K21" s="49"/>
      <c r="L21" s="20"/>
    </row>
    <row r="22" spans="6:12">
      <c r="F22" s="20"/>
      <c r="G22" s="19"/>
      <c r="H22" s="19" t="s">
        <v>48</v>
      </c>
      <c r="I22" s="19" t="s">
        <v>49</v>
      </c>
      <c r="J22" s="19" t="s">
        <v>67</v>
      </c>
      <c r="K22" s="19" t="s">
        <v>68</v>
      </c>
      <c r="L22" s="20"/>
    </row>
    <row r="23" spans="6:12">
      <c r="G23" s="19" t="s">
        <v>72</v>
      </c>
      <c r="H23" s="19">
        <v>1</v>
      </c>
      <c r="I23" s="19">
        <v>0</v>
      </c>
      <c r="J23" s="7">
        <v>0</v>
      </c>
      <c r="K23" s="7">
        <f>((H23+I23)/2)*J23</f>
        <v>0</v>
      </c>
    </row>
    <row r="24" spans="6:12">
      <c r="G24" s="19" t="s">
        <v>9</v>
      </c>
      <c r="H24" s="19">
        <v>0</v>
      </c>
      <c r="I24" s="19">
        <v>1</v>
      </c>
      <c r="J24" s="7">
        <v>0</v>
      </c>
      <c r="K24" s="7">
        <f>((H24+I24)/2)*J24</f>
        <v>0</v>
      </c>
    </row>
    <row r="25" spans="6:12">
      <c r="J25" s="9" t="s">
        <v>31</v>
      </c>
      <c r="K25">
        <f>SUM(K23:K24)</f>
        <v>0</v>
      </c>
    </row>
  </sheetData>
  <mergeCells count="7">
    <mergeCell ref="G21:K21"/>
    <mergeCell ref="A7:B7"/>
    <mergeCell ref="C12:E15"/>
    <mergeCell ref="G4:I4"/>
    <mergeCell ref="G8:K8"/>
    <mergeCell ref="G14:K14"/>
    <mergeCell ref="C7:D8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ACECB-F0D0-4298-8B56-58310581A20A}">
  <dimension ref="A1:L26"/>
  <sheetViews>
    <sheetView zoomScale="90" zoomScaleNormal="90" workbookViewId="0">
      <selection activeCell="B19" sqref="B19"/>
    </sheetView>
  </sheetViews>
  <sheetFormatPr baseColWidth="10" defaultRowHeight="12.75"/>
  <cols>
    <col min="1" max="1" width="19" bestFit="1" customWidth="1"/>
    <col min="2" max="2" width="17.140625" customWidth="1"/>
    <col min="3" max="3" width="28.5703125" customWidth="1"/>
    <col min="4" max="4" width="33.85546875" customWidth="1"/>
    <col min="5" max="5" width="9.28515625" customWidth="1"/>
    <col min="10" max="10" width="12.285156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  <c r="F1" s="1" t="s">
        <v>4</v>
      </c>
      <c r="G1" s="21"/>
      <c r="H1" s="49" t="s">
        <v>60</v>
      </c>
      <c r="I1" s="49"/>
      <c r="J1" s="49"/>
    </row>
    <row r="2" spans="1:12">
      <c r="A2" s="16" t="s">
        <v>19</v>
      </c>
      <c r="B2" s="16" t="s">
        <v>6</v>
      </c>
      <c r="C2" s="17" t="s">
        <v>56</v>
      </c>
      <c r="D2" s="29" t="s">
        <v>52</v>
      </c>
      <c r="E2" s="16" t="s">
        <v>13</v>
      </c>
      <c r="F2" s="16" t="s">
        <v>8</v>
      </c>
      <c r="G2" s="23"/>
      <c r="H2" s="19" t="s">
        <v>48</v>
      </c>
      <c r="I2" s="19" t="s">
        <v>49</v>
      </c>
      <c r="J2" s="19" t="s">
        <v>32</v>
      </c>
      <c r="K2" s="24"/>
      <c r="L2" s="24"/>
    </row>
    <row r="3" spans="1:12">
      <c r="A3" s="16" t="s">
        <v>19</v>
      </c>
      <c r="B3" s="16" t="s">
        <v>15</v>
      </c>
      <c r="C3" s="16" t="s">
        <v>55</v>
      </c>
      <c r="D3" s="16" t="s">
        <v>51</v>
      </c>
      <c r="E3" s="16" t="s">
        <v>11</v>
      </c>
      <c r="F3" s="16" t="s">
        <v>9</v>
      </c>
      <c r="G3" s="22"/>
      <c r="H3" s="31">
        <f>COUNTIF(Tabla1[Otorgar],"SI")</f>
        <v>9</v>
      </c>
      <c r="I3" s="31">
        <f>COUNTIF(Tabla1[Otorgar],"NO")</f>
        <v>6</v>
      </c>
      <c r="J3" s="19">
        <f t="shared" ref="J3" si="0">(-1)*((H3/(H3+I3))*LOG((H3/(H3+I3)),2)+((I3/(H3+I3))*(LOG((I3/(H3+I3)),2))))</f>
        <v>0.97095059445466858</v>
      </c>
      <c r="K3" s="24"/>
      <c r="L3" s="24"/>
    </row>
    <row r="4" spans="1:12">
      <c r="A4" s="16" t="s">
        <v>19</v>
      </c>
      <c r="B4" s="16" t="s">
        <v>6</v>
      </c>
      <c r="C4" s="16" t="s">
        <v>57</v>
      </c>
      <c r="D4" s="16" t="s">
        <v>53</v>
      </c>
      <c r="E4" s="16" t="s">
        <v>13</v>
      </c>
      <c r="F4" s="16" t="s">
        <v>8</v>
      </c>
      <c r="G4" s="20"/>
      <c r="H4" s="20"/>
      <c r="I4" s="20"/>
      <c r="J4" s="20"/>
      <c r="K4" s="24"/>
      <c r="L4" s="24"/>
    </row>
    <row r="5" spans="1:12">
      <c r="A5" s="16" t="s">
        <v>19</v>
      </c>
      <c r="B5" s="16" t="s">
        <v>15</v>
      </c>
      <c r="C5" s="16" t="s">
        <v>56</v>
      </c>
      <c r="D5" s="29" t="s">
        <v>52</v>
      </c>
      <c r="E5" s="16" t="s">
        <v>8</v>
      </c>
      <c r="F5" s="16" t="s">
        <v>9</v>
      </c>
      <c r="G5" s="20"/>
      <c r="H5" s="43" t="s">
        <v>47</v>
      </c>
      <c r="I5" s="44"/>
      <c r="J5" s="44"/>
      <c r="K5" s="44"/>
      <c r="L5" s="45"/>
    </row>
    <row r="6" spans="1:12">
      <c r="A6" s="16" t="s">
        <v>19</v>
      </c>
      <c r="B6" s="16" t="s">
        <v>6</v>
      </c>
      <c r="C6" s="16" t="s">
        <v>55</v>
      </c>
      <c r="D6" s="29" t="s">
        <v>52</v>
      </c>
      <c r="E6" s="17" t="s">
        <v>9</v>
      </c>
      <c r="F6" s="16" t="s">
        <v>9</v>
      </c>
      <c r="G6" s="20"/>
      <c r="H6" s="7"/>
      <c r="I6" s="18" t="s">
        <v>48</v>
      </c>
      <c r="J6" s="18" t="s">
        <v>49</v>
      </c>
      <c r="K6" s="18" t="s">
        <v>32</v>
      </c>
      <c r="L6" s="18" t="s">
        <v>65</v>
      </c>
    </row>
    <row r="7" spans="1:12">
      <c r="A7" s="16" t="s">
        <v>19</v>
      </c>
      <c r="B7" s="16" t="s">
        <v>15</v>
      </c>
      <c r="C7" s="29" t="s">
        <v>55</v>
      </c>
      <c r="D7" s="16" t="s">
        <v>51</v>
      </c>
      <c r="E7" s="16" t="s">
        <v>8</v>
      </c>
      <c r="F7" s="16" t="s">
        <v>9</v>
      </c>
      <c r="G7" s="20"/>
      <c r="H7" s="18" t="s">
        <v>6</v>
      </c>
      <c r="I7" s="7">
        <f>COUNTIFS(Tabla1[[Buró de crédito ]],"V",Tabla1[Otorgar],"SI")</f>
        <v>9</v>
      </c>
      <c r="J7" s="7">
        <f>COUNTIFS(Tabla1[[Buró de crédito ]],"V",Tabla1[Otorgar],"NO")</f>
        <v>3</v>
      </c>
      <c r="K7" s="7">
        <f t="shared" ref="K7" si="1">(-1)*((I7/(I7+J7))*LOG((I7/(I7+J7)),2)+((J7/(I7+J7))*(LOG((J7/(I7+J7)),2))))</f>
        <v>0.81127812445913283</v>
      </c>
      <c r="L7" s="7">
        <f>((I7+J7)/15)*K7</f>
        <v>0.64902249956730629</v>
      </c>
    </row>
    <row r="8" spans="1:12">
      <c r="A8" s="16" t="s">
        <v>19</v>
      </c>
      <c r="B8" s="16" t="s">
        <v>6</v>
      </c>
      <c r="C8" s="17" t="s">
        <v>56</v>
      </c>
      <c r="D8" s="29" t="s">
        <v>52</v>
      </c>
      <c r="E8" s="16" t="s">
        <v>11</v>
      </c>
      <c r="F8" s="16" t="s">
        <v>9</v>
      </c>
      <c r="G8" s="23"/>
      <c r="H8" s="18" t="s">
        <v>15</v>
      </c>
      <c r="I8" s="7">
        <f>COUNTIFS(Tabla1[[Buró de crédito ]],"R",Tabla1[Otorgar],"SI")</f>
        <v>0</v>
      </c>
      <c r="J8" s="7">
        <f>COUNTIFS(Tabla1[[Buró de crédito ]],"R",Tabla1[Otorgar],"NO")</f>
        <v>3</v>
      </c>
      <c r="K8" s="7">
        <v>0</v>
      </c>
      <c r="L8" s="7">
        <f>((I8+J8)/15)*K8</f>
        <v>0</v>
      </c>
    </row>
    <row r="9" spans="1:12">
      <c r="A9" s="16" t="s">
        <v>19</v>
      </c>
      <c r="B9" s="16" t="s">
        <v>6</v>
      </c>
      <c r="C9" s="16" t="s">
        <v>57</v>
      </c>
      <c r="D9" s="29" t="s">
        <v>52</v>
      </c>
      <c r="E9" s="16" t="s">
        <v>13</v>
      </c>
      <c r="F9" s="16" t="s">
        <v>8</v>
      </c>
      <c r="G9" s="20"/>
      <c r="H9" s="20"/>
      <c r="I9" s="20"/>
      <c r="J9" s="20"/>
      <c r="K9" s="33" t="s">
        <v>31</v>
      </c>
      <c r="L9" s="24">
        <f>SUM(L7:L8)</f>
        <v>0.64902249956730629</v>
      </c>
    </row>
    <row r="10" spans="1:12">
      <c r="A10" s="30" t="s">
        <v>19</v>
      </c>
      <c r="B10" s="16" t="s">
        <v>6</v>
      </c>
      <c r="C10" s="16" t="s">
        <v>57</v>
      </c>
      <c r="D10" s="16" t="s">
        <v>51</v>
      </c>
      <c r="E10" s="16" t="s">
        <v>13</v>
      </c>
      <c r="F10" s="16" t="s">
        <v>8</v>
      </c>
      <c r="G10" s="20"/>
      <c r="H10" s="49" t="s">
        <v>50</v>
      </c>
      <c r="I10" s="49"/>
      <c r="J10" s="49"/>
      <c r="K10" s="49"/>
      <c r="L10" s="49"/>
    </row>
    <row r="11" spans="1:12">
      <c r="A11" s="16" t="s">
        <v>19</v>
      </c>
      <c r="B11" s="16" t="s">
        <v>6</v>
      </c>
      <c r="C11" s="16" t="s">
        <v>57</v>
      </c>
      <c r="D11" s="16" t="s">
        <v>51</v>
      </c>
      <c r="E11" s="16" t="s">
        <v>9</v>
      </c>
      <c r="F11" s="16" t="s">
        <v>9</v>
      </c>
      <c r="G11" s="20"/>
      <c r="H11" s="7"/>
      <c r="I11" s="18" t="s">
        <v>48</v>
      </c>
      <c r="J11" s="18" t="s">
        <v>49</v>
      </c>
      <c r="K11" s="18" t="s">
        <v>32</v>
      </c>
      <c r="L11" s="18" t="s">
        <v>66</v>
      </c>
    </row>
    <row r="12" spans="1:12" ht="12.75" customHeight="1">
      <c r="A12" s="16" t="s">
        <v>19</v>
      </c>
      <c r="B12" s="16" t="s">
        <v>6</v>
      </c>
      <c r="C12" s="17" t="s">
        <v>56</v>
      </c>
      <c r="D12" s="16" t="s">
        <v>51</v>
      </c>
      <c r="E12" s="16" t="s">
        <v>13</v>
      </c>
      <c r="F12" s="16" t="s">
        <v>8</v>
      </c>
      <c r="G12" s="27"/>
      <c r="H12" s="18" t="s">
        <v>62</v>
      </c>
      <c r="I12" s="7">
        <f>COUNTIFS(Tabla1[[Edad ]],"Menor que 24 o mayor que 64",Tabla1[Otorgar],"SI")</f>
        <v>1</v>
      </c>
      <c r="J12" s="7">
        <f>COUNTIFS(Tabla1[[Edad ]],"Menor que 24 o mayor que 64",Tabla1[Otorgar],"NO")</f>
        <v>3</v>
      </c>
      <c r="K12" s="7">
        <f t="shared" ref="K12:K14" si="2">(-1)*((I12/(I12+J12))*LOG((I12/(I12+J12)),2)+((J12/(I12+J12))*(LOG((J12/(I12+J12)),2))))</f>
        <v>0.81127812445913283</v>
      </c>
      <c r="L12" s="7">
        <f>((I12+J12)/15)*K12</f>
        <v>0.21634083318910208</v>
      </c>
    </row>
    <row r="13" spans="1:12" ht="12.75" customHeight="1">
      <c r="A13" s="16" t="s">
        <v>19</v>
      </c>
      <c r="B13" s="16" t="s">
        <v>6</v>
      </c>
      <c r="C13" s="17" t="s">
        <v>56</v>
      </c>
      <c r="D13" s="16" t="s">
        <v>53</v>
      </c>
      <c r="E13" s="16" t="s">
        <v>13</v>
      </c>
      <c r="F13" s="16" t="s">
        <v>8</v>
      </c>
      <c r="G13" s="27"/>
      <c r="H13" s="18" t="s">
        <v>36</v>
      </c>
      <c r="I13" s="7">
        <f>COUNTIFS(Tabla1[[Edad ]],"Entre 24 y 44",Tabla1[Otorgar],"SI")</f>
        <v>4</v>
      </c>
      <c r="J13" s="7">
        <f>COUNTIFS(Tabla1[[Edad ]],"Entre 24 y 44",Tabla1[Otorgar],"NO")</f>
        <v>1</v>
      </c>
      <c r="K13" s="7">
        <f t="shared" si="2"/>
        <v>0.72192809488736231</v>
      </c>
      <c r="L13" s="7">
        <f t="shared" ref="L13:L14" si="3">((I13+J13)/15)*K13</f>
        <v>0.24064269829578744</v>
      </c>
    </row>
    <row r="14" spans="1:12" ht="12.75" customHeight="1">
      <c r="A14" s="16" t="s">
        <v>19</v>
      </c>
      <c r="B14" s="16" t="s">
        <v>6</v>
      </c>
      <c r="C14" s="16" t="s">
        <v>57</v>
      </c>
      <c r="D14" s="29" t="s">
        <v>52</v>
      </c>
      <c r="E14" s="16" t="s">
        <v>9</v>
      </c>
      <c r="F14" s="16" t="s">
        <v>8</v>
      </c>
      <c r="G14" s="27"/>
      <c r="H14" s="18" t="s">
        <v>37</v>
      </c>
      <c r="I14" s="7">
        <f>COUNTIFS(Tabla1[[Edad ]],"Entre 45 y 64",Tabla1[Otorgar],"SI")</f>
        <v>4</v>
      </c>
      <c r="J14" s="7">
        <f>COUNTIFS(Tabla1[[Edad ]],"Entre 45 y 64",Tabla1[Otorgar],"NO")</f>
        <v>2</v>
      </c>
      <c r="K14" s="7">
        <f t="shared" si="2"/>
        <v>0.91829583405448956</v>
      </c>
      <c r="L14" s="7">
        <f t="shared" si="3"/>
        <v>0.36731833362179583</v>
      </c>
    </row>
    <row r="15" spans="1:12">
      <c r="A15" s="16" t="s">
        <v>19</v>
      </c>
      <c r="B15" s="16" t="s">
        <v>6</v>
      </c>
      <c r="C15" s="17" t="s">
        <v>56</v>
      </c>
      <c r="D15" s="16" t="s">
        <v>53</v>
      </c>
      <c r="E15" s="16" t="s">
        <v>9</v>
      </c>
      <c r="F15" s="16" t="s">
        <v>8</v>
      </c>
      <c r="G15" s="20"/>
      <c r="K15" s="9" t="s">
        <v>31</v>
      </c>
      <c r="L15">
        <f>SUM(L12:L14)</f>
        <v>0.82430186510668535</v>
      </c>
    </row>
    <row r="16" spans="1:12">
      <c r="A16" s="16" t="s">
        <v>19</v>
      </c>
      <c r="B16" s="16" t="s">
        <v>6</v>
      </c>
      <c r="C16" s="29" t="s">
        <v>55</v>
      </c>
      <c r="D16" s="29" t="s">
        <v>52</v>
      </c>
      <c r="E16" s="16" t="s">
        <v>8</v>
      </c>
      <c r="F16" s="16" t="s">
        <v>8</v>
      </c>
      <c r="G16" s="20"/>
      <c r="H16" s="49" t="s">
        <v>54</v>
      </c>
      <c r="I16" s="49"/>
      <c r="J16" s="49"/>
      <c r="K16" s="49"/>
      <c r="L16" s="49"/>
    </row>
    <row r="17" spans="1:12">
      <c r="A17" s="48"/>
      <c r="B17" s="48"/>
      <c r="C17" s="20"/>
      <c r="F17" s="20"/>
      <c r="G17" s="20"/>
      <c r="H17" s="7"/>
      <c r="I17" s="18" t="s">
        <v>48</v>
      </c>
      <c r="J17" s="18" t="s">
        <v>49</v>
      </c>
      <c r="K17" s="18" t="s">
        <v>32</v>
      </c>
      <c r="L17" s="18" t="s">
        <v>66</v>
      </c>
    </row>
    <row r="18" spans="1:12">
      <c r="A18" s="46" t="s">
        <v>58</v>
      </c>
      <c r="B18" s="46"/>
      <c r="C18" s="20"/>
      <c r="H18" s="18" t="s">
        <v>63</v>
      </c>
      <c r="I18" s="7">
        <f>COUNTIFS(Tabla1[Ahorros(% de sueldo mensual)],"Menor que 50",Tabla1[Otorgar],"SI")</f>
        <v>2</v>
      </c>
      <c r="J18" s="7">
        <f>COUNTIFS(Tabla1[Ahorros(% de sueldo mensual)],"Menor que 50",Tabla1[Otorgar],"NO")</f>
        <v>3</v>
      </c>
      <c r="K18" s="7">
        <f t="shared" ref="K18:K20" si="4">(-1)*((I18/(I18+J18))*LOG((I18/(I18+J18)),2)+((J18/(I18+J18))*(LOG((J18/(I18+J18)),2))))</f>
        <v>0.97095059445466858</v>
      </c>
      <c r="L18" s="7">
        <f>((I18+J18)/15)*K18</f>
        <v>0.32365019815155616</v>
      </c>
    </row>
    <row r="19" spans="1:12" ht="20.25">
      <c r="A19" s="22" t="s">
        <v>47</v>
      </c>
      <c r="B19" s="20">
        <f>J3-L9</f>
        <v>0.32192809488736229</v>
      </c>
      <c r="C19" s="20"/>
      <c r="D19" s="27"/>
      <c r="E19" s="27"/>
      <c r="H19" s="18" t="s">
        <v>39</v>
      </c>
      <c r="I19" s="7">
        <f>COUNTIFS(Tabla1[Ahorros(% de sueldo mensual)],"Entre 51 y 150",Tabla1[Otorgar],"SI")</f>
        <v>3</v>
      </c>
      <c r="J19" s="7">
        <f>COUNTIFS(Tabla1[Ahorros(% de sueldo mensual)],"Entre 51 y 150",Tabla1[Otorgar],"NO")</f>
        <v>0</v>
      </c>
      <c r="K19" s="7">
        <v>0</v>
      </c>
      <c r="L19" s="7">
        <f t="shared" ref="L19:L20" si="5">((I19+J19)/15)*K19</f>
        <v>0</v>
      </c>
    </row>
    <row r="20" spans="1:12" ht="20.25" customHeight="1">
      <c r="A20" s="22" t="s">
        <v>50</v>
      </c>
      <c r="B20" s="20">
        <f>J3-L15</f>
        <v>0.14664872934798323</v>
      </c>
      <c r="C20" s="20"/>
      <c r="D20" s="52" t="s">
        <v>78</v>
      </c>
      <c r="E20" s="52"/>
      <c r="F20" s="52"/>
      <c r="H20" s="18" t="s">
        <v>64</v>
      </c>
      <c r="I20" s="7">
        <f>COUNTIFS(Tabla1[Ahorros(% de sueldo mensual)],"Mayor que 150",Tabla1[Otorgar],"SI")</f>
        <v>4</v>
      </c>
      <c r="J20" s="7">
        <f>COUNTIFS(Tabla1[Ahorros(% de sueldo mensual)],"Mayor que 150",Tabla1[Otorgar],"NO")</f>
        <v>3</v>
      </c>
      <c r="K20" s="7">
        <f t="shared" si="4"/>
        <v>0.98522813603425163</v>
      </c>
      <c r="L20" s="7">
        <f t="shared" si="5"/>
        <v>0.45977313014931742</v>
      </c>
    </row>
    <row r="21" spans="1:12" ht="20.25" customHeight="1">
      <c r="A21" s="22" t="s">
        <v>54</v>
      </c>
      <c r="B21" s="20">
        <f>J3-L21</f>
        <v>0.187527266153795</v>
      </c>
      <c r="C21" s="20"/>
      <c r="D21" s="52"/>
      <c r="E21" s="52"/>
      <c r="F21" s="52"/>
      <c r="K21" s="9" t="s">
        <v>31</v>
      </c>
      <c r="L21">
        <f>SUM(L18:L20)</f>
        <v>0.78342332830087358</v>
      </c>
    </row>
    <row r="22" spans="1:12">
      <c r="A22" s="22" t="s">
        <v>40</v>
      </c>
      <c r="B22" s="20">
        <f>J3-L26</f>
        <v>0.14510955692770056</v>
      </c>
      <c r="C22" s="20"/>
      <c r="H22" s="43" t="s">
        <v>40</v>
      </c>
      <c r="I22" s="44"/>
      <c r="J22" s="44"/>
      <c r="K22" s="44"/>
      <c r="L22" s="45"/>
    </row>
    <row r="23" spans="1:12">
      <c r="A23" s="20"/>
      <c r="B23" s="20"/>
      <c r="C23" s="20"/>
      <c r="H23" s="7"/>
      <c r="I23" s="18" t="s">
        <v>48</v>
      </c>
      <c r="J23" s="18" t="s">
        <v>49</v>
      </c>
      <c r="K23" s="18" t="s">
        <v>32</v>
      </c>
      <c r="L23" s="18" t="s">
        <v>66</v>
      </c>
    </row>
    <row r="24" spans="1:12">
      <c r="H24" s="18" t="s">
        <v>8</v>
      </c>
      <c r="I24" s="7">
        <f>COUNTIFS(Tabla1[Infonavit o fovisste (5 años cotizados)],"Si",Tabla1[Otorgar],"SI")</f>
        <v>7</v>
      </c>
      <c r="J24" s="7">
        <f>COUNTIFS(Tabla1[Infonavit o fovisste (5 años cotizados)],"Si",Tabla1[Otorgar],"NO")</f>
        <v>2</v>
      </c>
      <c r="K24" s="7">
        <f t="shared" ref="K24:K25" si="6">(-1)*((I24/(I24+J24))*LOG((I24/(I24+J24)),2)+((J24/(I24+J24))*(LOG((J24/(I24+J24)),2))))</f>
        <v>0.76420450650862026</v>
      </c>
      <c r="L24" s="7">
        <f>((I24+J24)/15)*K24</f>
        <v>0.45852270390517214</v>
      </c>
    </row>
    <row r="25" spans="1:12">
      <c r="H25" s="18" t="s">
        <v>9</v>
      </c>
      <c r="I25" s="7">
        <f>COUNTIFS(Tabla1[Infonavit o fovisste (5 años cotizados)],"No",Tabla1[Otorgar],"SI")</f>
        <v>2</v>
      </c>
      <c r="J25" s="7">
        <f>COUNTIFS(Tabla1[Infonavit o fovisste (5 años cotizados)],"No",Tabla1[Otorgar],"NO")</f>
        <v>4</v>
      </c>
      <c r="K25" s="7">
        <f t="shared" si="6"/>
        <v>0.91829583405448956</v>
      </c>
      <c r="L25" s="7">
        <f>((I25+J25)/15)*K25</f>
        <v>0.36731833362179583</v>
      </c>
    </row>
    <row r="26" spans="1:12">
      <c r="K26" s="9" t="s">
        <v>31</v>
      </c>
      <c r="L26">
        <f>SUM(L24:L25)</f>
        <v>0.82584103752696802</v>
      </c>
    </row>
  </sheetData>
  <mergeCells count="8">
    <mergeCell ref="H22:L22"/>
    <mergeCell ref="A17:B17"/>
    <mergeCell ref="D20:F21"/>
    <mergeCell ref="A18:B18"/>
    <mergeCell ref="H1:J1"/>
    <mergeCell ref="H5:L5"/>
    <mergeCell ref="H10:L10"/>
    <mergeCell ref="H16:L16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6765-76D8-483D-BD57-A739BE51F1C9}">
  <dimension ref="A1:K40"/>
  <sheetViews>
    <sheetView tabSelected="1" topLeftCell="A14" zoomScale="90" zoomScaleNormal="90" workbookViewId="0">
      <selection activeCell="H39" sqref="H39"/>
    </sheetView>
  </sheetViews>
  <sheetFormatPr baseColWidth="10" defaultRowHeight="12.75"/>
  <cols>
    <col min="1" max="1" width="21.42578125" customWidth="1"/>
    <col min="2" max="2" width="28.5703125" customWidth="1"/>
    <col min="3" max="3" width="33.85546875" customWidth="1"/>
    <col min="4" max="4" width="9.28515625" customWidth="1"/>
    <col min="9" max="9" width="12.28515625" bestFit="1" customWidth="1"/>
  </cols>
  <sheetData>
    <row r="1" spans="1:11">
      <c r="A1" s="1" t="s">
        <v>1</v>
      </c>
      <c r="B1" s="1" t="s">
        <v>2</v>
      </c>
      <c r="C1" s="1" t="s">
        <v>3</v>
      </c>
      <c r="D1" s="1" t="s">
        <v>20</v>
      </c>
      <c r="E1" s="1" t="s">
        <v>4</v>
      </c>
    </row>
    <row r="2" spans="1:11">
      <c r="A2" s="16" t="s">
        <v>6</v>
      </c>
      <c r="B2" s="17" t="s">
        <v>56</v>
      </c>
      <c r="C2" s="29" t="s">
        <v>52</v>
      </c>
      <c r="D2" s="16" t="s">
        <v>13</v>
      </c>
      <c r="E2" s="16" t="s">
        <v>8</v>
      </c>
    </row>
    <row r="3" spans="1:11">
      <c r="A3" s="16" t="s">
        <v>6</v>
      </c>
      <c r="B3" s="16" t="s">
        <v>57</v>
      </c>
      <c r="C3" s="16" t="s">
        <v>53</v>
      </c>
      <c r="D3" s="16" t="s">
        <v>13</v>
      </c>
      <c r="E3" s="16" t="s">
        <v>8</v>
      </c>
    </row>
    <row r="4" spans="1:11">
      <c r="A4" s="16" t="s">
        <v>6</v>
      </c>
      <c r="B4" s="16" t="s">
        <v>55</v>
      </c>
      <c r="C4" s="29" t="s">
        <v>52</v>
      </c>
      <c r="D4" s="17" t="s">
        <v>9</v>
      </c>
      <c r="E4" s="16" t="s">
        <v>9</v>
      </c>
    </row>
    <row r="5" spans="1:11">
      <c r="A5" s="16" t="s">
        <v>6</v>
      </c>
      <c r="B5" s="17" t="s">
        <v>56</v>
      </c>
      <c r="C5" s="29" t="s">
        <v>52</v>
      </c>
      <c r="D5" s="16" t="s">
        <v>11</v>
      </c>
      <c r="E5" s="16" t="s">
        <v>9</v>
      </c>
    </row>
    <row r="6" spans="1:11">
      <c r="A6" s="16" t="s">
        <v>6</v>
      </c>
      <c r="B6" s="16" t="s">
        <v>57</v>
      </c>
      <c r="C6" s="29" t="s">
        <v>52</v>
      </c>
      <c r="D6" s="16" t="s">
        <v>13</v>
      </c>
      <c r="E6" s="16" t="s">
        <v>8</v>
      </c>
    </row>
    <row r="7" spans="1:11">
      <c r="A7" s="16" t="s">
        <v>6</v>
      </c>
      <c r="B7" s="16" t="s">
        <v>57</v>
      </c>
      <c r="C7" s="16" t="s">
        <v>51</v>
      </c>
      <c r="D7" s="16" t="s">
        <v>13</v>
      </c>
      <c r="E7" s="16" t="s">
        <v>8</v>
      </c>
    </row>
    <row r="8" spans="1:11">
      <c r="A8" s="16" t="s">
        <v>6</v>
      </c>
      <c r="B8" s="16" t="s">
        <v>57</v>
      </c>
      <c r="C8" s="16" t="s">
        <v>51</v>
      </c>
      <c r="D8" s="16" t="s">
        <v>9</v>
      </c>
      <c r="E8" s="16" t="s">
        <v>9</v>
      </c>
    </row>
    <row r="9" spans="1:11" ht="12.75" customHeight="1">
      <c r="A9" s="16" t="s">
        <v>6</v>
      </c>
      <c r="B9" s="17" t="s">
        <v>56</v>
      </c>
      <c r="C9" s="16" t="s">
        <v>51</v>
      </c>
      <c r="D9" s="16" t="s">
        <v>13</v>
      </c>
      <c r="E9" s="16" t="s">
        <v>8</v>
      </c>
    </row>
    <row r="10" spans="1:11" ht="12.75" customHeight="1">
      <c r="A10" s="16" t="s">
        <v>6</v>
      </c>
      <c r="B10" s="17" t="s">
        <v>56</v>
      </c>
      <c r="C10" s="16" t="s">
        <v>53</v>
      </c>
      <c r="D10" s="16" t="s">
        <v>13</v>
      </c>
      <c r="E10" s="16" t="s">
        <v>8</v>
      </c>
    </row>
    <row r="11" spans="1:11" ht="12.75" customHeight="1">
      <c r="A11" s="16" t="s">
        <v>6</v>
      </c>
      <c r="B11" s="16" t="s">
        <v>57</v>
      </c>
      <c r="C11" s="29" t="s">
        <v>52</v>
      </c>
      <c r="D11" s="16" t="s">
        <v>9</v>
      </c>
      <c r="E11" s="16" t="s">
        <v>8</v>
      </c>
    </row>
    <row r="12" spans="1:11">
      <c r="A12" s="16" t="s">
        <v>6</v>
      </c>
      <c r="B12" s="17" t="s">
        <v>56</v>
      </c>
      <c r="C12" s="16" t="s">
        <v>53</v>
      </c>
      <c r="D12" s="16" t="s">
        <v>9</v>
      </c>
      <c r="E12" s="16" t="s">
        <v>8</v>
      </c>
    </row>
    <row r="13" spans="1:11">
      <c r="A13" s="16" t="s">
        <v>6</v>
      </c>
      <c r="B13" s="29" t="s">
        <v>55</v>
      </c>
      <c r="C13" s="29" t="s">
        <v>52</v>
      </c>
      <c r="D13" s="16" t="s">
        <v>8</v>
      </c>
      <c r="E13" s="16" t="s">
        <v>8</v>
      </c>
    </row>
    <row r="14" spans="1:11">
      <c r="A14" s="28"/>
      <c r="B14" s="20"/>
      <c r="E14" s="20"/>
    </row>
    <row r="15" spans="1:11">
      <c r="B15" s="20"/>
      <c r="F15" s="21"/>
      <c r="G15" s="49" t="s">
        <v>60</v>
      </c>
      <c r="H15" s="49"/>
      <c r="I15" s="49"/>
    </row>
    <row r="16" spans="1:11" ht="20.25">
      <c r="B16" s="20"/>
      <c r="C16" s="27"/>
      <c r="D16" s="27"/>
      <c r="F16" s="23"/>
      <c r="G16" s="19" t="s">
        <v>48</v>
      </c>
      <c r="H16" s="19" t="s">
        <v>49</v>
      </c>
      <c r="I16" s="19" t="s">
        <v>32</v>
      </c>
      <c r="J16" s="24"/>
      <c r="K16" s="24"/>
    </row>
    <row r="17" spans="1:11" ht="20.25" customHeight="1">
      <c r="A17" s="46" t="s">
        <v>58</v>
      </c>
      <c r="B17" s="46"/>
      <c r="C17" s="53" t="s">
        <v>76</v>
      </c>
      <c r="D17" s="53"/>
      <c r="F17" s="22"/>
      <c r="G17" s="31">
        <f>COUNTIF(Tabla17[Otorgar],"SI")</f>
        <v>9</v>
      </c>
      <c r="H17" s="31">
        <f>COUNTIF(Tabla17[Otorgar],"NO")</f>
        <v>3</v>
      </c>
      <c r="I17" s="19">
        <f t="shared" ref="I17" si="0">(-1)*((G17/(G17+H17))*LOG((G17/(G17+H17)),2)+((H17/(G17+H17))*(LOG((H17/(G17+H17)),2))))</f>
        <v>0.81127812445913283</v>
      </c>
      <c r="J17" s="24"/>
      <c r="K17" s="24"/>
    </row>
    <row r="18" spans="1:11" ht="20.25" customHeight="1">
      <c r="A18" s="22" t="s">
        <v>50</v>
      </c>
      <c r="B18" s="20">
        <f>I17-K29</f>
        <v>4.3004712052997607E-2</v>
      </c>
      <c r="C18" s="53"/>
      <c r="D18" s="53"/>
      <c r="F18" s="20"/>
      <c r="G18" s="20"/>
      <c r="H18" s="20"/>
      <c r="I18" s="20"/>
      <c r="J18" s="24"/>
      <c r="K18" s="24"/>
    </row>
    <row r="19" spans="1:11">
      <c r="A19" s="22" t="s">
        <v>54</v>
      </c>
      <c r="B19" s="20">
        <f>I17-K35</f>
        <v>0.12255624891826566</v>
      </c>
      <c r="F19" s="20"/>
      <c r="G19" s="56"/>
      <c r="H19" s="56"/>
      <c r="I19" s="56"/>
      <c r="J19" s="56"/>
      <c r="K19" s="56"/>
    </row>
    <row r="20" spans="1:11">
      <c r="A20" s="22" t="s">
        <v>40</v>
      </c>
      <c r="B20" s="20">
        <f>I17-K40</f>
        <v>0.40671537676968755</v>
      </c>
      <c r="F20" s="20"/>
      <c r="G20" s="57"/>
      <c r="H20" s="58"/>
      <c r="I20" s="58"/>
      <c r="J20" s="58"/>
      <c r="K20" s="58"/>
    </row>
    <row r="21" spans="1:11">
      <c r="F21" s="20"/>
      <c r="G21" s="58"/>
      <c r="H21" s="57"/>
      <c r="I21" s="57"/>
      <c r="J21" s="57"/>
      <c r="K21" s="57"/>
    </row>
    <row r="22" spans="1:11">
      <c r="F22" s="23"/>
      <c r="G22" s="58"/>
      <c r="H22" s="57"/>
      <c r="I22" s="57"/>
      <c r="J22" s="57"/>
      <c r="K22" s="57"/>
    </row>
    <row r="23" spans="1:11">
      <c r="F23" s="20"/>
      <c r="G23" s="57"/>
      <c r="H23" s="57"/>
      <c r="I23" s="57"/>
      <c r="J23" s="58"/>
      <c r="K23" s="57"/>
    </row>
    <row r="24" spans="1:11">
      <c r="F24" s="20"/>
      <c r="G24" s="54" t="s">
        <v>50</v>
      </c>
      <c r="H24" s="54"/>
      <c r="I24" s="54"/>
      <c r="J24" s="54"/>
      <c r="K24" s="54"/>
    </row>
    <row r="25" spans="1:11">
      <c r="F25" s="20"/>
      <c r="G25" s="7"/>
      <c r="H25" s="18" t="s">
        <v>48</v>
      </c>
      <c r="I25" s="18" t="s">
        <v>49</v>
      </c>
      <c r="J25" s="18" t="s">
        <v>32</v>
      </c>
      <c r="K25" s="18" t="s">
        <v>66</v>
      </c>
    </row>
    <row r="26" spans="1:11" ht="20.25">
      <c r="F26" s="27"/>
      <c r="G26" s="18" t="s">
        <v>62</v>
      </c>
      <c r="H26" s="7">
        <f>COUNTIFS(Tabla17[[Edad ]],"Menor que 24 o mayor que 64",Tabla17[Otorgar],"SI")</f>
        <v>1</v>
      </c>
      <c r="I26" s="7">
        <f>COUNTIFS(Tabla17[[Edad ]],"Menor que 24 o mayor que 64",Tabla17[Otorgar],"NO")</f>
        <v>1</v>
      </c>
      <c r="J26" s="7">
        <f t="shared" ref="J26:J28" si="1">(-1)*((H26/(H26+I26))*LOG((H26/(H26+I26)),2)+((I26/(H26+I26))*(LOG((I26/(H26+I26)),2))))</f>
        <v>1</v>
      </c>
      <c r="K26" s="7">
        <f>((H26+I26)/12)*J26</f>
        <v>0.16666666666666666</v>
      </c>
    </row>
    <row r="27" spans="1:11" ht="20.25">
      <c r="F27" s="27"/>
      <c r="G27" s="18" t="s">
        <v>36</v>
      </c>
      <c r="H27" s="7">
        <f>COUNTIFS(Tabla17[[Edad ]],"Entre 24 y 44",Tabla17[Otorgar],"SI")</f>
        <v>4</v>
      </c>
      <c r="I27" s="7">
        <f>COUNTIFS(Tabla17[[Edad ]],"Entre 24 y 44",Tabla17[Otorgar],"NO")</f>
        <v>1</v>
      </c>
      <c r="J27" s="7">
        <f>(-1)*((H27/(H27+I27))*LOG((H27/(H27+I27)),2)+((I27/(H27+I27))*(LOG((I27/(H27+I27)),2))))</f>
        <v>0.72192809488736231</v>
      </c>
      <c r="K27" s="7">
        <f>((H27+I27)/12)*J27</f>
        <v>0.3008033728697343</v>
      </c>
    </row>
    <row r="28" spans="1:11" ht="20.25">
      <c r="F28" s="27"/>
      <c r="G28" s="18" t="s">
        <v>37</v>
      </c>
      <c r="H28" s="7">
        <f>COUNTIFS(Tabla17[[Edad ]],"Entre 45 y 64",Tabla17[Otorgar],"SI")</f>
        <v>4</v>
      </c>
      <c r="I28" s="7">
        <f>COUNTIFS(Tabla17[[Edad ]],"Entre 45 y 64",Tabla17[Otorgar],"NO")</f>
        <v>1</v>
      </c>
      <c r="J28" s="7">
        <f t="shared" si="1"/>
        <v>0.72192809488736231</v>
      </c>
      <c r="K28" s="7">
        <f>((H28+I28)/12)*J28</f>
        <v>0.3008033728697343</v>
      </c>
    </row>
    <row r="29" spans="1:11">
      <c r="F29" s="20"/>
      <c r="J29" s="9" t="s">
        <v>31</v>
      </c>
      <c r="K29">
        <f>SUM(K26:K28)</f>
        <v>0.76827341240613523</v>
      </c>
    </row>
    <row r="30" spans="1:11">
      <c r="F30" s="20"/>
      <c r="G30" s="49" t="s">
        <v>54</v>
      </c>
      <c r="H30" s="49"/>
      <c r="I30" s="49"/>
      <c r="J30" s="49"/>
      <c r="K30" s="49"/>
    </row>
    <row r="31" spans="1:11">
      <c r="F31" s="20"/>
      <c r="G31" s="7"/>
      <c r="H31" s="18" t="s">
        <v>48</v>
      </c>
      <c r="I31" s="18" t="s">
        <v>49</v>
      </c>
      <c r="J31" s="18" t="s">
        <v>32</v>
      </c>
      <c r="K31" s="18" t="s">
        <v>66</v>
      </c>
    </row>
    <row r="32" spans="1:11">
      <c r="G32" s="18" t="s">
        <v>63</v>
      </c>
      <c r="H32" s="7">
        <f>COUNTIFS(Tabla17[Ahorros(% de sueldo mensual)],"Menor que 50",Tabla17[Otorgar],"SI")</f>
        <v>2</v>
      </c>
      <c r="I32" s="7">
        <f>COUNTIFS(Tabla17[Ahorros(% de sueldo mensual)],"Menor que 50",Tabla17[Otorgar],"NO")</f>
        <v>1</v>
      </c>
      <c r="J32" s="7">
        <f t="shared" ref="J32:J34" si="2">(-1)*((H32/(H32+I32))*LOG((H32/(H32+I32)),2)+((I32/(H32+I32))*(LOG((I32/(H32+I32)),2))))</f>
        <v>0.91829583405448956</v>
      </c>
      <c r="K32" s="7">
        <f>((H32+I32)/12)*J32</f>
        <v>0.22957395851362239</v>
      </c>
    </row>
    <row r="33" spans="7:11">
      <c r="G33" s="18" t="s">
        <v>39</v>
      </c>
      <c r="H33" s="7">
        <f>COUNTIFS(Tabla17[Ahorros(% de sueldo mensual)],"Entre 51 y 150",Tabla17[Otorgar],"SI")</f>
        <v>3</v>
      </c>
      <c r="I33" s="7">
        <f>COUNTIFS(Tabla17[Ahorros(% de sueldo mensual)],"Entre 51 y 150",Tabla17[Otorgar],"NO")</f>
        <v>0</v>
      </c>
      <c r="J33" s="7">
        <v>0</v>
      </c>
      <c r="K33" s="7">
        <f>((H33+I33)/12)*J33</f>
        <v>0</v>
      </c>
    </row>
    <row r="34" spans="7:11">
      <c r="G34" s="18" t="s">
        <v>64</v>
      </c>
      <c r="H34" s="7">
        <f>COUNTIFS(Tabla17[Ahorros(% de sueldo mensual)],"Mayor que 150",Tabla17[Otorgar],"SI")</f>
        <v>4</v>
      </c>
      <c r="I34" s="7">
        <f>COUNTIFS(Tabla17[Ahorros(% de sueldo mensual)],"Mayor que 150",Tabla17[Otorgar],"NO")</f>
        <v>2</v>
      </c>
      <c r="J34" s="7">
        <f t="shared" si="2"/>
        <v>0.91829583405448956</v>
      </c>
      <c r="K34" s="7">
        <f>((H34+I34)/12)*J34</f>
        <v>0.45914791702724478</v>
      </c>
    </row>
    <row r="35" spans="7:11">
      <c r="J35" s="9" t="s">
        <v>31</v>
      </c>
      <c r="K35">
        <f>SUM(K32:K34)</f>
        <v>0.68872187554086717</v>
      </c>
    </row>
    <row r="36" spans="7:11">
      <c r="G36" s="34" t="s">
        <v>40</v>
      </c>
      <c r="H36" s="35"/>
      <c r="I36" s="35"/>
      <c r="J36" s="35"/>
      <c r="K36" s="36"/>
    </row>
    <row r="37" spans="7:11">
      <c r="G37" s="7"/>
      <c r="H37" s="18" t="s">
        <v>48</v>
      </c>
      <c r="I37" s="18" t="s">
        <v>49</v>
      </c>
      <c r="J37" s="18" t="s">
        <v>32</v>
      </c>
      <c r="K37" s="18" t="s">
        <v>66</v>
      </c>
    </row>
    <row r="38" spans="7:11">
      <c r="G38" s="18" t="s">
        <v>8</v>
      </c>
      <c r="H38" s="7">
        <f>COUNTIFS(Tabla17[Infonavit o fovisste (5 años cotizados)],"Si",Tabla17[Otorgar],"SI")</f>
        <v>7</v>
      </c>
      <c r="I38" s="7">
        <f>COUNTIFS(Tabla17[Infonavit o fovisste (5 años cotizados)],"Si",Tabla17[Otorgar],"NO")</f>
        <v>0</v>
      </c>
      <c r="J38" s="7">
        <v>0</v>
      </c>
      <c r="K38" s="7">
        <f>((H38+I38)/12)*J38</f>
        <v>0</v>
      </c>
    </row>
    <row r="39" spans="7:11">
      <c r="G39" s="18" t="s">
        <v>9</v>
      </c>
      <c r="H39" s="7">
        <f>COUNTIFS(Tabla17[Infonavit o fovisste (5 años cotizados)],"No",Tabla17[Otorgar],"SI")</f>
        <v>2</v>
      </c>
      <c r="I39" s="7">
        <f>COUNTIFS(Tabla17[Infonavit o fovisste (5 años cotizados)],"No",Tabla17[Otorgar],"NO")</f>
        <v>3</v>
      </c>
      <c r="J39" s="7">
        <f t="shared" ref="J39" si="3">(-1)*((H39/(H39+I39))*LOG((H39/(H39+I39)),2)+((I39/(H39+I39))*(LOG((I39/(H39+I39)),2))))</f>
        <v>0.97095059445466858</v>
      </c>
      <c r="K39" s="7">
        <f>((H39+I39)/12)*J39</f>
        <v>0.40456274768944528</v>
      </c>
    </row>
    <row r="40" spans="7:11">
      <c r="J40" s="9" t="s">
        <v>31</v>
      </c>
      <c r="K40">
        <f>SUM(K38:K39)</f>
        <v>0.40456274768944528</v>
      </c>
    </row>
  </sheetData>
  <mergeCells count="6">
    <mergeCell ref="G30:K30"/>
    <mergeCell ref="A17:B17"/>
    <mergeCell ref="C17:D18"/>
    <mergeCell ref="G15:I15"/>
    <mergeCell ref="G19:K19"/>
    <mergeCell ref="G24:K24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5E5D-ECC6-403C-B549-7DFD20789852}">
  <dimension ref="A1:M28"/>
  <sheetViews>
    <sheetView topLeftCell="A5" zoomScale="90" zoomScaleNormal="90" workbookViewId="0">
      <selection activeCell="M12" sqref="M12"/>
    </sheetView>
  </sheetViews>
  <sheetFormatPr baseColWidth="10" defaultRowHeight="12.75"/>
  <cols>
    <col min="1" max="1" width="28.5703125" customWidth="1"/>
    <col min="2" max="2" width="33.85546875" customWidth="1"/>
    <col min="3" max="3" width="9.28515625" customWidth="1"/>
    <col min="8" max="8" width="12.28515625" bestFit="1" customWidth="1"/>
    <col min="12" max="12" width="19" bestFit="1" customWidth="1"/>
    <col min="13" max="13" width="13.28515625" bestFit="1" customWidth="1"/>
  </cols>
  <sheetData>
    <row r="1" spans="1:13">
      <c r="A1" s="1" t="s">
        <v>2</v>
      </c>
      <c r="B1" s="1" t="s">
        <v>3</v>
      </c>
      <c r="C1" s="1" t="s">
        <v>20</v>
      </c>
      <c r="D1" s="1" t="s">
        <v>4</v>
      </c>
    </row>
    <row r="2" spans="1:13">
      <c r="A2" s="16" t="s">
        <v>55</v>
      </c>
      <c r="B2" s="29" t="s">
        <v>52</v>
      </c>
      <c r="C2" s="17" t="s">
        <v>9</v>
      </c>
      <c r="D2" s="16" t="s">
        <v>9</v>
      </c>
    </row>
    <row r="3" spans="1:13">
      <c r="A3" s="17" t="s">
        <v>56</v>
      </c>
      <c r="B3" s="29" t="s">
        <v>52</v>
      </c>
      <c r="C3" s="16" t="s">
        <v>11</v>
      </c>
      <c r="D3" s="16" t="s">
        <v>9</v>
      </c>
    </row>
    <row r="4" spans="1:13">
      <c r="A4" s="16" t="s">
        <v>57</v>
      </c>
      <c r="B4" s="16" t="s">
        <v>51</v>
      </c>
      <c r="C4" s="16" t="s">
        <v>9</v>
      </c>
      <c r="D4" s="16" t="s">
        <v>9</v>
      </c>
    </row>
    <row r="5" spans="1:13" ht="12.75" customHeight="1">
      <c r="A5" s="16" t="s">
        <v>57</v>
      </c>
      <c r="B5" s="29" t="s">
        <v>52</v>
      </c>
      <c r="C5" s="16" t="s">
        <v>9</v>
      </c>
      <c r="D5" s="16" t="s">
        <v>8</v>
      </c>
    </row>
    <row r="6" spans="1:13">
      <c r="A6" s="17" t="s">
        <v>56</v>
      </c>
      <c r="B6" s="16" t="s">
        <v>53</v>
      </c>
      <c r="C6" s="16" t="s">
        <v>9</v>
      </c>
      <c r="D6" s="16" t="s">
        <v>8</v>
      </c>
    </row>
    <row r="7" spans="1:13">
      <c r="A7" s="20"/>
      <c r="D7" s="20"/>
    </row>
    <row r="8" spans="1:13">
      <c r="A8" s="20"/>
      <c r="E8" s="21"/>
      <c r="F8" s="49" t="s">
        <v>60</v>
      </c>
      <c r="G8" s="49"/>
      <c r="H8" s="49"/>
      <c r="L8" s="46" t="s">
        <v>58</v>
      </c>
      <c r="M8" s="46"/>
    </row>
    <row r="9" spans="1:13" ht="20.25">
      <c r="A9" s="20"/>
      <c r="B9" s="27"/>
      <c r="C9" s="27"/>
      <c r="E9" s="23"/>
      <c r="F9" s="19" t="s">
        <v>48</v>
      </c>
      <c r="G9" s="19" t="s">
        <v>49</v>
      </c>
      <c r="H9" s="19" t="s">
        <v>32</v>
      </c>
      <c r="I9" s="24"/>
      <c r="J9" s="24"/>
      <c r="L9" s="22"/>
      <c r="M9" s="20"/>
    </row>
    <row r="10" spans="1:13" ht="20.25" customHeight="1">
      <c r="B10" s="53" t="s">
        <v>77</v>
      </c>
      <c r="C10" s="53"/>
      <c r="E10" s="22"/>
      <c r="F10" s="31">
        <f>COUNTIF(Tabla178[Otorgar],"SI")</f>
        <v>2</v>
      </c>
      <c r="G10" s="31">
        <f>COUNTIF(Tabla178[Otorgar],"NO")</f>
        <v>3</v>
      </c>
      <c r="H10" s="19">
        <f t="shared" ref="H10" si="0">(-1)*((F10/(F10+G10))*LOG((F10/(F10+G10)),2)+((G10/(F10+G10))*(LOG((G10/(F10+G10)),2))))</f>
        <v>0.97095059445466858</v>
      </c>
      <c r="I10" s="24"/>
      <c r="J10" s="24"/>
      <c r="L10" s="22" t="s">
        <v>50</v>
      </c>
      <c r="M10" s="20">
        <f>H10-J17</f>
        <v>0.17095059445466854</v>
      </c>
    </row>
    <row r="11" spans="1:13" ht="20.25" customHeight="1">
      <c r="B11" s="53"/>
      <c r="C11" s="53"/>
      <c r="E11" s="20"/>
      <c r="F11" s="20"/>
      <c r="G11" s="20"/>
      <c r="H11" s="20"/>
      <c r="I11" s="24"/>
      <c r="J11" s="24"/>
      <c r="L11" s="22" t="s">
        <v>54</v>
      </c>
      <c r="M11" s="20">
        <f>H10-J23</f>
        <v>0.41997309402197491</v>
      </c>
    </row>
    <row r="12" spans="1:13">
      <c r="E12" s="20"/>
      <c r="F12" s="49" t="s">
        <v>50</v>
      </c>
      <c r="G12" s="49"/>
      <c r="H12" s="49"/>
      <c r="I12" s="49"/>
      <c r="J12" s="49"/>
      <c r="L12" s="22"/>
      <c r="M12" s="20"/>
    </row>
    <row r="13" spans="1:13">
      <c r="E13" s="20"/>
      <c r="F13" s="7"/>
      <c r="G13" s="18" t="s">
        <v>48</v>
      </c>
      <c r="H13" s="18" t="s">
        <v>49</v>
      </c>
      <c r="I13" s="18" t="s">
        <v>32</v>
      </c>
      <c r="J13" s="18" t="s">
        <v>66</v>
      </c>
    </row>
    <row r="14" spans="1:13">
      <c r="E14" s="20"/>
      <c r="F14" s="18" t="s">
        <v>62</v>
      </c>
      <c r="G14" s="7">
        <f>COUNTIFS(Tabla178[[Edad ]],"Menor que 24 o mayor que 64",Tabla178[Otorgar],"SI")</f>
        <v>0</v>
      </c>
      <c r="H14" s="7">
        <f>COUNTIFS(Tabla178[[Edad ]],"Menor que 24 o mayor que 64",Tabla178[Otorgar],"NO")</f>
        <v>1</v>
      </c>
      <c r="I14" s="7">
        <v>0</v>
      </c>
      <c r="J14" s="7">
        <f>((G14+H14)/5)*I14</f>
        <v>0</v>
      </c>
    </row>
    <row r="15" spans="1:13">
      <c r="E15" s="23"/>
      <c r="F15" s="18" t="s">
        <v>36</v>
      </c>
      <c r="G15" s="7">
        <f>COUNTIFS(Tabla178[[Edad ]],"Entre 24 y 44",Tabla178[Otorgar],"SI")</f>
        <v>1</v>
      </c>
      <c r="H15" s="7">
        <f>COUNTIFS(Tabla178[[Edad ]],"Entre 24 y 44",Tabla178[Otorgar],"NO")</f>
        <v>1</v>
      </c>
      <c r="I15" s="7">
        <f t="shared" ref="I15:I16" si="1">(-1)*((G15/(G15+H15))*LOG((G15/(G15+H15)),2)+((H15/(G15+H15))*(LOG((H15/(G15+H15)),2))))</f>
        <v>1</v>
      </c>
      <c r="J15" s="7">
        <f>((G15+H15)/5)*I15</f>
        <v>0.4</v>
      </c>
    </row>
    <row r="16" spans="1:13">
      <c r="E16" s="20"/>
      <c r="F16" s="18" t="s">
        <v>37</v>
      </c>
      <c r="G16" s="7">
        <f>COUNTIFS(Tabla178[[Edad ]],"Entre 45 y 64",Tabla178[Otorgar],"SI")</f>
        <v>1</v>
      </c>
      <c r="H16" s="7">
        <f>COUNTIFS(Tabla178[[Edad ]],"Entre 45 y 64",Tabla178[Otorgar],"NO")</f>
        <v>1</v>
      </c>
      <c r="I16" s="7">
        <f t="shared" si="1"/>
        <v>1</v>
      </c>
      <c r="J16" s="7">
        <f>((G16+H16)/5)*I16</f>
        <v>0.4</v>
      </c>
    </row>
    <row r="17" spans="5:10">
      <c r="E17" s="20"/>
      <c r="I17" s="9" t="s">
        <v>31</v>
      </c>
      <c r="J17">
        <f>SUM(J14:J16)</f>
        <v>0.8</v>
      </c>
    </row>
    <row r="18" spans="5:10">
      <c r="E18" s="20"/>
      <c r="F18" s="49" t="s">
        <v>54</v>
      </c>
      <c r="G18" s="49"/>
      <c r="H18" s="49"/>
      <c r="I18" s="49"/>
      <c r="J18" s="49"/>
    </row>
    <row r="19" spans="5:10" ht="20.25">
      <c r="E19" s="27"/>
      <c r="F19" s="7"/>
      <c r="G19" s="18" t="s">
        <v>48</v>
      </c>
      <c r="H19" s="18" t="s">
        <v>49</v>
      </c>
      <c r="I19" s="18" t="s">
        <v>32</v>
      </c>
      <c r="J19" s="18" t="s">
        <v>66</v>
      </c>
    </row>
    <row r="20" spans="5:10" ht="20.25">
      <c r="E20" s="27"/>
      <c r="F20" s="18" t="s">
        <v>63</v>
      </c>
      <c r="G20" s="7">
        <f>COUNTIFS(Tabla178[Ahorros(% de sueldo mensual)],"Menor que 50",Tabla178[Otorgar],"SI")</f>
        <v>0</v>
      </c>
      <c r="H20" s="7">
        <f>COUNTIFS(Tabla178[Ahorros(% de sueldo mensual)],"Menor que 50",Tabla178[Otorgar],"NO")</f>
        <v>1</v>
      </c>
      <c r="I20" s="7">
        <v>0</v>
      </c>
      <c r="J20" s="7">
        <f>((G20+H20)/5)*I20</f>
        <v>0</v>
      </c>
    </row>
    <row r="21" spans="5:10" ht="20.25">
      <c r="E21" s="27"/>
      <c r="F21" s="18" t="s">
        <v>39</v>
      </c>
      <c r="G21" s="7">
        <f>COUNTIFS(Tabla178[Ahorros(% de sueldo mensual)],"Entre 51 y 150",Tabla178[Otorgar],"SI")</f>
        <v>1</v>
      </c>
      <c r="H21" s="7">
        <f>COUNTIFS(Tabla178[Ahorros(% de sueldo mensual)],"Entre 51 y 150",Tabla178[Otorgar],"NO")</f>
        <v>0</v>
      </c>
      <c r="I21" s="7">
        <v>0</v>
      </c>
      <c r="J21" s="7">
        <f>((G21+H21)/5)*I21</f>
        <v>0</v>
      </c>
    </row>
    <row r="22" spans="5:10">
      <c r="E22" s="20"/>
      <c r="F22" s="18" t="s">
        <v>64</v>
      </c>
      <c r="G22" s="7">
        <f>COUNTIFS(Tabla178[Ahorros(% de sueldo mensual)],"Mayor que 150",Tabla178[Otorgar],"SI")</f>
        <v>1</v>
      </c>
      <c r="H22" s="7">
        <f>COUNTIFS(Tabla178[Ahorros(% de sueldo mensual)],"Mayor que 150",Tabla178[Otorgar],"NO")</f>
        <v>2</v>
      </c>
      <c r="I22" s="7">
        <f t="shared" ref="I22" si="2">(-1)*((G22/(G22+H22))*LOG((G22/(G22+H22)),2)+((H22/(G22+H22))*(LOG((H22/(G22+H22)),2))))</f>
        <v>0.91829583405448956</v>
      </c>
      <c r="J22" s="7">
        <f>((G22+H22)/5)*I22</f>
        <v>0.55097750043269367</v>
      </c>
    </row>
    <row r="23" spans="5:10">
      <c r="E23" s="20"/>
      <c r="I23" s="9" t="s">
        <v>31</v>
      </c>
      <c r="J23">
        <f>SUM(J20:J22)</f>
        <v>0.55097750043269367</v>
      </c>
    </row>
    <row r="24" spans="5:10">
      <c r="E24" s="20"/>
      <c r="F24" s="34"/>
      <c r="G24" s="35"/>
      <c r="H24" s="35"/>
      <c r="I24" s="35"/>
      <c r="J24" s="36"/>
    </row>
    <row r="25" spans="5:10">
      <c r="F25" s="7"/>
      <c r="G25" s="18"/>
      <c r="H25" s="18"/>
      <c r="I25" s="18"/>
      <c r="J25" s="18"/>
    </row>
    <row r="26" spans="5:10">
      <c r="F26" s="18"/>
      <c r="G26" s="7"/>
      <c r="H26" s="7"/>
      <c r="I26" s="7"/>
      <c r="J26" s="7"/>
    </row>
    <row r="27" spans="5:10">
      <c r="F27" s="18"/>
      <c r="G27" s="7"/>
      <c r="H27" s="7"/>
      <c r="I27" s="7"/>
      <c r="J27" s="7"/>
    </row>
    <row r="28" spans="5:10">
      <c r="I28" s="9"/>
    </row>
  </sheetData>
  <mergeCells count="5">
    <mergeCell ref="F8:H8"/>
    <mergeCell ref="L8:M8"/>
    <mergeCell ref="B10:C11"/>
    <mergeCell ref="F12:J12"/>
    <mergeCell ref="F18:J18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75E0-8C3E-4D51-AB7F-DBF71B9F2FA5}">
  <dimension ref="A1:L27"/>
  <sheetViews>
    <sheetView zoomScale="90" zoomScaleNormal="90" workbookViewId="0">
      <selection activeCell="K21" sqref="K21"/>
    </sheetView>
  </sheetViews>
  <sheetFormatPr baseColWidth="10" defaultRowHeight="12.75"/>
  <cols>
    <col min="1" max="1" width="28.5703125" customWidth="1"/>
    <col min="2" max="2" width="33.85546875" customWidth="1"/>
    <col min="7" max="7" width="12.28515625" bestFit="1" customWidth="1"/>
    <col min="11" max="11" width="19" bestFit="1" customWidth="1"/>
    <col min="12" max="12" width="13.28515625" bestFit="1" customWidth="1"/>
  </cols>
  <sheetData>
    <row r="1" spans="1:12">
      <c r="A1" s="1" t="s">
        <v>2</v>
      </c>
      <c r="B1" s="1" t="s">
        <v>3</v>
      </c>
      <c r="C1" s="1" t="s">
        <v>4</v>
      </c>
    </row>
    <row r="2" spans="1:12">
      <c r="A2" s="16" t="s">
        <v>55</v>
      </c>
      <c r="B2" s="29" t="s">
        <v>52</v>
      </c>
      <c r="C2" s="16" t="s">
        <v>9</v>
      </c>
    </row>
    <row r="3" spans="1:12">
      <c r="A3" s="17" t="s">
        <v>56</v>
      </c>
      <c r="B3" s="29" t="s">
        <v>52</v>
      </c>
      <c r="C3" s="16" t="s">
        <v>9</v>
      </c>
    </row>
    <row r="4" spans="1:12" ht="12.75" customHeight="1">
      <c r="A4" s="16" t="s">
        <v>57</v>
      </c>
      <c r="B4" s="29" t="s">
        <v>52</v>
      </c>
      <c r="C4" s="16" t="s">
        <v>8</v>
      </c>
    </row>
    <row r="5" spans="1:12">
      <c r="A5" s="20"/>
      <c r="C5" s="20"/>
    </row>
    <row r="6" spans="1:12">
      <c r="A6" s="20"/>
      <c r="D6" s="21"/>
      <c r="E6" s="49" t="s">
        <v>60</v>
      </c>
      <c r="F6" s="49"/>
      <c r="G6" s="49"/>
      <c r="K6" s="46" t="s">
        <v>58</v>
      </c>
      <c r="L6" s="46"/>
    </row>
    <row r="7" spans="1:12" ht="20.25">
      <c r="A7" s="20"/>
      <c r="B7" s="27"/>
      <c r="D7" s="23"/>
      <c r="E7" s="19" t="s">
        <v>48</v>
      </c>
      <c r="F7" s="19" t="s">
        <v>49</v>
      </c>
      <c r="G7" s="19" t="s">
        <v>32</v>
      </c>
      <c r="H7" s="24"/>
      <c r="I7" s="24"/>
      <c r="K7" s="22"/>
      <c r="L7" s="20"/>
    </row>
    <row r="8" spans="1:12" ht="20.25" customHeight="1">
      <c r="B8" s="53"/>
      <c r="D8" s="22"/>
      <c r="E8" s="31">
        <f>COUNTIF(Tabla1789[Otorgar],"SI")</f>
        <v>1</v>
      </c>
      <c r="F8" s="31">
        <f>COUNTIF(Tabla1789[Otorgar],"NO")</f>
        <v>2</v>
      </c>
      <c r="G8" s="19">
        <f t="shared" ref="G8" si="0">(-1)*((E8/(E8+F8))*LOG((E8/(E8+F8)),2)+((F8/(E8+F8))*(LOG((F8/(E8+F8)),2))))</f>
        <v>0.91829583405448956</v>
      </c>
      <c r="H8" s="24"/>
      <c r="I8" s="24"/>
      <c r="K8" s="22" t="s">
        <v>50</v>
      </c>
      <c r="L8" s="20">
        <f>G8-I15</f>
        <v>0.91829583405448956</v>
      </c>
    </row>
    <row r="9" spans="1:12" ht="20.25" customHeight="1">
      <c r="B9" s="53"/>
      <c r="D9" s="20"/>
      <c r="E9" s="20"/>
      <c r="F9" s="20"/>
      <c r="G9" s="20"/>
      <c r="H9" s="24"/>
      <c r="I9" s="24"/>
      <c r="K9" s="22"/>
      <c r="L9" s="20"/>
    </row>
    <row r="10" spans="1:12">
      <c r="D10" s="20"/>
      <c r="E10" s="49" t="s">
        <v>50</v>
      </c>
      <c r="F10" s="49"/>
      <c r="G10" s="49"/>
      <c r="H10" s="49"/>
      <c r="I10" s="49"/>
      <c r="K10" s="22"/>
      <c r="L10" s="20"/>
    </row>
    <row r="11" spans="1:12">
      <c r="D11" s="20"/>
      <c r="E11" s="7"/>
      <c r="F11" s="18" t="s">
        <v>48</v>
      </c>
      <c r="G11" s="18" t="s">
        <v>49</v>
      </c>
      <c r="H11" s="18" t="s">
        <v>32</v>
      </c>
      <c r="I11" s="18" t="s">
        <v>66</v>
      </c>
    </row>
    <row r="12" spans="1:12">
      <c r="D12" s="20"/>
      <c r="E12" s="18" t="s">
        <v>62</v>
      </c>
      <c r="F12" s="7">
        <f>COUNTIFS(Tabla1789[[Edad ]],"Menor que 24 o mayor que 64",Tabla1789[Otorgar],"SI")</f>
        <v>0</v>
      </c>
      <c r="G12" s="7">
        <f>COUNTIFS(Tabla1789[[Edad ]],"Menor que 24 o mayor que 64",Tabla1789[Otorgar],"NO")</f>
        <v>1</v>
      </c>
      <c r="H12" s="7">
        <v>0</v>
      </c>
      <c r="I12" s="7">
        <f>((F12+G12)/3)*H12</f>
        <v>0</v>
      </c>
    </row>
    <row r="13" spans="1:12">
      <c r="D13" s="23"/>
      <c r="E13" s="18" t="s">
        <v>36</v>
      </c>
      <c r="F13" s="7">
        <f>COUNTIFS(Tabla1789[[Edad ]],"Entre 24 y 44",Tabla1789[Otorgar],"SI")</f>
        <v>1</v>
      </c>
      <c r="G13" s="7">
        <f>COUNTIFS(Tabla1789[[Edad ]],"Entre 24 y 44",Tabla1789[Otorgar],"NO")</f>
        <v>0</v>
      </c>
      <c r="H13" s="7">
        <v>0</v>
      </c>
      <c r="I13" s="7">
        <f>((F13+G13)/3)*H13</f>
        <v>0</v>
      </c>
    </row>
    <row r="14" spans="1:12">
      <c r="D14" s="20"/>
      <c r="E14" s="18" t="s">
        <v>37</v>
      </c>
      <c r="F14" s="7">
        <f>COUNTIFS(Tabla1789[[Edad ]],"Entre 45 y 64",Tabla1789[Otorgar],"SI")</f>
        <v>0</v>
      </c>
      <c r="G14" s="7">
        <f>COUNTIFS(Tabla1789[[Edad ]],"Entre 45 y 64",Tabla1789[Otorgar],"NO")</f>
        <v>1</v>
      </c>
      <c r="H14" s="7">
        <v>0</v>
      </c>
      <c r="I14" s="7">
        <f>((F14+G14)/3)*H14</f>
        <v>0</v>
      </c>
    </row>
    <row r="15" spans="1:12">
      <c r="D15" s="20"/>
      <c r="H15" s="9" t="s">
        <v>31</v>
      </c>
      <c r="I15">
        <f>SUM(I12:I14)</f>
        <v>0</v>
      </c>
    </row>
    <row r="16" spans="1:12">
      <c r="D16" s="20"/>
      <c r="E16" s="55"/>
      <c r="F16" s="55"/>
      <c r="G16" s="55"/>
      <c r="H16" s="55"/>
      <c r="I16" s="55"/>
      <c r="J16" s="24"/>
    </row>
    <row r="17" spans="4:10" ht="20.25">
      <c r="D17" s="38"/>
      <c r="E17" s="25"/>
      <c r="F17" s="26"/>
      <c r="G17" s="26"/>
      <c r="H17" s="26"/>
      <c r="I17" s="26"/>
      <c r="J17" s="24"/>
    </row>
    <row r="18" spans="4:10" ht="20.25">
      <c r="D18" s="38"/>
      <c r="E18" s="26"/>
      <c r="F18" s="25"/>
      <c r="G18" s="25"/>
      <c r="H18" s="25"/>
      <c r="I18" s="25"/>
      <c r="J18" s="24"/>
    </row>
    <row r="19" spans="4:10" ht="20.25">
      <c r="D19" s="38"/>
      <c r="E19" s="26"/>
      <c r="F19" s="25"/>
      <c r="G19" s="25"/>
      <c r="H19" s="25"/>
      <c r="I19" s="25"/>
      <c r="J19" s="24"/>
    </row>
    <row r="20" spans="4:10">
      <c r="D20" s="20"/>
      <c r="E20" s="26"/>
      <c r="F20" s="25"/>
      <c r="G20" s="25"/>
      <c r="H20" s="25"/>
      <c r="I20" s="25"/>
      <c r="J20" s="24"/>
    </row>
    <row r="21" spans="4:10">
      <c r="D21" s="20"/>
      <c r="E21" s="24"/>
      <c r="F21" s="24"/>
      <c r="G21" s="24"/>
      <c r="H21" s="33"/>
      <c r="I21" s="24"/>
      <c r="J21" s="24"/>
    </row>
    <row r="22" spans="4:10">
      <c r="D22" s="20"/>
      <c r="E22" s="37"/>
      <c r="F22" s="37"/>
      <c r="G22" s="37"/>
      <c r="H22" s="37"/>
      <c r="I22" s="37"/>
    </row>
    <row r="23" spans="4:10">
      <c r="E23" s="25"/>
      <c r="F23" s="26"/>
      <c r="G23" s="26"/>
      <c r="H23" s="26"/>
      <c r="I23" s="26"/>
    </row>
    <row r="24" spans="4:10">
      <c r="E24" s="26"/>
      <c r="F24" s="25"/>
      <c r="G24" s="25"/>
      <c r="H24" s="25"/>
      <c r="I24" s="25"/>
    </row>
    <row r="25" spans="4:10">
      <c r="E25" s="26"/>
      <c r="F25" s="25"/>
      <c r="G25" s="25"/>
      <c r="H25" s="25"/>
      <c r="I25" s="25"/>
    </row>
    <row r="26" spans="4:10">
      <c r="E26" s="24"/>
      <c r="F26" s="24"/>
      <c r="G26" s="24"/>
      <c r="H26" s="33"/>
      <c r="I26" s="24"/>
    </row>
    <row r="27" spans="4:10">
      <c r="E27" s="24"/>
      <c r="F27" s="24"/>
      <c r="G27" s="24"/>
      <c r="H27" s="24"/>
      <c r="I27" s="24"/>
    </row>
  </sheetData>
  <mergeCells count="5">
    <mergeCell ref="E6:G6"/>
    <mergeCell ref="K6:L6"/>
    <mergeCell ref="B8:B9"/>
    <mergeCell ref="E10:I10"/>
    <mergeCell ref="E16:I1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Hipotecas</vt:lpstr>
      <vt:lpstr>2DO - &gt; 8 - 28 </vt:lpstr>
      <vt:lpstr>2DO - &gt; 8 - 28  - edad24-44</vt:lpstr>
      <vt:lpstr>2DO - &gt;28</vt:lpstr>
      <vt:lpstr>2DO - &gt;28 - buroV</vt:lpstr>
      <vt:lpstr>2DO - &gt;28 - buroV - InfonavitNO</vt:lpstr>
      <vt:lpstr>2DO - &gt;28 - buroV - InfoNO - 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Jurado</cp:lastModifiedBy>
  <dcterms:modified xsi:type="dcterms:W3CDTF">2019-11-26T21:55:08Z</dcterms:modified>
</cp:coreProperties>
</file>