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A5A73A3A-78A4-FF42-A710-127D5A33FBC5}" xr6:coauthVersionLast="47" xr6:coauthVersionMax="47" xr10:uidLastSave="{00000000-0000-0000-0000-000000000000}"/>
  <bookViews>
    <workbookView xWindow="5900" yWindow="740" windowWidth="23500" windowHeight="18380" activeTab="1" xr2:uid="{443ECD19-7701-7346-B2F8-5276DA26F10F}"/>
  </bookViews>
  <sheets>
    <sheet name="Instrucciones" sheetId="1" r:id="rId1"/>
    <sheet name="Template" sheetId="3" r:id="rId2"/>
    <sheet name="ans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3" l="1"/>
  <c r="H4" i="3"/>
  <c r="C7" i="3"/>
  <c r="D4" i="3" l="1"/>
  <c r="G4" i="3"/>
  <c r="B14" i="3"/>
  <c r="F4" i="3"/>
  <c r="E4" i="3"/>
  <c r="C4" i="3"/>
  <c r="C3" i="3"/>
  <c r="D3" i="3"/>
  <c r="H3" i="3"/>
  <c r="G3" i="3"/>
  <c r="F3" i="3"/>
  <c r="E3" i="3"/>
  <c r="E8" i="3"/>
  <c r="I7" i="4"/>
  <c r="D10" i="4"/>
  <c r="H7" i="4"/>
  <c r="I12" i="4"/>
  <c r="H12" i="4"/>
  <c r="G12" i="4"/>
  <c r="E12" i="4"/>
  <c r="F11" i="4"/>
  <c r="F12" i="4" s="1"/>
  <c r="D12" i="4"/>
  <c r="G18" i="4" s="1"/>
  <c r="H8" i="4"/>
  <c r="H14" i="4" s="1"/>
  <c r="G8" i="4"/>
  <c r="G14" i="4" s="1"/>
  <c r="G7" i="4"/>
  <c r="F7" i="4"/>
  <c r="F8" i="4" s="1"/>
  <c r="E7" i="4"/>
  <c r="D7" i="4"/>
  <c r="D8" i="4" s="1"/>
  <c r="D14" i="4" s="1"/>
  <c r="D15" i="4" s="1"/>
  <c r="E15" i="4" s="1"/>
  <c r="I6" i="4"/>
  <c r="I8" i="4" s="1"/>
  <c r="I14" i="4" s="1"/>
  <c r="H6" i="4"/>
  <c r="G6" i="4"/>
  <c r="F6" i="4"/>
  <c r="E6" i="4"/>
  <c r="E8" i="4" s="1"/>
  <c r="E14" i="4" s="1"/>
  <c r="F14" i="4" l="1"/>
  <c r="F15" i="4" s="1"/>
  <c r="G15" i="4" s="1"/>
  <c r="H15" i="4" s="1"/>
  <c r="I15" i="4" s="1"/>
  <c r="C5" i="3"/>
  <c r="C9" i="3"/>
  <c r="H9" i="3"/>
  <c r="G9" i="3"/>
  <c r="F9" i="3"/>
  <c r="D9" i="3"/>
  <c r="E9" i="3"/>
  <c r="H5" i="3"/>
  <c r="D5" i="3" l="1"/>
  <c r="D11" i="3" s="1"/>
  <c r="H11" i="3"/>
  <c r="G5" i="3"/>
  <c r="G11" i="3" s="1"/>
  <c r="F5" i="3"/>
  <c r="F11" i="3" s="1"/>
  <c r="E5" i="3"/>
  <c r="E11" i="3" s="1"/>
  <c r="C11" i="3"/>
  <c r="C12" i="3" s="1"/>
  <c r="D12" i="3" l="1"/>
  <c r="E12" i="3" s="1"/>
  <c r="F12" i="3" s="1"/>
  <c r="G12" i="3" s="1"/>
  <c r="H12" i="3" s="1"/>
</calcChain>
</file>

<file path=xl/sharedStrings.xml><?xml version="1.0" encoding="utf-8"?>
<sst xmlns="http://schemas.openxmlformats.org/spreadsheetml/2006/main" count="79" uniqueCount="41">
  <si>
    <t>7d</t>
  </si>
  <si>
    <t>1m</t>
  </si>
  <si>
    <t>3m</t>
  </si>
  <si>
    <t>6m</t>
  </si>
  <si>
    <t>12m</t>
  </si>
  <si>
    <t>Inflows</t>
  </si>
  <si>
    <t>Outflows</t>
  </si>
  <si>
    <t>En efectivo depositado en el banco central se tenían 2956 millones de pesos y 8145 millones en títulos de deuda gubernamental disponibles para la venta</t>
  </si>
  <si>
    <t>1) De los $7,506 millones que esperabamos recibir, diferentes clientes que nos deben nos piden refinanciarlo a 30 días por un monto conjunto de 327 millones a tasa del 9.75%</t>
  </si>
  <si>
    <t>, otros clientes nos piden renovar lo que nos deben a 90 días por un monto combinado de 892 millones a tasa del 10.40%, y algunos clientes que en conjunto representan 148 millones</t>
  </si>
  <si>
    <t>unos piden renovarla a 30 días por 1045 millones tasa 4.5%, otros renovaron a 90 días tasa 4.75% por 819 millones, otros más por 291 millones renovaron a 180 días tasa 4.90%</t>
  </si>
  <si>
    <t>1d</t>
  </si>
  <si>
    <t>Gap de Liquidez</t>
  </si>
  <si>
    <t>Efectivo</t>
  </si>
  <si>
    <t>Valores liquidos</t>
  </si>
  <si>
    <t>Counterbalance</t>
  </si>
  <si>
    <t>Gap Neto</t>
  </si>
  <si>
    <t>Gap Neto Acumulado</t>
  </si>
  <si>
    <t>Nota: Tienes líneas de crédito con 5 bancos diferentes por mil millones de pesos cada uno, a tasa 5% al plazo que necesites menor a un año.</t>
  </si>
  <si>
    <t>4) Captamos varios depósitos a plazo, 259 millones a 30 días tasa 4.5%, 187 millones a 90 días tasa 4.75% y 53 millones a 180 días tasa 4.90%</t>
  </si>
  <si>
    <t>5) Bajamos recursos de la banca de desarrollo (bancomext, nafin) por 350 millones de pesos a plazo de 1 año, interés de 5% con capital e intereses a vencimiento.</t>
  </si>
  <si>
    <t>6) Emitimos un certificado bursátil a 5 años por 3 mil millones de pesos, cupón fijo semestral del 7.5%.</t>
  </si>
  <si>
    <t>3) De los $11,450 millones que esperábamos pagar, solo nos retiran 1295 millones, llegan depósitos a la vista nuevos por 537 millones, y varios clientes que vencía su inversión ese día,</t>
  </si>
  <si>
    <t>d) Identificar si en algún punto el gap neto acumulado es negativo, si así es, propón una alternativa viable para corregir la situación (10%)</t>
  </si>
  <si>
    <t>c) ¿Cuál es el Liquidity Coverage Ratio al final para el final del día? (10%)</t>
  </si>
  <si>
    <t>Varios clientes nos prepagan: 35 millones que se esparaban en 3 meses, 50 millones que se esperaban en 6 meses y 67 millones que se esperaban en 1 año.</t>
  </si>
  <si>
    <t>de pesos, no nos pagan porque se declaran en quiebra. El resto de los Inflows a un día nos los pagan en efectivo</t>
  </si>
  <si>
    <t>2) de los 3,833 millones que estaban en el bucket de 1 semana, 762 millones deben entrar mañana.</t>
  </si>
  <si>
    <t>Y de los 9877 millones que estaban en el bucket de 1 semana, 2389 millones debemos pagarlos mañana.</t>
  </si>
  <si>
    <t>BUCKETS</t>
  </si>
  <si>
    <t>Cifras en MDP</t>
  </si>
  <si>
    <t>a) Elaborar el reporte de brechas de liquidez (gaps de liquidez) para mañana 27-mar-2025 (20%)</t>
  </si>
  <si>
    <t>Considerar que durante el 26 de marzo de 2025 tuviste las siguientes operaciones</t>
  </si>
  <si>
    <t>Nota: Tienes líneas de crédito con 5 bancos diferentes por mil millones de pesos cada uno, a tasa 5% al plazo que necesites menor igual a un año.</t>
  </si>
  <si>
    <t>Respuesta Final considerando un crédito en el año 1 de 1,000 millones a tasa 5%</t>
  </si>
  <si>
    <t>Esta es la estimación de entradas y salidas de flujos para el 26-mar-2025 (elaborado al final del día martes 25-mar-2025)</t>
  </si>
  <si>
    <t>Esos 8,145 millones podrías convertirlos a efectivo en aproximadamente: 2500 mdp en 1 semana, y lo demás en 1 mes para no mover demasiado los precios, ni llamar la atención</t>
  </si>
  <si>
    <t>b) Reflejar correctamente los 6 incisos en el cash y la tabla de brechas de liquidez (60%: 10% cada inciso)</t>
  </si>
  <si>
    <t>Cupón</t>
  </si>
  <si>
    <t>LCR</t>
  </si>
  <si>
    <t>Financiar 1000 a un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</si>
</sst>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00_-;\-* #,##0.0000_-;_-* &quot;-&quot;??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u/>
      <sz val="11"/>
      <color rgb="FF002060"/>
      <name val="Calibri (Cuerpo)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0" applyNumberFormat="1" applyBorder="1"/>
    <xf numFmtId="0" fontId="2" fillId="0" borderId="0" xfId="0" applyFont="1"/>
    <xf numFmtId="0" fontId="4" fillId="0" borderId="1" xfId="0" applyFont="1" applyBorder="1"/>
    <xf numFmtId="44" fontId="4" fillId="0" borderId="1" xfId="0" applyNumberFormat="1" applyFont="1" applyBorder="1"/>
    <xf numFmtId="0" fontId="3" fillId="2" borderId="1" xfId="0" applyFont="1" applyFill="1" applyBorder="1"/>
    <xf numFmtId="44" fontId="3" fillId="2" borderId="1" xfId="0" applyNumberFormat="1" applyFont="1" applyFill="1" applyBorder="1"/>
    <xf numFmtId="44" fontId="3" fillId="2" borderId="1" xfId="1" applyFont="1" applyFill="1" applyBorder="1"/>
    <xf numFmtId="0" fontId="2" fillId="2" borderId="1" xfId="0" applyFont="1" applyFill="1" applyBorder="1"/>
    <xf numFmtId="164" fontId="9" fillId="0" borderId="0" xfId="2" applyNumberFormat="1" applyFont="1"/>
    <xf numFmtId="44" fontId="11" fillId="2" borderId="1" xfId="0" applyNumberFormat="1" applyFont="1" applyFill="1" applyBorder="1"/>
    <xf numFmtId="0" fontId="10" fillId="0" borderId="0" xfId="0" applyFont="1"/>
    <xf numFmtId="44" fontId="10" fillId="0" borderId="1" xfId="0" applyNumberFormat="1" applyFont="1" applyBorder="1"/>
    <xf numFmtId="0" fontId="10" fillId="0" borderId="1" xfId="0" applyFont="1" applyBorder="1"/>
    <xf numFmtId="44" fontId="11" fillId="2" borderId="1" xfId="1" applyFont="1" applyFill="1" applyBorder="1"/>
    <xf numFmtId="44" fontId="12" fillId="0" borderId="1" xfId="0" applyNumberFormat="1" applyFont="1" applyBorder="1"/>
    <xf numFmtId="0" fontId="0" fillId="4" borderId="0" xfId="0" applyFill="1"/>
    <xf numFmtId="0" fontId="0" fillId="3" borderId="2" xfId="0" applyFill="1" applyBorder="1" applyAlignment="1">
      <alignment horizont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7322-EF6A-304F-8412-1D58385FFB12}">
  <dimension ref="A2:L37"/>
  <sheetViews>
    <sheetView topLeftCell="A12" zoomScale="130" zoomScaleNormal="130" workbookViewId="0">
      <selection activeCell="A35" sqref="A35:A37"/>
    </sheetView>
  </sheetViews>
  <sheetFormatPr baseColWidth="10" defaultRowHeight="16" x14ac:dyDescent="0.2"/>
  <cols>
    <col min="3" max="3" width="11.83203125" bestFit="1" customWidth="1"/>
    <col min="6" max="6" width="12.1640625" customWidth="1"/>
    <col min="7" max="7" width="12.5" customWidth="1"/>
    <col min="8" max="8" width="12.83203125" customWidth="1"/>
  </cols>
  <sheetData>
    <row r="2" spans="1:12" x14ac:dyDescent="0.2">
      <c r="C2" s="1" t="s">
        <v>11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L2" s="3"/>
    </row>
    <row r="3" spans="1:12" x14ac:dyDescent="0.2">
      <c r="B3" t="s">
        <v>5</v>
      </c>
      <c r="C3" s="4">
        <v>7506.626400000001</v>
      </c>
      <c r="D3" s="4">
        <v>3833.6328000000008</v>
      </c>
      <c r="E3" s="4">
        <v>7761.0528000000004</v>
      </c>
      <c r="F3" s="4">
        <v>10533.4992</v>
      </c>
      <c r="G3" s="4">
        <v>9974.1024000000016</v>
      </c>
      <c r="H3" s="4">
        <v>15201.388800000002</v>
      </c>
    </row>
    <row r="4" spans="1:12" x14ac:dyDescent="0.2">
      <c r="B4" t="s">
        <v>6</v>
      </c>
      <c r="C4" s="4">
        <v>11450.650000000001</v>
      </c>
      <c r="D4" s="4">
        <v>9877.4879999999994</v>
      </c>
      <c r="E4" s="4">
        <v>8719.4010000000017</v>
      </c>
      <c r="F4" s="4">
        <v>11620.303</v>
      </c>
      <c r="G4" s="4">
        <v>12320.591999999999</v>
      </c>
      <c r="H4" s="4">
        <v>9447.9390000000003</v>
      </c>
    </row>
    <row r="5" spans="1:12" x14ac:dyDescent="0.2">
      <c r="C5" s="3"/>
      <c r="D5" s="3"/>
      <c r="E5" s="3"/>
      <c r="F5" s="3"/>
      <c r="G5" s="3"/>
      <c r="H5" s="3"/>
    </row>
    <row r="7" spans="1:12" x14ac:dyDescent="0.2">
      <c r="A7" s="7" t="s">
        <v>35</v>
      </c>
    </row>
    <row r="8" spans="1:12" x14ac:dyDescent="0.2">
      <c r="A8" t="s">
        <v>7</v>
      </c>
    </row>
    <row r="9" spans="1:12" x14ac:dyDescent="0.2">
      <c r="A9" t="s">
        <v>36</v>
      </c>
    </row>
    <row r="10" spans="1:12" x14ac:dyDescent="0.2">
      <c r="A10" s="13" t="s">
        <v>33</v>
      </c>
    </row>
    <row r="12" spans="1:12" x14ac:dyDescent="0.2">
      <c r="A12" s="8" t="s">
        <v>31</v>
      </c>
    </row>
    <row r="14" spans="1:12" x14ac:dyDescent="0.2">
      <c r="A14" s="5" t="s">
        <v>32</v>
      </c>
    </row>
    <row r="16" spans="1:12" x14ac:dyDescent="0.2">
      <c r="A16" t="s">
        <v>8</v>
      </c>
    </row>
    <row r="17" spans="1:12" x14ac:dyDescent="0.2">
      <c r="A17" t="s">
        <v>9</v>
      </c>
    </row>
    <row r="18" spans="1:12" x14ac:dyDescent="0.2">
      <c r="A18" t="s">
        <v>26</v>
      </c>
    </row>
    <row r="19" spans="1:12" x14ac:dyDescent="0.2">
      <c r="A19" t="s">
        <v>25</v>
      </c>
    </row>
    <row r="21" spans="1:12" x14ac:dyDescent="0.2">
      <c r="A21" t="s">
        <v>27</v>
      </c>
    </row>
    <row r="23" spans="1:12" x14ac:dyDescent="0.2">
      <c r="A23" t="s">
        <v>22</v>
      </c>
    </row>
    <row r="24" spans="1:12" x14ac:dyDescent="0.2">
      <c r="A24" t="s">
        <v>10</v>
      </c>
    </row>
    <row r="25" spans="1:12" x14ac:dyDescent="0.2">
      <c r="A25" t="s">
        <v>28</v>
      </c>
    </row>
    <row r="27" spans="1:12" x14ac:dyDescent="0.2">
      <c r="A27" t="s">
        <v>19</v>
      </c>
    </row>
    <row r="29" spans="1:12" x14ac:dyDescent="0.2">
      <c r="A29" t="s">
        <v>20</v>
      </c>
      <c r="L29" s="6"/>
    </row>
    <row r="31" spans="1:12" x14ac:dyDescent="0.2">
      <c r="A31" t="s">
        <v>21</v>
      </c>
      <c r="G31" s="6"/>
      <c r="H31" s="6"/>
    </row>
    <row r="33" spans="1:1" x14ac:dyDescent="0.2">
      <c r="A33" s="8" t="s">
        <v>37</v>
      </c>
    </row>
    <row r="35" spans="1:1" x14ac:dyDescent="0.2">
      <c r="A35" s="8" t="s">
        <v>24</v>
      </c>
    </row>
    <row r="37" spans="1:1" x14ac:dyDescent="0.2">
      <c r="A37" s="8" t="s">
        <v>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323D-7C02-B044-85EF-1A87336943D8}">
  <dimension ref="A2:H38"/>
  <sheetViews>
    <sheetView tabSelected="1" topLeftCell="A5" zoomScale="130" zoomScaleNormal="130" workbookViewId="0">
      <selection activeCell="C35" sqref="C35"/>
    </sheetView>
  </sheetViews>
  <sheetFormatPr baseColWidth="10" defaultRowHeight="16" x14ac:dyDescent="0.2"/>
  <cols>
    <col min="1" max="1" width="6.1640625" customWidth="1"/>
    <col min="2" max="2" width="17.83203125" customWidth="1"/>
    <col min="3" max="8" width="13.83203125" customWidth="1"/>
  </cols>
  <sheetData>
    <row r="2" spans="1:8" x14ac:dyDescent="0.2">
      <c r="B2" s="9" t="s">
        <v>30</v>
      </c>
      <c r="C2" s="10" t="s">
        <v>11</v>
      </c>
      <c r="D2" s="10" t="s">
        <v>0</v>
      </c>
      <c r="E2" s="10" t="s">
        <v>1</v>
      </c>
      <c r="F2" s="10" t="s">
        <v>2</v>
      </c>
      <c r="G2" s="10" t="s">
        <v>3</v>
      </c>
      <c r="H2" s="10" t="s">
        <v>4</v>
      </c>
    </row>
    <row r="3" spans="1:8" x14ac:dyDescent="0.2">
      <c r="B3" s="9" t="s">
        <v>5</v>
      </c>
      <c r="C3" s="11">
        <f>7506.6264-327-892-148-6139.63+762</f>
        <v>761.99639999999999</v>
      </c>
      <c r="D3" s="11">
        <f>3833.6328-762</f>
        <v>3071.6327999999999</v>
      </c>
      <c r="E3" s="11">
        <f>7761.0528+327*(1+0.0975/12)</f>
        <v>8090.7096750000001</v>
      </c>
      <c r="F3" s="11">
        <f>10533.4992+892*(1+0.104/12*3)-35</f>
        <v>11413.691200000001</v>
      </c>
      <c r="G3" s="11">
        <f>9974.1024-50</f>
        <v>9924.1023999999998</v>
      </c>
      <c r="H3" s="11">
        <f>15201.3888-67</f>
        <v>15134.388800000001</v>
      </c>
    </row>
    <row r="4" spans="1:8" x14ac:dyDescent="0.2">
      <c r="B4" s="9" t="s">
        <v>6</v>
      </c>
      <c r="C4" s="11">
        <f>11450.65-1295+537-1045-819-291+2389</f>
        <v>10926.65</v>
      </c>
      <c r="D4" s="11">
        <f>9877.4882389-2389</f>
        <v>7488.4882388999995</v>
      </c>
      <c r="E4" s="11">
        <f>8719.401+1045*(1+0.045/12)+259*(1+0.045/12)</f>
        <v>10028.290999999999</v>
      </c>
      <c r="F4" s="11">
        <f>11620.303+819*(1+0.0475/12*3)+187*(1+0.0475/12*3)</f>
        <v>12638.249249999999</v>
      </c>
      <c r="G4" s="11">
        <f>12320.592+291*(1+0.049/12*6)+53*(1+0.049/12*6)+3000*0.075/12*6</f>
        <v>12785.52</v>
      </c>
      <c r="H4" s="11">
        <f>9447.939+350*(1+0.05)+3000*0.075/12*6</f>
        <v>9927.9390000000003</v>
      </c>
    </row>
    <row r="5" spans="1:8" x14ac:dyDescent="0.2">
      <c r="B5" s="19" t="s">
        <v>12</v>
      </c>
      <c r="C5" s="21">
        <f>C3-C4</f>
        <v>-10164.6536</v>
      </c>
      <c r="D5" s="21">
        <f t="shared" ref="D5:H5" si="0">D3-D4</f>
        <v>-4416.8554389000001</v>
      </c>
      <c r="E5" s="21">
        <f t="shared" si="0"/>
        <v>-1937.5813249999992</v>
      </c>
      <c r="F5" s="21">
        <f t="shared" si="0"/>
        <v>-1224.5580499999978</v>
      </c>
      <c r="G5" s="21">
        <f t="shared" si="0"/>
        <v>-2861.4176000000007</v>
      </c>
      <c r="H5" s="21">
        <f t="shared" si="0"/>
        <v>5206.4498000000003</v>
      </c>
    </row>
    <row r="6" spans="1:8" x14ac:dyDescent="0.2">
      <c r="C6" s="22"/>
      <c r="D6" s="22"/>
      <c r="E6" s="22"/>
      <c r="F6" s="22"/>
      <c r="G6" s="22"/>
      <c r="H6" s="22"/>
    </row>
    <row r="7" spans="1:8" x14ac:dyDescent="0.2">
      <c r="B7" s="9" t="s">
        <v>13</v>
      </c>
      <c r="C7" s="23">
        <f>2956+6139.63+35+50+67-1295+537+259+187+53+350+3000</f>
        <v>12338.630000000001</v>
      </c>
      <c r="D7" s="24"/>
      <c r="E7" s="24"/>
      <c r="F7" s="24"/>
      <c r="G7" s="24"/>
      <c r="H7" s="24"/>
    </row>
    <row r="8" spans="1:8" x14ac:dyDescent="0.2">
      <c r="B8" s="9" t="s">
        <v>14</v>
      </c>
      <c r="C8" s="24"/>
      <c r="D8" s="23">
        <v>2500</v>
      </c>
      <c r="E8" s="23">
        <f>8145-D8</f>
        <v>5645</v>
      </c>
      <c r="F8" s="24"/>
      <c r="G8" s="24"/>
      <c r="H8" s="24"/>
    </row>
    <row r="9" spans="1:8" x14ac:dyDescent="0.2">
      <c r="B9" s="16" t="s">
        <v>15</v>
      </c>
      <c r="C9" s="25">
        <f>C7+C8</f>
        <v>12338.630000000001</v>
      </c>
      <c r="D9" s="25">
        <f t="shared" ref="D9:H9" si="1">D7+D8</f>
        <v>2500</v>
      </c>
      <c r="E9" s="25">
        <f t="shared" si="1"/>
        <v>5645</v>
      </c>
      <c r="F9" s="25">
        <f t="shared" si="1"/>
        <v>0</v>
      </c>
      <c r="G9" s="25">
        <f t="shared" si="1"/>
        <v>0</v>
      </c>
      <c r="H9" s="25">
        <f t="shared" si="1"/>
        <v>0</v>
      </c>
    </row>
    <row r="10" spans="1:8" x14ac:dyDescent="0.2">
      <c r="C10" s="22"/>
      <c r="D10" s="22"/>
      <c r="E10" s="22"/>
      <c r="F10" s="22"/>
      <c r="G10" s="22"/>
      <c r="H10" s="22"/>
    </row>
    <row r="11" spans="1:8" x14ac:dyDescent="0.2">
      <c r="B11" s="14" t="s">
        <v>16</v>
      </c>
      <c r="C11" s="26">
        <f>C5+C9</f>
        <v>2173.9764000000014</v>
      </c>
      <c r="D11" s="26">
        <f>D5+D9</f>
        <v>-1916.8554389000001</v>
      </c>
      <c r="E11" s="26">
        <f t="shared" ref="E11:H11" si="2">E5+E9</f>
        <v>3707.4186750000008</v>
      </c>
      <c r="F11" s="26">
        <f t="shared" si="2"/>
        <v>-1224.5580499999978</v>
      </c>
      <c r="G11" s="26">
        <f t="shared" si="2"/>
        <v>-2861.4176000000007</v>
      </c>
      <c r="H11" s="26">
        <f t="shared" si="2"/>
        <v>5206.4498000000003</v>
      </c>
    </row>
    <row r="12" spans="1:8" x14ac:dyDescent="0.2">
      <c r="B12" s="16" t="s">
        <v>17</v>
      </c>
      <c r="C12" s="21">
        <f>C11</f>
        <v>2173.9764000000014</v>
      </c>
      <c r="D12" s="21">
        <f>C12+D11</f>
        <v>257.1209611000013</v>
      </c>
      <c r="E12" s="21">
        <f t="shared" ref="E12:H12" si="3">D12+E11</f>
        <v>3964.5396361000021</v>
      </c>
      <c r="F12" s="21">
        <f t="shared" si="3"/>
        <v>2739.9815861000043</v>
      </c>
      <c r="G12" s="21">
        <f t="shared" si="3"/>
        <v>-121.4360138999964</v>
      </c>
      <c r="H12" s="21">
        <f t="shared" si="3"/>
        <v>5085.0137861000039</v>
      </c>
    </row>
    <row r="14" spans="1:8" x14ac:dyDescent="0.2">
      <c r="A14" t="s">
        <v>38</v>
      </c>
      <c r="B14">
        <f>3000*0.075/12*6</f>
        <v>112.5</v>
      </c>
    </row>
    <row r="16" spans="1:8" x14ac:dyDescent="0.2">
      <c r="A16" s="27" t="s">
        <v>8</v>
      </c>
    </row>
    <row r="17" spans="1:1" x14ac:dyDescent="0.2">
      <c r="A17" s="27" t="s">
        <v>9</v>
      </c>
    </row>
    <row r="18" spans="1:1" x14ac:dyDescent="0.2">
      <c r="A18" s="27" t="s">
        <v>26</v>
      </c>
    </row>
    <row r="19" spans="1:1" x14ac:dyDescent="0.2">
      <c r="A19" s="27" t="s">
        <v>25</v>
      </c>
    </row>
    <row r="21" spans="1:1" x14ac:dyDescent="0.2">
      <c r="A21" s="27" t="s">
        <v>27</v>
      </c>
    </row>
    <row r="23" spans="1:1" x14ac:dyDescent="0.2">
      <c r="A23" s="27" t="s">
        <v>22</v>
      </c>
    </row>
    <row r="24" spans="1:1" x14ac:dyDescent="0.2">
      <c r="A24" s="27" t="s">
        <v>10</v>
      </c>
    </row>
    <row r="25" spans="1:1" x14ac:dyDescent="0.2">
      <c r="A25" s="27" t="s">
        <v>28</v>
      </c>
    </row>
    <row r="27" spans="1:1" x14ac:dyDescent="0.2">
      <c r="A27" s="27" t="s">
        <v>19</v>
      </c>
    </row>
    <row r="29" spans="1:1" x14ac:dyDescent="0.2">
      <c r="A29" s="27" t="s">
        <v>20</v>
      </c>
    </row>
    <row r="31" spans="1:1" x14ac:dyDescent="0.2">
      <c r="A31" s="27" t="s">
        <v>21</v>
      </c>
    </row>
    <row r="33" spans="1:3" x14ac:dyDescent="0.2">
      <c r="A33" s="8" t="s">
        <v>24</v>
      </c>
    </row>
    <row r="34" spans="1:3" x14ac:dyDescent="0.2">
      <c r="A34" s="8"/>
      <c r="B34" t="s">
        <v>39</v>
      </c>
      <c r="C34">
        <f>SUM(C9:E9)/SUM(C4:E4)</f>
        <v>0.72015332004996213</v>
      </c>
    </row>
    <row r="35" spans="1:3" x14ac:dyDescent="0.2">
      <c r="A35" s="8"/>
    </row>
    <row r="36" spans="1:3" x14ac:dyDescent="0.2">
      <c r="A36" s="8" t="s">
        <v>23</v>
      </c>
    </row>
    <row r="38" spans="1:3" x14ac:dyDescent="0.2">
      <c r="B38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D6EC5-2C9C-E041-ADAF-836905A25E08}">
  <dimension ref="C4:N29"/>
  <sheetViews>
    <sheetView zoomScale="131" workbookViewId="0"/>
  </sheetViews>
  <sheetFormatPr baseColWidth="10" defaultRowHeight="16" x14ac:dyDescent="0.2"/>
  <cols>
    <col min="3" max="3" width="17.83203125" customWidth="1"/>
    <col min="4" max="9" width="13.83203125" customWidth="1"/>
  </cols>
  <sheetData>
    <row r="4" spans="3:9" x14ac:dyDescent="0.2">
      <c r="D4" s="28" t="s">
        <v>29</v>
      </c>
      <c r="E4" s="28"/>
      <c r="F4" s="28"/>
      <c r="G4" s="28"/>
      <c r="H4" s="28"/>
      <c r="I4" s="28"/>
    </row>
    <row r="5" spans="3:9" x14ac:dyDescent="0.2">
      <c r="C5" s="9" t="s">
        <v>30</v>
      </c>
      <c r="D5" s="10" t="s">
        <v>11</v>
      </c>
      <c r="E5" s="10" t="s">
        <v>0</v>
      </c>
      <c r="F5" s="10" t="s">
        <v>1</v>
      </c>
      <c r="G5" s="10" t="s">
        <v>2</v>
      </c>
      <c r="H5" s="10" t="s">
        <v>3</v>
      </c>
      <c r="I5" s="10" t="s">
        <v>4</v>
      </c>
    </row>
    <row r="6" spans="3:9" x14ac:dyDescent="0.2">
      <c r="C6" s="9" t="s">
        <v>5</v>
      </c>
      <c r="D6" s="11">
        <v>762</v>
      </c>
      <c r="E6" s="11">
        <f>3833.6328-762</f>
        <v>3071.6327999999999</v>
      </c>
      <c r="F6" s="11">
        <f>7761.0528+327*(1+0.0975/12*1)</f>
        <v>8090.7096750000001</v>
      </c>
      <c r="G6" s="11">
        <f>10533.4992+892*(1+0.104/12*3)-35</f>
        <v>11413.691200000001</v>
      </c>
      <c r="H6" s="11">
        <f>9974.1024-50</f>
        <v>9924.1023999999998</v>
      </c>
      <c r="I6" s="11">
        <f>15201.3888-67</f>
        <v>15134.388800000001</v>
      </c>
    </row>
    <row r="7" spans="3:9" x14ac:dyDescent="0.2">
      <c r="C7" s="9" t="s">
        <v>6</v>
      </c>
      <c r="D7" s="11">
        <f>11450.65-1295+537-1045-819-291+2389</f>
        <v>10926.65</v>
      </c>
      <c r="E7" s="11">
        <f>9877.488-2389</f>
        <v>7488.4879999999994</v>
      </c>
      <c r="F7" s="11">
        <f>8719.401+1045*(1+0.045/12)+259*(1+0.045/12)</f>
        <v>10028.290999999999</v>
      </c>
      <c r="G7" s="11">
        <f>11620.303+819*(1+0.0475/12*3)+187*(1+0.0475/12*3)</f>
        <v>12638.249249999999</v>
      </c>
      <c r="H7" s="11">
        <f>12320.592+291*(1+0.049/12*6)+53*(1+0.049/12*6)+3000*(0.075/12*6)</f>
        <v>12785.52</v>
      </c>
      <c r="I7" s="11">
        <f>9447.939+350*(1+0.05)+3000*(0.075/12*6)+1000*(1+0.05)</f>
        <v>10977.939</v>
      </c>
    </row>
    <row r="8" spans="3:9" x14ac:dyDescent="0.2">
      <c r="C8" s="19" t="s">
        <v>12</v>
      </c>
      <c r="D8" s="17">
        <f>D6-D7</f>
        <v>-10164.65</v>
      </c>
      <c r="E8" s="17">
        <f t="shared" ref="E8:I8" si="0">E6-E7</f>
        <v>-4416.8552</v>
      </c>
      <c r="F8" s="17">
        <f t="shared" si="0"/>
        <v>-1937.5813249999992</v>
      </c>
      <c r="G8" s="17">
        <f t="shared" si="0"/>
        <v>-1224.5580499999978</v>
      </c>
      <c r="H8" s="17">
        <f t="shared" si="0"/>
        <v>-2861.4176000000007</v>
      </c>
      <c r="I8" s="17">
        <f t="shared" si="0"/>
        <v>4156.4498000000003</v>
      </c>
    </row>
    <row r="10" spans="3:9" x14ac:dyDescent="0.2">
      <c r="C10" s="9" t="s">
        <v>13</v>
      </c>
      <c r="D10" s="12">
        <f>2956+6139.63+35+50+67-1295+537+259+187+53+350+3000+1000</f>
        <v>13338.630000000001</v>
      </c>
      <c r="E10" s="9"/>
      <c r="F10" s="9"/>
      <c r="G10" s="9"/>
      <c r="H10" s="9"/>
      <c r="I10" s="9"/>
    </row>
    <row r="11" spans="3:9" x14ac:dyDescent="0.2">
      <c r="C11" s="9" t="s">
        <v>14</v>
      </c>
      <c r="D11" s="9"/>
      <c r="E11" s="12">
        <v>2500</v>
      </c>
      <c r="F11" s="12">
        <f>8145-E11</f>
        <v>5645</v>
      </c>
      <c r="G11" s="9"/>
      <c r="H11" s="9"/>
      <c r="I11" s="9"/>
    </row>
    <row r="12" spans="3:9" x14ac:dyDescent="0.2">
      <c r="C12" s="16" t="s">
        <v>15</v>
      </c>
      <c r="D12" s="18">
        <f>D10+D11</f>
        <v>13338.630000000001</v>
      </c>
      <c r="E12" s="18">
        <f t="shared" ref="E12:I12" si="1">E10+E11</f>
        <v>2500</v>
      </c>
      <c r="F12" s="18">
        <f t="shared" si="1"/>
        <v>5645</v>
      </c>
      <c r="G12" s="18">
        <f t="shared" si="1"/>
        <v>0</v>
      </c>
      <c r="H12" s="18">
        <f t="shared" si="1"/>
        <v>0</v>
      </c>
      <c r="I12" s="18">
        <f t="shared" si="1"/>
        <v>0</v>
      </c>
    </row>
    <row r="14" spans="3:9" x14ac:dyDescent="0.2">
      <c r="C14" s="14" t="s">
        <v>16</v>
      </c>
      <c r="D14" s="15">
        <f>D8+D12</f>
        <v>3173.9800000000014</v>
      </c>
      <c r="E14" s="15">
        <f>E8+E12</f>
        <v>-1916.8552</v>
      </c>
      <c r="F14" s="15">
        <f t="shared" ref="F14:I14" si="2">F8+F12</f>
        <v>3707.4186750000008</v>
      </c>
      <c r="G14" s="15">
        <f t="shared" si="2"/>
        <v>-1224.5580499999978</v>
      </c>
      <c r="H14" s="15">
        <f t="shared" si="2"/>
        <v>-2861.4176000000007</v>
      </c>
      <c r="I14" s="15">
        <f t="shared" si="2"/>
        <v>4156.4498000000003</v>
      </c>
    </row>
    <row r="15" spans="3:9" x14ac:dyDescent="0.2">
      <c r="C15" s="16" t="s">
        <v>17</v>
      </c>
      <c r="D15" s="17">
        <f>D14</f>
        <v>3173.9800000000014</v>
      </c>
      <c r="E15" s="17">
        <f>D15+E14</f>
        <v>1257.1248000000014</v>
      </c>
      <c r="F15" s="17">
        <f t="shared" ref="F15:I15" si="3">E15+F14</f>
        <v>4964.5434750000022</v>
      </c>
      <c r="G15" s="17">
        <f t="shared" si="3"/>
        <v>3739.9854250000044</v>
      </c>
      <c r="H15" s="17">
        <f t="shared" si="3"/>
        <v>878.56782500000372</v>
      </c>
      <c r="I15" s="17">
        <f t="shared" si="3"/>
        <v>5035.017625000004</v>
      </c>
    </row>
    <row r="18" spans="3:14" x14ac:dyDescent="0.2">
      <c r="C18" s="8" t="s">
        <v>24</v>
      </c>
      <c r="G18" s="20">
        <f>SUM(D12:F12)/SUM(D7:F7)</f>
        <v>0.75531083119408715</v>
      </c>
    </row>
    <row r="20" spans="3:14" x14ac:dyDescent="0.2">
      <c r="C20" s="8" t="s">
        <v>23</v>
      </c>
    </row>
    <row r="21" spans="3:14" x14ac:dyDescent="0.2">
      <c r="C21" s="13" t="s">
        <v>18</v>
      </c>
    </row>
    <row r="22" spans="3:14" x14ac:dyDescent="0.2">
      <c r="C22" t="s">
        <v>34</v>
      </c>
    </row>
    <row r="27" spans="3:14" x14ac:dyDescent="0.2">
      <c r="N27" s="6"/>
    </row>
    <row r="29" spans="3:14" x14ac:dyDescent="0.2">
      <c r="I29" s="6"/>
      <c r="J29" s="6"/>
    </row>
  </sheetData>
  <mergeCells count="1">
    <mergeCell ref="D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Instrucciones</vt:lpstr>
      <vt:lpstr>Template</vt:lpstr>
      <vt:lpstr>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2022-12-14T00:39:41Z</dcterms:created>
  <dcterms:modified xsi:type="dcterms:W3CDTF">2025-04-02T18:12:35Z</dcterms:modified>
</cp:coreProperties>
</file>