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5-ITESO/Métodos de Optimización de Ingeniería Financiera/"/>
    </mc:Choice>
  </mc:AlternateContent>
  <xr:revisionPtr revIDLastSave="0" documentId="13_ncr:1_{10A8849E-5997-8441-BB11-6B0FC7619535}" xr6:coauthVersionLast="47" xr6:coauthVersionMax="47" xr10:uidLastSave="{00000000-0000-0000-0000-000000000000}"/>
  <bookViews>
    <workbookView xWindow="0" yWindow="740" windowWidth="29400" windowHeight="18380" activeTab="6" xr2:uid="{A5CC294B-1FB3-984E-8C8A-4319B44E1CBA}"/>
  </bookViews>
  <sheets>
    <sheet name="Hoja1" sheetId="1" r:id="rId1"/>
    <sheet name="Metas" sheetId="2" r:id="rId2"/>
    <sheet name="Minimax" sheetId="3" r:id="rId3"/>
    <sheet name="Minimax profe" sheetId="4" r:id="rId4"/>
    <sheet name="Matriz completa" sheetId="5" r:id="rId5"/>
    <sheet name="Publicidad" sheetId="6" r:id="rId6"/>
    <sheet name="Publicidad minimax" sheetId="8" r:id="rId7"/>
    <sheet name="Bonos Original" sheetId="9" r:id="rId8"/>
    <sheet name="Bonos con Metas" sheetId="10" r:id="rId9"/>
  </sheets>
  <definedNames>
    <definedName name="solver_adj" localSheetId="8" hidden="1">'Bonos con Metas'!$C$3:$E$3</definedName>
    <definedName name="solver_adj" localSheetId="7" hidden="1">'Bonos Original'!$B$13:$C$13</definedName>
    <definedName name="solver_adj" localSheetId="0" hidden="1">Hoja1!$C$17:$D$17</definedName>
    <definedName name="solver_adj" localSheetId="4" hidden="1">'Matriz completa'!$C$4:$D$4,'Matriz completa'!$H$4</definedName>
    <definedName name="solver_adj" localSheetId="1" hidden="1">Metas!$D$12:$K$12</definedName>
    <definedName name="solver_adj" localSheetId="2" hidden="1">Minimax!$C$9:$E$9</definedName>
    <definedName name="solver_adj" localSheetId="3" hidden="1">'Minimax profe'!$C$4:$D$4,'Minimax profe'!$H$4</definedName>
    <definedName name="solver_adj" localSheetId="6" hidden="1">'Publicidad minimax'!$C$14:$K$14</definedName>
    <definedName name="solver_cvg" localSheetId="8" hidden="1">0.0001</definedName>
    <definedName name="solver_cvg" localSheetId="7" hidden="1">0.0001</definedName>
    <definedName name="solver_cvg" localSheetId="0" hidden="1">0.0001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drv" localSheetId="8" hidden="1">1</definedName>
    <definedName name="solver_drv" localSheetId="7" hidden="1">1</definedName>
    <definedName name="solver_drv" localSheetId="0" hidden="1">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eng" localSheetId="8" hidden="1">2</definedName>
    <definedName name="solver_eng" localSheetId="7" hidden="1">2</definedName>
    <definedName name="solver_eng" localSheetId="0" hidden="1">2</definedName>
    <definedName name="solver_eng" localSheetId="4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1</definedName>
    <definedName name="solver_eng" localSheetId="6" hidden="1">2</definedName>
    <definedName name="solver_itr" localSheetId="8" hidden="1">2147483647</definedName>
    <definedName name="solver_itr" localSheetId="7" hidden="1">2147483647</definedName>
    <definedName name="solver_itr" localSheetId="0" hidden="1">2147483647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lhs1" localSheetId="8" hidden="1">'Bonos con Metas'!$I$6:$I$12</definedName>
    <definedName name="solver_lhs1" localSheetId="7" hidden="1">'Bonos Original'!$D$8:$D$10</definedName>
    <definedName name="solver_lhs1" localSheetId="0" hidden="1">Hoja1!$C$17:$D$17</definedName>
    <definedName name="solver_lhs1" localSheetId="4" hidden="1">'Matriz completa'!$I$7:$I$16</definedName>
    <definedName name="solver_lhs1" localSheetId="1" hidden="1">Metas!$D$12:$E$12</definedName>
    <definedName name="solver_lhs1" localSheetId="2" hidden="1">Minimax!$D$9:$E$9</definedName>
    <definedName name="solver_lhs1" localSheetId="3" hidden="1">'Minimax profe'!$I$7:$I$14</definedName>
    <definedName name="solver_lhs1" localSheetId="6" hidden="1">'Publicidad minimax'!$L$4:$L$6</definedName>
    <definedName name="solver_lhs2" localSheetId="0" hidden="1">Hoja1!$E$12:$E$14</definedName>
    <definedName name="solver_lhs2" localSheetId="4" hidden="1">'Matriz completa'!$I$7:$I$16</definedName>
    <definedName name="solver_lhs2" localSheetId="1" hidden="1">Metas!$L$4:$L$6</definedName>
    <definedName name="solver_lhs2" localSheetId="2" hidden="1">Minimax!$E$4:$E$6</definedName>
    <definedName name="solver_lhs2" localSheetId="3" hidden="1">'Minimax profe'!$I$7:$I$12</definedName>
    <definedName name="solver_lhs2" localSheetId="6" hidden="1">'Publicidad minimax'!$L$7:$L$10</definedName>
    <definedName name="solver_lhs3" localSheetId="1" hidden="1">Metas!$L$7:$L$9</definedName>
    <definedName name="solver_lhs3" localSheetId="2" hidden="1">Minimax!$F$9:$H$9</definedName>
    <definedName name="solver_lhs3" localSheetId="6" hidden="1">'Publicidad minimax'!$L$7:$L$10</definedName>
    <definedName name="solver_lin" localSheetId="8" hidden="1">1</definedName>
    <definedName name="solver_lin" localSheetId="7" hidden="1">1</definedName>
    <definedName name="solver_lin" localSheetId="0" hidden="1">1</definedName>
    <definedName name="solver_lin" localSheetId="4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5" hidden="1">2</definedName>
    <definedName name="solver_lin" localSheetId="6" hidden="1">1</definedName>
    <definedName name="solver_mip" localSheetId="8" hidden="1">2147483647</definedName>
    <definedName name="solver_mip" localSheetId="7" hidden="1">2147483647</definedName>
    <definedName name="solver_mip" localSheetId="0" hidden="1">2147483647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ni" localSheetId="8" hidden="1">30</definedName>
    <definedName name="solver_mni" localSheetId="7" hidden="1">30</definedName>
    <definedName name="solver_mni" localSheetId="0" hidden="1">30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rt" localSheetId="8" hidden="1">0.075</definedName>
    <definedName name="solver_mrt" localSheetId="7" hidden="1">0.075</definedName>
    <definedName name="solver_mrt" localSheetId="0" hidden="1">0.075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sl" localSheetId="8" hidden="1">2</definedName>
    <definedName name="solver_msl" localSheetId="7" hidden="1">2</definedName>
    <definedName name="solver_msl" localSheetId="0" hidden="1">2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neg" localSheetId="8" hidden="1">1</definedName>
    <definedName name="solver_neg" localSheetId="7" hidden="1">1</definedName>
    <definedName name="solver_neg" localSheetId="0" hidden="1">1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8" hidden="1">2147483647</definedName>
    <definedName name="solver_nod" localSheetId="7" hidden="1">2147483647</definedName>
    <definedName name="solver_nod" localSheetId="0" hidden="1">2147483647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um" localSheetId="8" hidden="1">1</definedName>
    <definedName name="solver_num" localSheetId="7" hidden="1">1</definedName>
    <definedName name="solver_num" localSheetId="0" hidden="1">2</definedName>
    <definedName name="solver_num" localSheetId="4" hidden="1">1</definedName>
    <definedName name="solver_num" localSheetId="1" hidden="1">3</definedName>
    <definedName name="solver_num" localSheetId="2" hidden="1">3</definedName>
    <definedName name="solver_num" localSheetId="3" hidden="1">1</definedName>
    <definedName name="solver_num" localSheetId="5" hidden="1">0</definedName>
    <definedName name="solver_num" localSheetId="6" hidden="1">2</definedName>
    <definedName name="solver_opt" localSheetId="8" hidden="1">'Bonos con Metas'!$I$15</definedName>
    <definedName name="solver_opt" localSheetId="7" hidden="1">'Bonos Original'!$D$16</definedName>
    <definedName name="solver_opt" localSheetId="0" hidden="1">Hoja1!$E$20</definedName>
    <definedName name="solver_opt" localSheetId="4" hidden="1">'Matriz completa'!$C$19</definedName>
    <definedName name="solver_opt" localSheetId="1" hidden="1">Metas!$G$15</definedName>
    <definedName name="solver_opt" localSheetId="2" hidden="1">Minimax!$C$15</definedName>
    <definedName name="solver_opt" localSheetId="3" hidden="1">'Minimax profe'!$C$17</definedName>
    <definedName name="solver_opt" localSheetId="5" hidden="1">Publicidad!$G$16</definedName>
    <definedName name="solver_opt" localSheetId="6" hidden="1">'Publicidad minimax'!$L$17</definedName>
    <definedName name="solver_pre" localSheetId="8" hidden="1">0.000001</definedName>
    <definedName name="solver_pre" localSheetId="7" hidden="1">0.000001</definedName>
    <definedName name="solver_pre" localSheetId="0" hidden="1">0.000001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rbv" localSheetId="8" hidden="1">1</definedName>
    <definedName name="solver_rbv" localSheetId="7" hidden="1">1</definedName>
    <definedName name="solver_rbv" localSheetId="0" hidden="1">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el1" localSheetId="8" hidden="1">3</definedName>
    <definedName name="solver_rel1" localSheetId="7" hidden="1">1</definedName>
    <definedName name="solver_rel1" localSheetId="0" hidden="1">1</definedName>
    <definedName name="solver_rel1" localSheetId="4" hidden="1">3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1" localSheetId="6" hidden="1">2</definedName>
    <definedName name="solver_rel2" localSheetId="0" hidden="1">3</definedName>
    <definedName name="solver_rel2" localSheetId="4" hidden="1">3</definedName>
    <definedName name="solver_rel2" localSheetId="1" hidden="1">2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3" localSheetId="1" hidden="1">3</definedName>
    <definedName name="solver_rel3" localSheetId="2" hidden="1">1</definedName>
    <definedName name="solver_rel3" localSheetId="6" hidden="1">3</definedName>
    <definedName name="solver_rhs1" localSheetId="8" hidden="1">'Bonos con Metas'!$J$6:$J$12</definedName>
    <definedName name="solver_rhs1" localSheetId="7" hidden="1">'Bonos Original'!$E$8:$E$10</definedName>
    <definedName name="solver_rhs1" localSheetId="0" hidden="1">12</definedName>
    <definedName name="solver_rhs1" localSheetId="4" hidden="1">'Matriz completa'!$J$7:$J$16</definedName>
    <definedName name="solver_rhs1" localSheetId="1" hidden="1">12</definedName>
    <definedName name="solver_rhs1" localSheetId="2" hidden="1">12</definedName>
    <definedName name="solver_rhs1" localSheetId="3" hidden="1">'Minimax profe'!$J$7:$J$14</definedName>
    <definedName name="solver_rhs1" localSheetId="6" hidden="1">'Publicidad minimax'!$M$4:$M$6</definedName>
    <definedName name="solver_rhs2" localSheetId="0" hidden="1">Hoja1!$F$12:$F$14</definedName>
    <definedName name="solver_rhs2" localSheetId="4" hidden="1">'Matriz completa'!$J$7:$J$16</definedName>
    <definedName name="solver_rhs2" localSheetId="1" hidden="1">Metas!$M$4:$M$6</definedName>
    <definedName name="solver_rhs2" localSheetId="2" hidden="1">Minimax!$F$4:$F$6</definedName>
    <definedName name="solver_rhs2" localSheetId="3" hidden="1">'Minimax profe'!$J$7:$J$12</definedName>
    <definedName name="solver_rhs2" localSheetId="6" hidden="1">'Publicidad minimax'!$M$7:$M$10</definedName>
    <definedName name="solver_rhs3" localSheetId="1" hidden="1">Metas!$M$7:$M$9</definedName>
    <definedName name="solver_rhs3" localSheetId="2" hidden="1">Minimax!$C$9</definedName>
    <definedName name="solver_rhs3" localSheetId="6" hidden="1">'Publicidad minimax'!$M$7:$M$10</definedName>
    <definedName name="solver_rlx" localSheetId="8" hidden="1">2</definedName>
    <definedName name="solver_rlx" localSheetId="7" hidden="1">2</definedName>
    <definedName name="solver_rlx" localSheetId="0" hidden="1">2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sd" localSheetId="8" hidden="1">0</definedName>
    <definedName name="solver_rsd" localSheetId="7" hidden="1">0</definedName>
    <definedName name="solver_rsd" localSheetId="0" hidden="1">0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scl" localSheetId="8" hidden="1">1</definedName>
    <definedName name="solver_scl" localSheetId="7" hidden="1">1</definedName>
    <definedName name="solver_scl" localSheetId="0" hidden="1">1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ho" localSheetId="8" hidden="1">2</definedName>
    <definedName name="solver_sho" localSheetId="7" hidden="1">2</definedName>
    <definedName name="solver_sho" localSheetId="0" hidden="1">2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sz" localSheetId="8" hidden="1">100</definedName>
    <definedName name="solver_ssz" localSheetId="7" hidden="1">100</definedName>
    <definedName name="solver_ssz" localSheetId="0" hidden="1">100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tim" localSheetId="8" hidden="1">2147483647</definedName>
    <definedName name="solver_tim" localSheetId="7" hidden="1">2147483647</definedName>
    <definedName name="solver_tim" localSheetId="0" hidden="1">2147483647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ol" localSheetId="8" hidden="1">0.01</definedName>
    <definedName name="solver_tol" localSheetId="7" hidden="1">0.01</definedName>
    <definedName name="solver_tol" localSheetId="0" hidden="1">0.01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yp" localSheetId="8" hidden="1">2</definedName>
    <definedName name="solver_typ" localSheetId="7" hidden="1">1</definedName>
    <definedName name="solver_typ" localSheetId="0" hidden="1">2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1</definedName>
    <definedName name="solver_typ" localSheetId="6" hidden="1">2</definedName>
    <definedName name="solver_val" localSheetId="8" hidden="1">0</definedName>
    <definedName name="solver_val" localSheetId="7" hidden="1">0</definedName>
    <definedName name="solver_val" localSheetId="0" hidden="1">0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er" localSheetId="8" hidden="1">2</definedName>
    <definedName name="solver_ver" localSheetId="7" hidden="1">2</definedName>
    <definedName name="solver_ver" localSheetId="0" hidden="1">2</definedName>
    <definedName name="solver_ver" localSheetId="4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5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E18" i="10"/>
  <c r="H3" i="10"/>
  <c r="E20" i="10" s="1"/>
  <c r="G3" i="10"/>
  <c r="E19" i="10" s="1"/>
  <c r="H8" i="10"/>
  <c r="G7" i="10"/>
  <c r="F6" i="10"/>
  <c r="D20" i="10"/>
  <c r="D19" i="10"/>
  <c r="D18" i="10"/>
  <c r="F4" i="4"/>
  <c r="E20" i="4"/>
  <c r="D20" i="4"/>
  <c r="C20" i="4"/>
  <c r="C17" i="4"/>
  <c r="I8" i="4"/>
  <c r="I7" i="4"/>
  <c r="C8" i="9"/>
  <c r="B8" i="9"/>
  <c r="D8" i="9" s="1"/>
  <c r="C9" i="9"/>
  <c r="B9" i="9"/>
  <c r="D9" i="9" s="1"/>
  <c r="D16" i="9"/>
  <c r="D10" i="9"/>
  <c r="D21" i="8"/>
  <c r="E21" i="8" s="1"/>
  <c r="D22" i="8"/>
  <c r="E22" i="8" s="1"/>
  <c r="D20" i="8"/>
  <c r="E20" i="8" s="1"/>
  <c r="L17" i="8"/>
  <c r="L10" i="8"/>
  <c r="L9" i="8"/>
  <c r="L8" i="8"/>
  <c r="L7" i="8"/>
  <c r="L6" i="8"/>
  <c r="L5" i="8"/>
  <c r="L4" i="8"/>
  <c r="I15" i="10" l="1"/>
  <c r="I7" i="10"/>
  <c r="I6" i="10"/>
  <c r="I9" i="10"/>
  <c r="I10" i="10"/>
  <c r="I8" i="10"/>
  <c r="I12" i="10"/>
  <c r="I11" i="10"/>
  <c r="D24" i="5"/>
  <c r="D23" i="5"/>
  <c r="D22" i="5"/>
  <c r="C19" i="5"/>
  <c r="G4" i="5"/>
  <c r="E24" i="5" s="1"/>
  <c r="F4" i="5"/>
  <c r="E23" i="5" s="1"/>
  <c r="E4" i="5"/>
  <c r="E22" i="5" s="1"/>
  <c r="E4" i="4"/>
  <c r="G4" i="4"/>
  <c r="H9" i="3"/>
  <c r="G9" i="3"/>
  <c r="F9" i="3"/>
  <c r="C15" i="3"/>
  <c r="E5" i="3"/>
  <c r="E6" i="3"/>
  <c r="E4" i="3"/>
  <c r="G15" i="2"/>
  <c r="L5" i="2"/>
  <c r="L6" i="2"/>
  <c r="L7" i="2"/>
  <c r="L8" i="2"/>
  <c r="L9" i="2"/>
  <c r="L4" i="2"/>
  <c r="I15" i="5" l="1"/>
  <c r="I7" i="5"/>
  <c r="I9" i="5"/>
  <c r="I13" i="5"/>
  <c r="I10" i="5"/>
  <c r="I16" i="5"/>
  <c r="I8" i="5"/>
  <c r="I14" i="5"/>
  <c r="I12" i="5"/>
  <c r="I11" i="5"/>
  <c r="I14" i="4"/>
  <c r="I13" i="4"/>
  <c r="I11" i="4"/>
  <c r="I9" i="4"/>
  <c r="I10" i="4"/>
  <c r="I12" i="4"/>
  <c r="E20" i="1"/>
  <c r="E13" i="1"/>
  <c r="E14" i="1"/>
  <c r="E12" i="1"/>
</calcChain>
</file>

<file path=xl/sharedStrings.xml><?xml version="1.0" encoding="utf-8"?>
<sst xmlns="http://schemas.openxmlformats.org/spreadsheetml/2006/main" count="231" uniqueCount="53">
  <si>
    <t>Tipo carbón</t>
  </si>
  <si>
    <t>Alto</t>
  </si>
  <si>
    <t>Medio</t>
  </si>
  <si>
    <t>Bajo</t>
  </si>
  <si>
    <t>Mina A</t>
  </si>
  <si>
    <t>Mina B</t>
  </si>
  <si>
    <t>x1</t>
  </si>
  <si>
    <t>x2</t>
  </si>
  <si>
    <t>total</t>
  </si>
  <si>
    <t>restricciones</t>
  </si>
  <si>
    <t>min</t>
  </si>
  <si>
    <t>Solución</t>
  </si>
  <si>
    <t>Accidentes</t>
  </si>
  <si>
    <t>Agua</t>
  </si>
  <si>
    <t>Costo</t>
  </si>
  <si>
    <t>s1+</t>
  </si>
  <si>
    <t>s1-</t>
  </si>
  <si>
    <t>s2+</t>
  </si>
  <si>
    <t>s2-</t>
  </si>
  <si>
    <t>s3+</t>
  </si>
  <si>
    <t>s3-</t>
  </si>
  <si>
    <t>w1</t>
  </si>
  <si>
    <t>w2</t>
  </si>
  <si>
    <t>w3</t>
  </si>
  <si>
    <t>s1</t>
  </si>
  <si>
    <t>s2</t>
  </si>
  <si>
    <t>s3</t>
  </si>
  <si>
    <t>q</t>
  </si>
  <si>
    <t>Agua sucia</t>
  </si>
  <si>
    <t>Desviación</t>
  </si>
  <si>
    <t>Tipo</t>
  </si>
  <si>
    <t>Resultado</t>
  </si>
  <si>
    <t>ad</t>
  </si>
  <si>
    <t>HIM</t>
  </si>
  <si>
    <t>LIP</t>
  </si>
  <si>
    <t>HIW</t>
  </si>
  <si>
    <t>Football</t>
  </si>
  <si>
    <t>St</t>
  </si>
  <si>
    <t>costo de oportunidad</t>
  </si>
  <si>
    <t>Bono</t>
  </si>
  <si>
    <t>Yield</t>
  </si>
  <si>
    <t>Risk</t>
  </si>
  <si>
    <t>Maturity</t>
  </si>
  <si>
    <t>Corp</t>
  </si>
  <si>
    <t>Gov</t>
  </si>
  <si>
    <t>max</t>
  </si>
  <si>
    <t>Riesgo</t>
  </si>
  <si>
    <t>(0,0)</t>
  </si>
  <si>
    <t>(0,100)</t>
  </si>
  <si>
    <t>(100,0)</t>
  </si>
  <si>
    <t>riesgo</t>
  </si>
  <si>
    <t>yield</t>
  </si>
  <si>
    <t>maduración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</si>
</sst>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164" fontId="0" fillId="0" borderId="1" xfId="1" applyNumberFormat="1" applyFont="1" applyBorder="1"/>
    <xf numFmtId="0" fontId="2" fillId="0" borderId="0" xfId="0" applyFont="1"/>
    <xf numFmtId="0" fontId="2" fillId="0" borderId="1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0" borderId="3" xfId="0" applyFont="1" applyBorder="1"/>
    <xf numFmtId="0" fontId="2" fillId="4" borderId="8" xfId="0" applyFont="1" applyFill="1" applyBorder="1"/>
    <xf numFmtId="0" fontId="2" fillId="0" borderId="2" xfId="0" applyFont="1" applyBorder="1"/>
    <xf numFmtId="0" fontId="2" fillId="0" borderId="4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0" fillId="0" borderId="1" xfId="1" applyNumberFormat="1" applyFont="1" applyBorder="1"/>
    <xf numFmtId="0" fontId="0" fillId="5" borderId="1" xfId="0" applyFill="1" applyBorder="1"/>
    <xf numFmtId="0" fontId="0" fillId="6" borderId="1" xfId="0" applyFill="1" applyBorder="1"/>
    <xf numFmtId="0" fontId="3" fillId="6" borderId="1" xfId="0" applyFont="1" applyFill="1" applyBorder="1"/>
    <xf numFmtId="0" fontId="0" fillId="7" borderId="1" xfId="0" applyFill="1" applyBorder="1"/>
    <xf numFmtId="0" fontId="3" fillId="0" borderId="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58615</xdr:colOff>
      <xdr:row>1</xdr:row>
      <xdr:rowOff>78154</xdr:rowOff>
    </xdr:from>
    <xdr:to>
      <xdr:col>9</xdr:col>
      <xdr:colOff>224692</xdr:colOff>
      <xdr:row>8</xdr:row>
      <xdr:rowOff>124750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B6CF2F-68E0-AD04-4DFB-6E66ECF24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538" y="283308"/>
          <a:ext cx="3556000" cy="1482673"/>
        </a:xfrm>
        <a:prstGeom prst="rect">
          <a:avLst/>
        </a:prstGeom>
      </xdr:spPr>
    </xdr:pic>
    <xdr:clientData/>
  </xdr:twoCellAnchor>
  <xdr:twoCellAnchor editAs="oneCell">
    <xdr:from>
      <xdr:col>10</xdr:col>
      <xdr:colOff>78154</xdr:colOff>
      <xdr:row>1</xdr:row>
      <xdr:rowOff>36747</xdr:rowOff>
    </xdr:from>
    <xdr:to>
      <xdr:col>14</xdr:col>
      <xdr:colOff>439616</xdr:colOff>
      <xdr:row>14</xdr:row>
      <xdr:rowOff>144290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8A9E0F-E836-8D70-4F3B-557E34822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241901"/>
          <a:ext cx="3683000" cy="2774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635000</xdr:colOff>
      <xdr:row>5</xdr:row>
      <xdr:rowOff>146538</xdr:rowOff>
    </xdr:from>
    <xdr:to>
      <xdr:col>10</xdr:col>
      <xdr:colOff>361461</xdr:colOff>
      <xdr:row>23</xdr:row>
      <xdr:rowOff>118039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4D19B1-8C29-242C-8ABB-5AAC30531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308" y="1172307"/>
          <a:ext cx="3878384" cy="3664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222201</xdr:colOff>
      <xdr:row>3</xdr:row>
      <xdr:rowOff>127000</xdr:rowOff>
    </xdr:from>
    <xdr:to>
      <xdr:col>15</xdr:col>
      <xdr:colOff>65027</xdr:colOff>
      <xdr:row>29</xdr:row>
      <xdr:rowOff>119332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327A45-E92A-5F7B-2242-C7B15C303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026333" y="1408253"/>
          <a:ext cx="5326332" cy="3994749"/>
        </a:xfrm>
        <a:prstGeom prst="rect">
          <a:avLst/>
        </a:prstGeom>
      </xdr:spPr>
    </xdr:pic>
    <xdr:clientData/>
  </xdr:twoCellAnchor>
  <xdr:twoCellAnchor editAs="oneCell">
    <xdr:from>
      <xdr:col>5</xdr:col>
      <xdr:colOff>437123</xdr:colOff>
      <xdr:row>17</xdr:row>
      <xdr:rowOff>19539</xdr:rowOff>
    </xdr:from>
    <xdr:to>
      <xdr:col>9</xdr:col>
      <xdr:colOff>809929</xdr:colOff>
      <xdr:row>27</xdr:row>
      <xdr:rowOff>146538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D4C925-CD84-880B-D14F-3B19074DF9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46" r="49426"/>
        <a:stretch/>
      </xdr:blipFill>
      <xdr:spPr>
        <a:xfrm rot="5400000">
          <a:off x="5444642" y="2749250"/>
          <a:ext cx="2178538" cy="3694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D218-CD80-7E4D-B210-EE261FBC3CCB}">
  <dimension ref="B2:L21"/>
  <sheetViews>
    <sheetView showGridLines="0" zoomScale="130" zoomScaleNormal="130" workbookViewId="0">
      <selection activeCell="J20" sqref="J20"/>
    </sheetView>
  </sheetViews>
  <sheetFormatPr baseColWidth="10" defaultRowHeight="16" x14ac:dyDescent="0.2"/>
  <cols>
    <col min="6" max="6" width="11.83203125" bestFit="1" customWidth="1"/>
  </cols>
  <sheetData>
    <row r="2" spans="2:6" x14ac:dyDescent="0.2">
      <c r="B2" s="2" t="s">
        <v>0</v>
      </c>
      <c r="C2" s="2" t="s">
        <v>4</v>
      </c>
      <c r="D2" s="2" t="s">
        <v>5</v>
      </c>
    </row>
    <row r="3" spans="2:6" x14ac:dyDescent="0.2">
      <c r="B3" s="1" t="s">
        <v>1</v>
      </c>
      <c r="C3" s="1">
        <v>12</v>
      </c>
      <c r="D3" s="1">
        <v>4</v>
      </c>
    </row>
    <row r="4" spans="2:6" x14ac:dyDescent="0.2">
      <c r="B4" s="1" t="s">
        <v>2</v>
      </c>
      <c r="C4" s="1">
        <v>4</v>
      </c>
      <c r="D4" s="1">
        <v>4</v>
      </c>
    </row>
    <row r="5" spans="2:6" x14ac:dyDescent="0.2">
      <c r="B5" s="1" t="s">
        <v>3</v>
      </c>
      <c r="C5" s="1">
        <v>10</v>
      </c>
      <c r="D5" s="1">
        <v>20</v>
      </c>
    </row>
    <row r="11" spans="2:6" x14ac:dyDescent="0.2">
      <c r="B11" s="2"/>
      <c r="C11" s="2" t="s">
        <v>6</v>
      </c>
      <c r="D11" s="2" t="s">
        <v>7</v>
      </c>
      <c r="E11" s="2" t="s">
        <v>8</v>
      </c>
      <c r="F11" s="2" t="s">
        <v>9</v>
      </c>
    </row>
    <row r="12" spans="2:6" x14ac:dyDescent="0.2">
      <c r="B12" s="1" t="s">
        <v>1</v>
      </c>
      <c r="C12" s="1">
        <v>12</v>
      </c>
      <c r="D12" s="1">
        <v>4</v>
      </c>
      <c r="E12" s="1">
        <f>SUMPRODUCT($C$17:$D$17,C12:D12)</f>
        <v>48.000000000000007</v>
      </c>
      <c r="F12" s="1">
        <v>48</v>
      </c>
    </row>
    <row r="13" spans="2:6" x14ac:dyDescent="0.2">
      <c r="B13" s="1" t="s">
        <v>2</v>
      </c>
      <c r="C13" s="1">
        <v>4</v>
      </c>
      <c r="D13" s="1">
        <v>4</v>
      </c>
      <c r="E13" s="1">
        <f t="shared" ref="E13:E14" si="0">SUMPRODUCT($C$17:$D$17,C13:D13)</f>
        <v>28</v>
      </c>
      <c r="F13" s="1">
        <v>28</v>
      </c>
    </row>
    <row r="14" spans="2:6" x14ac:dyDescent="0.2">
      <c r="B14" s="1" t="s">
        <v>3</v>
      </c>
      <c r="C14" s="1">
        <v>10</v>
      </c>
      <c r="D14" s="1">
        <v>20</v>
      </c>
      <c r="E14" s="1">
        <f t="shared" si="0"/>
        <v>115</v>
      </c>
      <c r="F14" s="1">
        <v>100</v>
      </c>
    </row>
    <row r="16" spans="2:6" x14ac:dyDescent="0.2">
      <c r="C16" s="2" t="s">
        <v>6</v>
      </c>
      <c r="D16" s="2" t="s">
        <v>7</v>
      </c>
    </row>
    <row r="17" spans="3:12" x14ac:dyDescent="0.2">
      <c r="C17" s="1">
        <v>2.5000000000000004</v>
      </c>
      <c r="D17" s="1">
        <v>4.5</v>
      </c>
    </row>
    <row r="18" spans="3:12" x14ac:dyDescent="0.2">
      <c r="G18" s="1" t="s">
        <v>11</v>
      </c>
      <c r="H18" s="6" t="s">
        <v>6</v>
      </c>
      <c r="I18" s="6" t="s">
        <v>7</v>
      </c>
      <c r="J18" s="6" t="s">
        <v>12</v>
      </c>
      <c r="K18" s="6" t="s">
        <v>13</v>
      </c>
      <c r="L18" s="7" t="s">
        <v>14</v>
      </c>
    </row>
    <row r="19" spans="3:12" x14ac:dyDescent="0.2">
      <c r="C19" s="2" t="s">
        <v>6</v>
      </c>
      <c r="D19" s="2" t="s">
        <v>7</v>
      </c>
      <c r="E19" s="2" t="s">
        <v>10</v>
      </c>
      <c r="G19" s="8" t="s">
        <v>12</v>
      </c>
      <c r="H19">
        <v>10</v>
      </c>
      <c r="I19">
        <v>0</v>
      </c>
      <c r="J19">
        <v>2</v>
      </c>
      <c r="K19">
        <v>8000</v>
      </c>
      <c r="L19" s="5">
        <v>400000</v>
      </c>
    </row>
    <row r="20" spans="3:12" x14ac:dyDescent="0.2">
      <c r="C20" s="1">
        <v>40000</v>
      </c>
      <c r="D20" s="1">
        <v>32000</v>
      </c>
      <c r="E20" s="1">
        <f>SUMPRODUCT(C17:D17,C20:D20)</f>
        <v>244000</v>
      </c>
      <c r="G20" s="8" t="s">
        <v>13</v>
      </c>
      <c r="H20">
        <v>4</v>
      </c>
      <c r="I20">
        <v>3</v>
      </c>
      <c r="J20">
        <v>2.15</v>
      </c>
      <c r="K20">
        <v>6950</v>
      </c>
      <c r="L20" s="5">
        <v>256000</v>
      </c>
    </row>
    <row r="21" spans="3:12" x14ac:dyDescent="0.2">
      <c r="G21" s="9" t="s">
        <v>14</v>
      </c>
      <c r="H21" s="3">
        <v>2.5</v>
      </c>
      <c r="I21" s="3">
        <v>4.5</v>
      </c>
      <c r="J21" s="3">
        <v>2.5249999999999999</v>
      </c>
      <c r="K21" s="3">
        <v>7625</v>
      </c>
      <c r="L21" s="4">
        <v>244000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F8FB-3797-8B49-8631-9508C62D7854}">
  <dimension ref="C3:M15"/>
  <sheetViews>
    <sheetView zoomScale="130" zoomScaleNormal="130" workbookViewId="0">
      <selection activeCell="M9" sqref="M9"/>
    </sheetView>
  </sheetViews>
  <sheetFormatPr baseColWidth="10" defaultRowHeight="16" x14ac:dyDescent="0.2"/>
  <cols>
    <col min="13" max="13" width="11.83203125" bestFit="1" customWidth="1"/>
  </cols>
  <sheetData>
    <row r="3" spans="3:13" x14ac:dyDescent="0.2">
      <c r="C3" s="2"/>
      <c r="D3" s="2" t="s">
        <v>6</v>
      </c>
      <c r="E3" s="2" t="s">
        <v>7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8</v>
      </c>
      <c r="M3" s="2" t="s">
        <v>9</v>
      </c>
    </row>
    <row r="4" spans="3:13" x14ac:dyDescent="0.2">
      <c r="C4" s="1" t="s">
        <v>12</v>
      </c>
      <c r="D4" s="1">
        <v>0.2</v>
      </c>
      <c r="E4" s="1">
        <v>0.45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f>SUMPRODUCT($D$12:$K$12,D4:K4)</f>
        <v>2</v>
      </c>
      <c r="M4" s="1">
        <v>2</v>
      </c>
    </row>
    <row r="5" spans="3:13" x14ac:dyDescent="0.2">
      <c r="C5" s="1" t="s">
        <v>13</v>
      </c>
      <c r="D5" s="1">
        <v>800</v>
      </c>
      <c r="E5" s="1">
        <v>1250</v>
      </c>
      <c r="F5" s="1">
        <v>0</v>
      </c>
      <c r="G5" s="1">
        <v>0</v>
      </c>
      <c r="H5" s="1">
        <v>-1</v>
      </c>
      <c r="I5" s="1">
        <v>1</v>
      </c>
      <c r="J5" s="1">
        <v>0</v>
      </c>
      <c r="K5" s="1">
        <v>0</v>
      </c>
      <c r="L5" s="1">
        <f t="shared" ref="L5:L9" si="0">SUMPRODUCT($D$12:$K$12,D5:K5)</f>
        <v>6950</v>
      </c>
      <c r="M5" s="1">
        <v>6950</v>
      </c>
    </row>
    <row r="6" spans="3:13" x14ac:dyDescent="0.2">
      <c r="C6" s="1" t="s">
        <v>14</v>
      </c>
      <c r="D6" s="1">
        <v>40000</v>
      </c>
      <c r="E6" s="1">
        <v>32000</v>
      </c>
      <c r="F6" s="1">
        <v>0</v>
      </c>
      <c r="G6" s="1">
        <v>0</v>
      </c>
      <c r="H6" s="1">
        <v>0</v>
      </c>
      <c r="I6" s="1">
        <v>0</v>
      </c>
      <c r="J6" s="1">
        <v>-1</v>
      </c>
      <c r="K6" s="1">
        <v>1</v>
      </c>
      <c r="L6" s="1">
        <f t="shared" si="0"/>
        <v>244000</v>
      </c>
      <c r="M6" s="1">
        <v>244000</v>
      </c>
    </row>
    <row r="7" spans="3:13" x14ac:dyDescent="0.2">
      <c r="C7" s="1" t="s">
        <v>1</v>
      </c>
      <c r="D7" s="1">
        <v>12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48.000000000000007</v>
      </c>
      <c r="M7" s="1">
        <v>48</v>
      </c>
    </row>
    <row r="8" spans="3:13" x14ac:dyDescent="0.2">
      <c r="C8" s="1" t="s">
        <v>2</v>
      </c>
      <c r="D8" s="1">
        <v>4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28</v>
      </c>
      <c r="M8" s="1">
        <v>28</v>
      </c>
    </row>
    <row r="9" spans="3:13" x14ac:dyDescent="0.2">
      <c r="C9" s="1" t="s">
        <v>3</v>
      </c>
      <c r="D9" s="1">
        <v>10</v>
      </c>
      <c r="E9" s="1">
        <v>20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114.99999999999999</v>
      </c>
      <c r="M9" s="1">
        <v>100</v>
      </c>
    </row>
    <row r="11" spans="3:13" x14ac:dyDescent="0.2">
      <c r="D11" s="2" t="s">
        <v>6</v>
      </c>
      <c r="E11" s="2" t="s">
        <v>7</v>
      </c>
      <c r="F11" s="2" t="s">
        <v>15</v>
      </c>
      <c r="G11" s="2" t="s">
        <v>16</v>
      </c>
      <c r="H11" s="2" t="s">
        <v>17</v>
      </c>
      <c r="I11" s="2" t="s">
        <v>18</v>
      </c>
      <c r="J11" s="2" t="s">
        <v>19</v>
      </c>
      <c r="K11" s="2" t="s">
        <v>20</v>
      </c>
    </row>
    <row r="12" spans="3:13" x14ac:dyDescent="0.2">
      <c r="D12" s="1">
        <v>2.5000000000000013</v>
      </c>
      <c r="E12" s="1">
        <v>4.4999999999999982</v>
      </c>
      <c r="F12" s="1">
        <v>0.52499999999999969</v>
      </c>
      <c r="G12" s="1">
        <v>0</v>
      </c>
      <c r="H12" s="1">
        <v>674.99999999999898</v>
      </c>
      <c r="I12" s="1">
        <v>0</v>
      </c>
      <c r="J12" s="1">
        <v>0</v>
      </c>
      <c r="K12" s="1">
        <v>0</v>
      </c>
    </row>
    <row r="14" spans="3:13" x14ac:dyDescent="0.2">
      <c r="D14" s="2" t="s">
        <v>15</v>
      </c>
      <c r="E14" s="2" t="s">
        <v>17</v>
      </c>
      <c r="F14" s="2" t="s">
        <v>19</v>
      </c>
      <c r="G14" s="2" t="s">
        <v>8</v>
      </c>
    </row>
    <row r="15" spans="3:13" x14ac:dyDescent="0.2">
      <c r="D15" s="1">
        <v>1</v>
      </c>
      <c r="E15" s="1">
        <v>1</v>
      </c>
      <c r="F15" s="1">
        <v>1</v>
      </c>
      <c r="G15" s="1">
        <f>F12*D15+H12*E15+J12*F15</f>
        <v>675.52499999999895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7B68-B0F8-D448-9003-98F0728652B4}">
  <dimension ref="C3:H15"/>
  <sheetViews>
    <sheetView zoomScale="130" zoomScaleNormal="130" workbookViewId="0">
      <selection activeCell="E9" sqref="E9"/>
    </sheetView>
  </sheetViews>
  <sheetFormatPr baseColWidth="10" defaultRowHeight="16" x14ac:dyDescent="0.2"/>
  <cols>
    <col min="6" max="6" width="11.83203125" bestFit="1" customWidth="1"/>
    <col min="9" max="9" width="11.83203125" bestFit="1" customWidth="1"/>
  </cols>
  <sheetData>
    <row r="3" spans="3:8" x14ac:dyDescent="0.2">
      <c r="C3" s="10" t="s">
        <v>6</v>
      </c>
      <c r="D3" s="10" t="s">
        <v>7</v>
      </c>
      <c r="E3" s="10" t="s">
        <v>8</v>
      </c>
      <c r="F3" s="10" t="s">
        <v>9</v>
      </c>
    </row>
    <row r="4" spans="3:8" x14ac:dyDescent="0.2">
      <c r="C4" s="1">
        <v>12</v>
      </c>
      <c r="D4" s="1">
        <v>4</v>
      </c>
      <c r="E4" s="1">
        <f>SUMPRODUCT($D$9:$E$9,C4:D4)</f>
        <v>62.329020332717221</v>
      </c>
      <c r="F4" s="1">
        <v>48</v>
      </c>
    </row>
    <row r="5" spans="3:8" x14ac:dyDescent="0.2">
      <c r="C5" s="1">
        <v>4</v>
      </c>
      <c r="D5" s="1">
        <v>4</v>
      </c>
      <c r="E5" s="1">
        <f>SUMPRODUCT($D$9:$E$9,C5:D5)</f>
        <v>28.465804066543441</v>
      </c>
      <c r="F5" s="1">
        <v>28</v>
      </c>
    </row>
    <row r="6" spans="3:8" x14ac:dyDescent="0.2">
      <c r="C6" s="1">
        <v>10</v>
      </c>
      <c r="D6" s="1">
        <v>20</v>
      </c>
      <c r="E6" s="1">
        <f>SUMPRODUCT($D$9:$E$9,C6:D6)</f>
        <v>100</v>
      </c>
      <c r="F6" s="1">
        <v>100</v>
      </c>
    </row>
    <row r="8" spans="3:8" x14ac:dyDescent="0.2">
      <c r="C8" s="10" t="s">
        <v>27</v>
      </c>
      <c r="D8" s="10" t="s">
        <v>6</v>
      </c>
      <c r="E8" s="10" t="s">
        <v>7</v>
      </c>
      <c r="F8" s="10" t="s">
        <v>24</v>
      </c>
      <c r="G8" s="10" t="s">
        <v>25</v>
      </c>
      <c r="H8" s="10" t="s">
        <v>26</v>
      </c>
    </row>
    <row r="9" spans="3:8" x14ac:dyDescent="0.2">
      <c r="C9" s="1">
        <v>7.208872458410337E-2</v>
      </c>
      <c r="D9" s="1">
        <v>4.2329020332717215</v>
      </c>
      <c r="E9" s="1">
        <v>2.8835489833641388</v>
      </c>
      <c r="F9" s="1">
        <f>C12*((0.2*$D$9+0.45*$E$9-2)/2)</f>
        <v>7.2088724584103314E-2</v>
      </c>
      <c r="G9" s="1">
        <f>D12*((800*$D$9+1250*$E$9-6950)/6950)</f>
        <v>5.8644396866979111E-3</v>
      </c>
      <c r="H9" s="1">
        <f>E12*((40*$D$9+32*$E$9-244)/244)</f>
        <v>7.2088724584103675E-2</v>
      </c>
    </row>
    <row r="11" spans="3:8" x14ac:dyDescent="0.2">
      <c r="C11" s="10" t="s">
        <v>21</v>
      </c>
      <c r="D11" s="10" t="s">
        <v>22</v>
      </c>
      <c r="E11" s="10" t="s">
        <v>23</v>
      </c>
    </row>
    <row r="12" spans="3:8" x14ac:dyDescent="0.2">
      <c r="C12" s="1">
        <v>1</v>
      </c>
      <c r="D12" s="1">
        <v>1</v>
      </c>
      <c r="E12" s="1">
        <v>1</v>
      </c>
    </row>
    <row r="14" spans="3:8" x14ac:dyDescent="0.2">
      <c r="C14" s="10" t="s">
        <v>27</v>
      </c>
    </row>
    <row r="15" spans="3:8" x14ac:dyDescent="0.2">
      <c r="C15" s="1">
        <f>C9</f>
        <v>7.208872458410337E-2</v>
      </c>
    </row>
  </sheetData>
  <pageMargins left="0.7" right="0.7" top="0.75" bottom="0.75" header="0.3" footer="0.3"/>
  <ignoredErrors>
    <ignoredError sqref="G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F540-57D8-FD46-AD64-C09DAC3EF913}">
  <dimension ref="C3:K20"/>
  <sheetViews>
    <sheetView zoomScale="130" zoomScaleNormal="130" workbookViewId="0">
      <selection activeCell="F5" sqref="F5"/>
    </sheetView>
  </sheetViews>
  <sheetFormatPr baseColWidth="10" defaultRowHeight="16" x14ac:dyDescent="0.2"/>
  <cols>
    <col min="9" max="9" width="12.83203125" bestFit="1" customWidth="1"/>
    <col min="10" max="10" width="11.83203125" bestFit="1" customWidth="1"/>
  </cols>
  <sheetData>
    <row r="3" spans="3:11" x14ac:dyDescent="0.2">
      <c r="C3" s="10" t="s">
        <v>6</v>
      </c>
      <c r="D3" s="10" t="s">
        <v>7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21</v>
      </c>
      <c r="J3" s="10" t="s">
        <v>22</v>
      </c>
      <c r="K3" s="10" t="s">
        <v>23</v>
      </c>
    </row>
    <row r="4" spans="3:11" x14ac:dyDescent="0.2">
      <c r="C4" s="1">
        <v>4.2329020332717189</v>
      </c>
      <c r="D4" s="1">
        <v>2.8835489833641401</v>
      </c>
      <c r="E4" s="1">
        <f>I4*((0.2*$C$4+0.45*$D$4-2)/2)</f>
        <v>7.2088724584103314E-2</v>
      </c>
      <c r="F4" s="1">
        <f>J4*((800*$C$4+1250*$D$4-6950)/6950)</f>
        <v>5.8644396866979111E-3</v>
      </c>
      <c r="G4" s="1">
        <f>K4*((40*$C$4+32*$D$4-244)/244)</f>
        <v>7.2088724584103439E-2</v>
      </c>
      <c r="H4" s="1">
        <v>7.2088724584103328E-2</v>
      </c>
      <c r="I4" s="1">
        <v>1</v>
      </c>
      <c r="J4" s="1">
        <v>1</v>
      </c>
      <c r="K4" s="1">
        <v>1</v>
      </c>
    </row>
    <row r="6" spans="3:11" x14ac:dyDescent="0.2">
      <c r="C6" s="10" t="s">
        <v>6</v>
      </c>
      <c r="D6" s="10" t="s">
        <v>7</v>
      </c>
      <c r="E6" s="10" t="s">
        <v>24</v>
      </c>
      <c r="F6" s="10" t="s">
        <v>25</v>
      </c>
      <c r="G6" s="10" t="s">
        <v>26</v>
      </c>
      <c r="H6" s="10" t="s">
        <v>27</v>
      </c>
      <c r="I6" s="10" t="s">
        <v>8</v>
      </c>
      <c r="J6" s="10" t="s">
        <v>9</v>
      </c>
    </row>
    <row r="7" spans="3:11" x14ac:dyDescent="0.2">
      <c r="C7" s="1">
        <v>0</v>
      </c>
      <c r="D7" s="1">
        <v>0</v>
      </c>
      <c r="E7" s="1">
        <v>-1</v>
      </c>
      <c r="F7" s="1">
        <v>0</v>
      </c>
      <c r="G7" s="1">
        <v>0</v>
      </c>
      <c r="H7" s="1">
        <v>1</v>
      </c>
      <c r="I7" s="1">
        <f>SUMPRODUCT($C$4:$H$4,C7:H7)</f>
        <v>1.3877787807814457E-17</v>
      </c>
      <c r="J7" s="1">
        <v>0</v>
      </c>
    </row>
    <row r="8" spans="3:11" x14ac:dyDescent="0.2">
      <c r="C8" s="1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f>SUMPRODUCT($C$4:$H$4,C8:H8)</f>
        <v>6.6224284897405422E-2</v>
      </c>
      <c r="J8" s="1">
        <v>0</v>
      </c>
    </row>
    <row r="9" spans="3:11" x14ac:dyDescent="0.2">
      <c r="C9" s="1">
        <v>0</v>
      </c>
      <c r="D9" s="1">
        <v>0</v>
      </c>
      <c r="E9" s="1">
        <v>0</v>
      </c>
      <c r="F9" s="1">
        <v>0</v>
      </c>
      <c r="G9" s="1">
        <v>-1</v>
      </c>
      <c r="H9" s="1">
        <v>1</v>
      </c>
      <c r="I9" s="1">
        <f>SUMPRODUCT($C$4:$H$4,C9:H9)</f>
        <v>-1.1102230246251565E-16</v>
      </c>
      <c r="J9" s="1">
        <v>0</v>
      </c>
    </row>
    <row r="10" spans="3:11" x14ac:dyDescent="0.2">
      <c r="C10" s="1">
        <v>12</v>
      </c>
      <c r="D10" s="1">
        <v>4</v>
      </c>
      <c r="E10" s="1">
        <v>0</v>
      </c>
      <c r="F10" s="1">
        <v>0</v>
      </c>
      <c r="G10" s="1">
        <v>0</v>
      </c>
      <c r="H10" s="1">
        <v>0</v>
      </c>
      <c r="I10" s="1">
        <f>SUMPRODUCT($C$4:$H$4,C10:H10)</f>
        <v>62.329020332717185</v>
      </c>
      <c r="J10" s="1">
        <v>48</v>
      </c>
    </row>
    <row r="11" spans="3:11" x14ac:dyDescent="0.2">
      <c r="C11" s="1">
        <v>4</v>
      </c>
      <c r="D11" s="1">
        <v>4</v>
      </c>
      <c r="E11" s="1">
        <v>0</v>
      </c>
      <c r="F11" s="1">
        <v>0</v>
      </c>
      <c r="G11" s="1">
        <v>0</v>
      </c>
      <c r="H11" s="1">
        <v>0</v>
      </c>
      <c r="I11" s="1">
        <f>SUMPRODUCT($C$4:$H$4,C11:H11)</f>
        <v>28.465804066543434</v>
      </c>
      <c r="J11" s="1">
        <v>28</v>
      </c>
    </row>
    <row r="12" spans="3:11" x14ac:dyDescent="0.2">
      <c r="C12" s="1">
        <v>10</v>
      </c>
      <c r="D12" s="1">
        <v>20</v>
      </c>
      <c r="E12" s="1">
        <v>0</v>
      </c>
      <c r="F12" s="1">
        <v>0</v>
      </c>
      <c r="G12" s="1">
        <v>0</v>
      </c>
      <c r="H12" s="1">
        <v>0</v>
      </c>
      <c r="I12" s="1">
        <f t="shared" ref="I12:I14" si="0">SUMPRODUCT($C$4:$H$4,C12:H12)</f>
        <v>100</v>
      </c>
      <c r="J12" s="1">
        <v>100</v>
      </c>
    </row>
    <row r="13" spans="3:11" x14ac:dyDescent="0.2">
      <c r="C13" s="1">
        <v>-1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-4.2329020332717189</v>
      </c>
      <c r="J13" s="1">
        <v>-12</v>
      </c>
    </row>
    <row r="14" spans="3:11" x14ac:dyDescent="0.2">
      <c r="C14" s="1">
        <v>0</v>
      </c>
      <c r="D14" s="1">
        <v>-1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-2.8835489833641401</v>
      </c>
      <c r="J14" s="1">
        <v>-12</v>
      </c>
    </row>
    <row r="16" spans="3:11" x14ac:dyDescent="0.2">
      <c r="C16" s="10" t="s">
        <v>10</v>
      </c>
    </row>
    <row r="17" spans="3:5" x14ac:dyDescent="0.2">
      <c r="C17" s="1">
        <f>H4</f>
        <v>7.2088724584103328E-2</v>
      </c>
    </row>
    <row r="19" spans="3:5" x14ac:dyDescent="0.2">
      <c r="C19" s="10" t="s">
        <v>12</v>
      </c>
      <c r="D19" s="10" t="s">
        <v>28</v>
      </c>
      <c r="E19" s="10" t="s">
        <v>14</v>
      </c>
    </row>
    <row r="20" spans="3:5" x14ac:dyDescent="0.2">
      <c r="C20" s="1">
        <f>$C$4*0.2+$D$4*0.45</f>
        <v>2.1441774491682066</v>
      </c>
      <c r="D20" s="1">
        <f>$C$4*800+$D$4*1250</f>
        <v>6990.7578558225505</v>
      </c>
      <c r="E20" s="1">
        <f>$C$4*40+$D$4*32</f>
        <v>261.58964879852124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0C4A-C9F9-794A-8889-6739F8CD33B9}">
  <dimension ref="C3:K24"/>
  <sheetViews>
    <sheetView zoomScale="130" zoomScaleNormal="130" workbookViewId="0">
      <selection activeCell="C21" sqref="C21:E24"/>
    </sheetView>
  </sheetViews>
  <sheetFormatPr baseColWidth="10" defaultRowHeight="16" x14ac:dyDescent="0.2"/>
  <cols>
    <col min="9" max="9" width="12.83203125" bestFit="1" customWidth="1"/>
    <col min="10" max="10" width="11.83203125" bestFit="1" customWidth="1"/>
  </cols>
  <sheetData>
    <row r="3" spans="3:11" x14ac:dyDescent="0.2">
      <c r="C3" s="10" t="s">
        <v>6</v>
      </c>
      <c r="D3" s="10" t="s">
        <v>7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21</v>
      </c>
      <c r="J3" s="10" t="s">
        <v>22</v>
      </c>
      <c r="K3" s="10" t="s">
        <v>23</v>
      </c>
    </row>
    <row r="4" spans="3:11" x14ac:dyDescent="0.2">
      <c r="C4" s="1">
        <v>4.2329020332717189</v>
      </c>
      <c r="D4" s="1">
        <v>2.8835489833641401</v>
      </c>
      <c r="E4" s="1">
        <f>I4*((0.2*$C$4+0.45*$D$4-2)/2)</f>
        <v>7.2088724584103314E-2</v>
      </c>
      <c r="F4" s="1">
        <f>J4*((800*$C$4+1250*$D$4-6950)/6950)</f>
        <v>5.8644396866979111E-3</v>
      </c>
      <c r="G4" s="1">
        <f>K4*((40*$C$4+32*$D$4-244)/244)</f>
        <v>7.2088724584103439E-2</v>
      </c>
      <c r="H4" s="1">
        <v>7.2088724584103328E-2</v>
      </c>
      <c r="I4" s="1">
        <v>1</v>
      </c>
      <c r="J4" s="1">
        <v>1</v>
      </c>
      <c r="K4" s="1">
        <v>1</v>
      </c>
    </row>
    <row r="6" spans="3:11" x14ac:dyDescent="0.2">
      <c r="C6" s="10" t="s">
        <v>6</v>
      </c>
      <c r="D6" s="10" t="s">
        <v>7</v>
      </c>
      <c r="E6" s="10" t="s">
        <v>24</v>
      </c>
      <c r="F6" s="10" t="s">
        <v>25</v>
      </c>
      <c r="G6" s="10" t="s">
        <v>26</v>
      </c>
      <c r="H6" s="10" t="s">
        <v>27</v>
      </c>
      <c r="I6" s="10" t="s">
        <v>8</v>
      </c>
      <c r="J6" s="10" t="s">
        <v>9</v>
      </c>
    </row>
    <row r="7" spans="3:11" x14ac:dyDescent="0.2">
      <c r="C7" s="1">
        <v>0</v>
      </c>
      <c r="D7" s="1">
        <v>0</v>
      </c>
      <c r="E7" s="1">
        <v>-1</v>
      </c>
      <c r="F7" s="1">
        <v>0</v>
      </c>
      <c r="G7" s="1">
        <v>0</v>
      </c>
      <c r="H7" s="1">
        <v>1</v>
      </c>
      <c r="I7" s="1">
        <f>SUMPRODUCT($C$4:$H$4,C7:H7)</f>
        <v>1.3877787807814457E-17</v>
      </c>
      <c r="J7" s="1">
        <v>0</v>
      </c>
    </row>
    <row r="8" spans="3:11" x14ac:dyDescent="0.2">
      <c r="C8" s="1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f t="shared" ref="I8:I16" si="0">SUMPRODUCT($C$4:$H$4,C8:H8)</f>
        <v>6.6224284897405422E-2</v>
      </c>
      <c r="J8" s="1">
        <v>0</v>
      </c>
    </row>
    <row r="9" spans="3:11" x14ac:dyDescent="0.2">
      <c r="C9" s="1">
        <v>0</v>
      </c>
      <c r="D9" s="1">
        <v>0</v>
      </c>
      <c r="E9" s="1">
        <v>0</v>
      </c>
      <c r="F9" s="1">
        <v>0</v>
      </c>
      <c r="G9" s="1">
        <v>-1</v>
      </c>
      <c r="H9" s="1">
        <v>1</v>
      </c>
      <c r="I9" s="1">
        <f t="shared" si="0"/>
        <v>-1.1102230246251565E-16</v>
      </c>
      <c r="J9" s="1">
        <v>0</v>
      </c>
    </row>
    <row r="10" spans="3:11" x14ac:dyDescent="0.2">
      <c r="C10" s="1">
        <v>12</v>
      </c>
      <c r="D10" s="1">
        <v>4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62.329020332717185</v>
      </c>
      <c r="J10" s="1">
        <v>48</v>
      </c>
    </row>
    <row r="11" spans="3:11" x14ac:dyDescent="0.2">
      <c r="C11" s="1">
        <v>4</v>
      </c>
      <c r="D11" s="1">
        <v>4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28.465804066543434</v>
      </c>
      <c r="J11" s="1">
        <v>28</v>
      </c>
    </row>
    <row r="12" spans="3:11" x14ac:dyDescent="0.2">
      <c r="C12" s="1">
        <v>10</v>
      </c>
      <c r="D12" s="1">
        <v>20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100</v>
      </c>
      <c r="J12" s="1">
        <v>100</v>
      </c>
    </row>
    <row r="13" spans="3:11" x14ac:dyDescent="0.2"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4.2329020332717189</v>
      </c>
      <c r="J13" s="1">
        <v>0</v>
      </c>
    </row>
    <row r="14" spans="3:11" x14ac:dyDescent="0.2"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2.8835489833641401</v>
      </c>
      <c r="J14" s="1">
        <v>0</v>
      </c>
    </row>
    <row r="15" spans="3:11" x14ac:dyDescent="0.2">
      <c r="C15" s="1">
        <v>-1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-4.2329020332717189</v>
      </c>
      <c r="J15" s="1">
        <v>-12</v>
      </c>
    </row>
    <row r="16" spans="3:11" x14ac:dyDescent="0.2">
      <c r="C16" s="1">
        <v>0</v>
      </c>
      <c r="D16" s="1">
        <v>-1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-2.8835489833641401</v>
      </c>
      <c r="J16" s="1">
        <v>-12</v>
      </c>
    </row>
    <row r="18" spans="3:5" x14ac:dyDescent="0.2">
      <c r="C18" s="10" t="s">
        <v>10</v>
      </c>
    </row>
    <row r="19" spans="3:5" x14ac:dyDescent="0.2">
      <c r="C19" s="1">
        <f>H4</f>
        <v>7.2088724584103328E-2</v>
      </c>
    </row>
    <row r="21" spans="3:5" x14ac:dyDescent="0.2">
      <c r="C21" s="10" t="s">
        <v>30</v>
      </c>
      <c r="D21" s="10" t="s">
        <v>31</v>
      </c>
      <c r="E21" s="10" t="s">
        <v>29</v>
      </c>
    </row>
    <row r="22" spans="3:5" x14ac:dyDescent="0.2">
      <c r="C22" s="1" t="s">
        <v>12</v>
      </c>
      <c r="D22" s="1">
        <f>$C$4*0.2+$D$4*0.45</f>
        <v>2.1441774491682066</v>
      </c>
      <c r="E22" s="11">
        <f>E4</f>
        <v>7.2088724584103314E-2</v>
      </c>
    </row>
    <row r="23" spans="3:5" x14ac:dyDescent="0.2">
      <c r="C23" s="1" t="s">
        <v>28</v>
      </c>
      <c r="D23" s="1">
        <f>$C$4*800+$D$4*1250</f>
        <v>6990.7578558225505</v>
      </c>
      <c r="E23" s="11">
        <f>F4</f>
        <v>5.8644396866979111E-3</v>
      </c>
    </row>
    <row r="24" spans="3:5" x14ac:dyDescent="0.2">
      <c r="C24" s="1" t="s">
        <v>14</v>
      </c>
      <c r="D24" s="1">
        <f>$C$4*40+$D$4*32</f>
        <v>261.58964879852124</v>
      </c>
      <c r="E24" s="11">
        <f>G4</f>
        <v>7.2088724584103439E-2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410C-AB9C-ED4C-BE7D-33ED4FF6B43D}">
  <dimension ref="A1:K17"/>
  <sheetViews>
    <sheetView zoomScale="130" zoomScaleNormal="130" workbookViewId="0">
      <selection activeCell="C20" sqref="C20"/>
    </sheetView>
  </sheetViews>
  <sheetFormatPr baseColWidth="10" defaultRowHeight="16" x14ac:dyDescent="0.2"/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">
      <c r="A2" s="12"/>
      <c r="B2" s="13" t="s">
        <v>32</v>
      </c>
      <c r="C2" s="14" t="s">
        <v>33</v>
      </c>
      <c r="D2" s="14" t="s">
        <v>34</v>
      </c>
      <c r="E2" s="15" t="s">
        <v>35</v>
      </c>
      <c r="F2" s="15" t="s">
        <v>14</v>
      </c>
      <c r="G2" s="12"/>
      <c r="H2" s="12"/>
      <c r="I2" s="12"/>
      <c r="J2" s="12"/>
      <c r="K2" s="12"/>
    </row>
    <row r="3" spans="1:11" x14ac:dyDescent="0.2">
      <c r="A3" s="12"/>
      <c r="B3" s="16" t="s">
        <v>36</v>
      </c>
      <c r="C3" s="12">
        <v>7</v>
      </c>
      <c r="D3" s="12">
        <v>10</v>
      </c>
      <c r="E3" s="17">
        <v>5</v>
      </c>
      <c r="F3" s="17">
        <v>100000</v>
      </c>
      <c r="G3" s="12"/>
      <c r="H3" s="12"/>
      <c r="I3" s="12"/>
      <c r="J3" s="12"/>
      <c r="K3" s="12"/>
    </row>
    <row r="4" spans="1:11" x14ac:dyDescent="0.2">
      <c r="A4" s="12"/>
      <c r="B4" s="18" t="s">
        <v>37</v>
      </c>
      <c r="C4" s="19">
        <v>3</v>
      </c>
      <c r="D4" s="19">
        <v>5</v>
      </c>
      <c r="E4" s="20">
        <v>4</v>
      </c>
      <c r="F4" s="20">
        <v>60000</v>
      </c>
      <c r="G4" s="12"/>
      <c r="H4" s="12"/>
      <c r="I4" s="12"/>
      <c r="J4" s="12"/>
      <c r="K4" s="12"/>
    </row>
    <row r="5" spans="1:1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">
      <c r="A6" s="12"/>
      <c r="B6" s="21" t="s">
        <v>6</v>
      </c>
      <c r="C6" s="15" t="s">
        <v>7</v>
      </c>
      <c r="D6" s="15" t="s">
        <v>15</v>
      </c>
      <c r="E6" s="15" t="s">
        <v>16</v>
      </c>
      <c r="F6" s="15" t="s">
        <v>17</v>
      </c>
      <c r="G6" s="15" t="s">
        <v>18</v>
      </c>
      <c r="H6" s="15" t="s">
        <v>19</v>
      </c>
      <c r="I6" s="15" t="s">
        <v>20</v>
      </c>
      <c r="J6" s="15" t="s">
        <v>8</v>
      </c>
      <c r="K6" s="15" t="s">
        <v>9</v>
      </c>
    </row>
    <row r="7" spans="1:11" x14ac:dyDescent="0.2">
      <c r="A7" s="12"/>
      <c r="B7" s="22">
        <v>7</v>
      </c>
      <c r="C7" s="20">
        <v>3</v>
      </c>
      <c r="D7" s="20">
        <v>-1</v>
      </c>
      <c r="E7" s="20">
        <v>1</v>
      </c>
      <c r="F7" s="20">
        <v>0</v>
      </c>
      <c r="G7" s="20">
        <v>0</v>
      </c>
      <c r="H7" s="20">
        <v>0</v>
      </c>
      <c r="I7" s="20">
        <v>0</v>
      </c>
      <c r="J7" s="20">
        <v>40</v>
      </c>
      <c r="K7" s="20">
        <v>40</v>
      </c>
    </row>
    <row r="8" spans="1:11" x14ac:dyDescent="0.2">
      <c r="A8" s="12"/>
      <c r="B8" s="22">
        <v>10</v>
      </c>
      <c r="C8" s="20">
        <v>5</v>
      </c>
      <c r="D8" s="20">
        <v>0</v>
      </c>
      <c r="E8" s="20">
        <v>0</v>
      </c>
      <c r="F8" s="20">
        <v>-1</v>
      </c>
      <c r="G8" s="20">
        <v>1</v>
      </c>
      <c r="H8" s="20">
        <v>0</v>
      </c>
      <c r="I8" s="20">
        <v>0</v>
      </c>
      <c r="J8" s="20">
        <v>60</v>
      </c>
      <c r="K8" s="20">
        <v>60</v>
      </c>
    </row>
    <row r="9" spans="1:11" x14ac:dyDescent="0.2">
      <c r="A9" s="12"/>
      <c r="B9" s="22">
        <v>5</v>
      </c>
      <c r="C9" s="20">
        <v>4</v>
      </c>
      <c r="D9" s="20">
        <v>0</v>
      </c>
      <c r="E9" s="20">
        <v>0</v>
      </c>
      <c r="F9" s="20">
        <v>0</v>
      </c>
      <c r="G9" s="20">
        <v>0</v>
      </c>
      <c r="H9" s="20">
        <v>-1</v>
      </c>
      <c r="I9" s="20">
        <v>1</v>
      </c>
      <c r="J9" s="20">
        <v>35</v>
      </c>
      <c r="K9" s="20">
        <v>35</v>
      </c>
    </row>
    <row r="10" spans="1:11" x14ac:dyDescent="0.2">
      <c r="A10" s="12"/>
      <c r="B10" s="22">
        <v>10</v>
      </c>
      <c r="C10" s="20">
        <v>6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60</v>
      </c>
      <c r="K10" s="20">
        <v>60</v>
      </c>
    </row>
    <row r="11" spans="1:1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">
      <c r="A12" s="12"/>
      <c r="B12" s="21" t="s">
        <v>6</v>
      </c>
      <c r="C12" s="15" t="s">
        <v>7</v>
      </c>
      <c r="D12" s="15" t="s">
        <v>15</v>
      </c>
      <c r="E12" s="15" t="s">
        <v>16</v>
      </c>
      <c r="F12" s="15" t="s">
        <v>17</v>
      </c>
      <c r="G12" s="15" t="s">
        <v>18</v>
      </c>
      <c r="H12" s="15" t="s">
        <v>19</v>
      </c>
      <c r="I12" s="15" t="s">
        <v>20</v>
      </c>
      <c r="J12" s="12"/>
      <c r="K12" s="12"/>
    </row>
    <row r="13" spans="1:11" x14ac:dyDescent="0.2">
      <c r="A13" s="12"/>
      <c r="B13" s="22">
        <v>6</v>
      </c>
      <c r="C13" s="20">
        <v>0</v>
      </c>
      <c r="D13" s="20">
        <v>2</v>
      </c>
      <c r="E13" s="20">
        <v>0</v>
      </c>
      <c r="F13" s="20">
        <v>0</v>
      </c>
      <c r="G13" s="20">
        <v>0</v>
      </c>
      <c r="H13" s="20">
        <v>0</v>
      </c>
      <c r="I13" s="20">
        <v>5</v>
      </c>
      <c r="J13" s="12"/>
      <c r="K13" s="12"/>
    </row>
    <row r="14" spans="1:1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">
      <c r="A15" s="12"/>
      <c r="B15" s="21" t="s">
        <v>16</v>
      </c>
      <c r="C15" s="15" t="s">
        <v>18</v>
      </c>
      <c r="D15" s="15" t="s">
        <v>20</v>
      </c>
      <c r="E15" s="15" t="s">
        <v>8</v>
      </c>
      <c r="F15" s="12"/>
      <c r="G15" s="12"/>
      <c r="H15" s="12"/>
      <c r="I15" s="12"/>
      <c r="J15" s="12"/>
      <c r="K15" s="12"/>
    </row>
    <row r="16" spans="1:11" x14ac:dyDescent="0.2">
      <c r="A16" s="12"/>
      <c r="B16" s="22">
        <v>20</v>
      </c>
      <c r="C16" s="20">
        <v>10</v>
      </c>
      <c r="D16" s="20">
        <v>5</v>
      </c>
      <c r="E16" s="20">
        <v>25</v>
      </c>
      <c r="F16" s="12"/>
      <c r="G16" s="12"/>
      <c r="H16" s="12"/>
      <c r="I16" s="12"/>
      <c r="J16" s="12"/>
      <c r="K16" s="12"/>
    </row>
    <row r="17" spans="1:11" x14ac:dyDescent="0.2">
      <c r="A17" s="12"/>
      <c r="B17" s="12"/>
      <c r="C17" s="12"/>
      <c r="D17" s="12"/>
      <c r="E17" s="12" t="s">
        <v>38</v>
      </c>
      <c r="F17" s="12"/>
      <c r="G17" s="12"/>
      <c r="H17" s="12"/>
      <c r="I17" s="12"/>
      <c r="J17" s="12"/>
      <c r="K17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103E-23B8-E349-8EF0-40D29C758266}">
  <dimension ref="C3:M22"/>
  <sheetViews>
    <sheetView tabSelected="1" zoomScale="130" zoomScaleNormal="130" workbookViewId="0">
      <selection activeCell="F19" sqref="F19"/>
    </sheetView>
  </sheetViews>
  <sheetFormatPr baseColWidth="10" defaultRowHeight="16" x14ac:dyDescent="0.2"/>
  <cols>
    <col min="13" max="13" width="11.83203125" bestFit="1" customWidth="1"/>
  </cols>
  <sheetData>
    <row r="3" spans="3:13" x14ac:dyDescent="0.2">
      <c r="C3" s="10" t="s">
        <v>27</v>
      </c>
      <c r="D3" s="10" t="s">
        <v>6</v>
      </c>
      <c r="E3" s="10" t="s">
        <v>7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  <c r="K3" s="10" t="s">
        <v>20</v>
      </c>
      <c r="L3" s="10" t="s">
        <v>8</v>
      </c>
      <c r="M3" s="10" t="s">
        <v>9</v>
      </c>
    </row>
    <row r="4" spans="3:13" x14ac:dyDescent="0.2">
      <c r="C4" s="24">
        <v>0</v>
      </c>
      <c r="D4" s="24">
        <v>7</v>
      </c>
      <c r="E4" s="24">
        <v>3</v>
      </c>
      <c r="F4" s="24">
        <v>-1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f t="shared" ref="L4:L10" si="0">SUMPRODUCT($C$14:$K$14,C4:K4)</f>
        <v>40</v>
      </c>
      <c r="M4" s="24">
        <v>40</v>
      </c>
    </row>
    <row r="5" spans="3:13" x14ac:dyDescent="0.2">
      <c r="C5" s="24">
        <v>0</v>
      </c>
      <c r="D5" s="24">
        <v>10</v>
      </c>
      <c r="E5" s="24">
        <v>5</v>
      </c>
      <c r="F5" s="24">
        <v>0</v>
      </c>
      <c r="G5" s="24">
        <v>0</v>
      </c>
      <c r="H5" s="24">
        <v>-1</v>
      </c>
      <c r="I5" s="24">
        <v>1</v>
      </c>
      <c r="J5" s="24">
        <v>0</v>
      </c>
      <c r="K5" s="24">
        <v>0</v>
      </c>
      <c r="L5" s="24">
        <f t="shared" si="0"/>
        <v>59.999999999999993</v>
      </c>
      <c r="M5" s="24">
        <v>60</v>
      </c>
    </row>
    <row r="6" spans="3:13" x14ac:dyDescent="0.2">
      <c r="C6" s="24">
        <v>0</v>
      </c>
      <c r="D6" s="24">
        <v>5</v>
      </c>
      <c r="E6" s="24">
        <v>4</v>
      </c>
      <c r="F6" s="24">
        <v>0</v>
      </c>
      <c r="G6" s="24">
        <v>0</v>
      </c>
      <c r="H6" s="24">
        <v>0</v>
      </c>
      <c r="I6" s="24">
        <v>0</v>
      </c>
      <c r="J6" s="24">
        <v>-1</v>
      </c>
      <c r="K6" s="24">
        <v>1</v>
      </c>
      <c r="L6" s="24">
        <f t="shared" si="0"/>
        <v>35</v>
      </c>
      <c r="M6" s="24">
        <v>35</v>
      </c>
    </row>
    <row r="7" spans="3:13" x14ac:dyDescent="0.2">
      <c r="C7" s="25">
        <v>1</v>
      </c>
      <c r="D7" s="25">
        <v>0</v>
      </c>
      <c r="E7" s="25">
        <v>0</v>
      </c>
      <c r="F7" s="25">
        <v>0</v>
      </c>
      <c r="G7" s="25">
        <v>-200</v>
      </c>
      <c r="H7" s="25">
        <v>0</v>
      </c>
      <c r="I7" s="25">
        <v>0</v>
      </c>
      <c r="J7" s="25">
        <v>0</v>
      </c>
      <c r="K7" s="25">
        <v>0</v>
      </c>
      <c r="L7" s="25">
        <f t="shared" si="0"/>
        <v>0</v>
      </c>
      <c r="M7" s="25">
        <v>0</v>
      </c>
    </row>
    <row r="8" spans="3:13" x14ac:dyDescent="0.2">
      <c r="C8" s="25">
        <v>1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-100</v>
      </c>
      <c r="J8" s="25">
        <v>0</v>
      </c>
      <c r="K8" s="25">
        <v>0</v>
      </c>
      <c r="L8" s="25">
        <f t="shared" si="0"/>
        <v>0</v>
      </c>
      <c r="M8" s="25">
        <v>0</v>
      </c>
    </row>
    <row r="9" spans="3:13" x14ac:dyDescent="0.2">
      <c r="C9" s="25">
        <v>1</v>
      </c>
      <c r="D9" s="25">
        <v>0</v>
      </c>
      <c r="E9" s="25">
        <v>0</v>
      </c>
      <c r="F9" s="26">
        <v>0</v>
      </c>
      <c r="G9" s="25">
        <v>0</v>
      </c>
      <c r="H9" s="25">
        <v>0</v>
      </c>
      <c r="I9" s="25">
        <v>0</v>
      </c>
      <c r="J9" s="25">
        <v>0</v>
      </c>
      <c r="K9" s="25">
        <v>-50</v>
      </c>
      <c r="L9" s="25">
        <f t="shared" si="0"/>
        <v>0</v>
      </c>
      <c r="M9" s="25">
        <v>0</v>
      </c>
    </row>
    <row r="10" spans="3:13" x14ac:dyDescent="0.2">
      <c r="C10" s="25">
        <v>0</v>
      </c>
      <c r="D10" s="25">
        <v>-100</v>
      </c>
      <c r="E10" s="25">
        <v>-60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f t="shared" si="0"/>
        <v>-600</v>
      </c>
      <c r="M10" s="25">
        <v>-600</v>
      </c>
    </row>
    <row r="13" spans="3:13" x14ac:dyDescent="0.2">
      <c r="C13" s="10" t="s">
        <v>27</v>
      </c>
      <c r="D13" s="10" t="s">
        <v>6</v>
      </c>
      <c r="E13" s="10" t="s">
        <v>7</v>
      </c>
      <c r="F13" s="10" t="s">
        <v>15</v>
      </c>
      <c r="G13" s="10" t="s">
        <v>16</v>
      </c>
      <c r="H13" s="10" t="s">
        <v>17</v>
      </c>
      <c r="I13" s="10" t="s">
        <v>18</v>
      </c>
      <c r="J13" s="10" t="s">
        <v>19</v>
      </c>
      <c r="K13" s="10" t="s">
        <v>20</v>
      </c>
    </row>
    <row r="14" spans="3:13" x14ac:dyDescent="0.2">
      <c r="C14" s="1">
        <v>166.66666666666669</v>
      </c>
      <c r="D14" s="1">
        <v>5</v>
      </c>
      <c r="E14" s="1">
        <v>1.6666666666666661</v>
      </c>
      <c r="F14" s="1">
        <v>0.83333333333333381</v>
      </c>
      <c r="G14" s="1">
        <v>0.83333333333333348</v>
      </c>
      <c r="H14" s="1">
        <v>0</v>
      </c>
      <c r="I14" s="1">
        <v>1.666666666666667</v>
      </c>
      <c r="J14" s="1">
        <v>0</v>
      </c>
      <c r="K14" s="1">
        <v>3.3333333333333339</v>
      </c>
    </row>
    <row r="16" spans="3:13" x14ac:dyDescent="0.2">
      <c r="C16" s="10" t="s">
        <v>27</v>
      </c>
      <c r="D16" s="10" t="s">
        <v>6</v>
      </c>
      <c r="E16" s="10" t="s">
        <v>7</v>
      </c>
      <c r="F16" s="10" t="s">
        <v>15</v>
      </c>
      <c r="G16" s="10" t="s">
        <v>16</v>
      </c>
      <c r="H16" s="10" t="s">
        <v>17</v>
      </c>
      <c r="I16" s="10" t="s">
        <v>18</v>
      </c>
      <c r="J16" s="10" t="s">
        <v>19</v>
      </c>
      <c r="K16" s="10" t="s">
        <v>20</v>
      </c>
      <c r="L16" s="10" t="s">
        <v>10</v>
      </c>
    </row>
    <row r="17" spans="3:12" x14ac:dyDescent="0.2"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>SUMPRODUCT(C17:K17,C14:K14)</f>
        <v>166.66666666666669</v>
      </c>
    </row>
    <row r="19" spans="3:12" x14ac:dyDescent="0.2">
      <c r="C19" s="10" t="s">
        <v>30</v>
      </c>
      <c r="D19" s="10" t="s">
        <v>31</v>
      </c>
      <c r="E19" s="10" t="s">
        <v>29</v>
      </c>
    </row>
    <row r="20" spans="3:12" x14ac:dyDescent="0.2">
      <c r="C20" s="1" t="s">
        <v>33</v>
      </c>
      <c r="D20" s="1">
        <f>SUMPRODUCT($D$14:$E$14,D4:E4)</f>
        <v>40</v>
      </c>
      <c r="E20" s="23">
        <f>D20-M4</f>
        <v>0</v>
      </c>
    </row>
    <row r="21" spans="3:12" x14ac:dyDescent="0.2">
      <c r="C21" s="1" t="s">
        <v>34</v>
      </c>
      <c r="D21" s="1">
        <f t="shared" ref="D21:D22" si="1">SUMPRODUCT($D$14:$E$14,D5:E5)</f>
        <v>58.333333333333329</v>
      </c>
      <c r="E21" s="23">
        <f t="shared" ref="E21:E22" si="2">D21-M5</f>
        <v>-1.6666666666666714</v>
      </c>
    </row>
    <row r="22" spans="3:12" x14ac:dyDescent="0.2">
      <c r="C22" s="1" t="s">
        <v>35</v>
      </c>
      <c r="D22" s="1">
        <f t="shared" si="1"/>
        <v>31.666666666666664</v>
      </c>
      <c r="E22" s="23">
        <f t="shared" si="2"/>
        <v>-3.3333333333333357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9E70-F479-AF46-8ACF-F9C3C2EA6494}">
  <dimension ref="B2:J16"/>
  <sheetViews>
    <sheetView zoomScale="130" zoomScaleNormal="130" workbookViewId="0">
      <selection activeCell="M17" sqref="M17"/>
    </sheetView>
  </sheetViews>
  <sheetFormatPr baseColWidth="10" defaultRowHeight="16" x14ac:dyDescent="0.2"/>
  <cols>
    <col min="5" max="5" width="11.83203125" bestFit="1" customWidth="1"/>
  </cols>
  <sheetData>
    <row r="2" spans="2:10" x14ac:dyDescent="0.2">
      <c r="B2" s="10" t="s">
        <v>39</v>
      </c>
      <c r="C2" s="10" t="s">
        <v>40</v>
      </c>
      <c r="D2" s="10" t="s">
        <v>41</v>
      </c>
      <c r="E2" s="10" t="s">
        <v>42</v>
      </c>
      <c r="G2" s="10"/>
      <c r="H2" s="10" t="s">
        <v>46</v>
      </c>
      <c r="I2" s="10" t="s">
        <v>40</v>
      </c>
      <c r="J2" s="10" t="s">
        <v>42</v>
      </c>
    </row>
    <row r="3" spans="2:10" x14ac:dyDescent="0.2">
      <c r="B3" s="1" t="s">
        <v>43</v>
      </c>
      <c r="C3" s="1">
        <v>0.04</v>
      </c>
      <c r="D3" s="1">
        <v>2</v>
      </c>
      <c r="E3" s="1">
        <v>3</v>
      </c>
      <c r="G3" s="1" t="s">
        <v>47</v>
      </c>
      <c r="H3" s="1">
        <v>0</v>
      </c>
      <c r="I3" s="1">
        <v>0</v>
      </c>
      <c r="J3" s="1">
        <v>0</v>
      </c>
    </row>
    <row r="4" spans="2:10" x14ac:dyDescent="0.2">
      <c r="B4" s="1" t="s">
        <v>44</v>
      </c>
      <c r="C4" s="1">
        <v>0.03</v>
      </c>
      <c r="D4" s="1">
        <v>1</v>
      </c>
      <c r="E4" s="1">
        <v>4</v>
      </c>
      <c r="G4" s="1" t="s">
        <v>48</v>
      </c>
      <c r="H4" s="27">
        <v>100</v>
      </c>
      <c r="I4" s="1">
        <v>300</v>
      </c>
      <c r="J4" s="1">
        <v>400</v>
      </c>
    </row>
    <row r="5" spans="2:10" x14ac:dyDescent="0.2">
      <c r="G5" s="1" t="s">
        <v>49</v>
      </c>
      <c r="H5" s="1">
        <v>200</v>
      </c>
      <c r="I5" s="27">
        <v>400</v>
      </c>
      <c r="J5" s="27">
        <v>300</v>
      </c>
    </row>
    <row r="7" spans="2:10" x14ac:dyDescent="0.2">
      <c r="B7" s="10" t="s">
        <v>6</v>
      </c>
      <c r="C7" s="10" t="s">
        <v>7</v>
      </c>
      <c r="D7" s="10" t="s">
        <v>8</v>
      </c>
      <c r="E7" s="10" t="s">
        <v>9</v>
      </c>
    </row>
    <row r="8" spans="2:10" x14ac:dyDescent="0.2">
      <c r="B8" s="1">
        <f>2-1.5</f>
        <v>0.5</v>
      </c>
      <c r="C8" s="1">
        <f>1-1.5</f>
        <v>-0.5</v>
      </c>
      <c r="D8" s="1">
        <f>SUMPRODUCT($B$13:$C$13,B8:C8)</f>
        <v>0</v>
      </c>
      <c r="E8" s="1">
        <v>0</v>
      </c>
    </row>
    <row r="9" spans="2:10" x14ac:dyDescent="0.2">
      <c r="B9" s="1">
        <f>3-3.6</f>
        <v>-0.60000000000000009</v>
      </c>
      <c r="C9" s="1">
        <f>4-3.6</f>
        <v>0.39999999999999991</v>
      </c>
      <c r="D9" s="1">
        <f t="shared" ref="D9:D10" si="0">SUMPRODUCT($B$13:$C$13,B9:C9)</f>
        <v>-10000.000000000007</v>
      </c>
      <c r="E9" s="1">
        <v>0</v>
      </c>
    </row>
    <row r="10" spans="2:10" x14ac:dyDescent="0.2">
      <c r="B10" s="1">
        <v>1</v>
      </c>
      <c r="C10" s="1">
        <v>1</v>
      </c>
      <c r="D10" s="1">
        <f t="shared" si="0"/>
        <v>100000</v>
      </c>
      <c r="E10" s="1">
        <v>100000</v>
      </c>
    </row>
    <row r="12" spans="2:10" x14ac:dyDescent="0.2">
      <c r="B12" s="10" t="s">
        <v>6</v>
      </c>
      <c r="C12" s="10" t="s">
        <v>7</v>
      </c>
    </row>
    <row r="13" spans="2:10" x14ac:dyDescent="0.2">
      <c r="B13" s="1">
        <v>50000</v>
      </c>
      <c r="C13" s="1">
        <v>50000</v>
      </c>
    </row>
    <row r="15" spans="2:10" x14ac:dyDescent="0.2">
      <c r="B15" s="10" t="s">
        <v>6</v>
      </c>
      <c r="C15" s="10" t="s">
        <v>7</v>
      </c>
      <c r="D15" s="10" t="s">
        <v>45</v>
      </c>
    </row>
    <row r="16" spans="2:10" x14ac:dyDescent="0.2">
      <c r="B16" s="1">
        <v>0.04</v>
      </c>
      <c r="C16" s="1">
        <v>0.03</v>
      </c>
      <c r="D16" s="1">
        <f>SUMPRODUCT(B16:C16,B13:C13)</f>
        <v>3500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3B4F-7180-FF40-A2A6-88039B93A211}">
  <dimension ref="C2:K20"/>
  <sheetViews>
    <sheetView zoomScale="130" zoomScaleNormal="130" workbookViewId="0">
      <selection activeCell="B5" sqref="B5"/>
    </sheetView>
  </sheetViews>
  <sheetFormatPr baseColWidth="10" defaultRowHeight="16" x14ac:dyDescent="0.2"/>
  <cols>
    <col min="4" max="4" width="12.1640625" bestFit="1" customWidth="1"/>
    <col min="10" max="10" width="11.83203125" bestFit="1" customWidth="1"/>
  </cols>
  <sheetData>
    <row r="2" spans="3:11" x14ac:dyDescent="0.2">
      <c r="C2" s="10" t="s">
        <v>27</v>
      </c>
      <c r="D2" s="10" t="s">
        <v>6</v>
      </c>
      <c r="E2" s="10" t="s">
        <v>7</v>
      </c>
      <c r="F2" s="10" t="s">
        <v>24</v>
      </c>
      <c r="G2" s="10" t="s">
        <v>25</v>
      </c>
      <c r="H2" s="10" t="s">
        <v>26</v>
      </c>
      <c r="I2" s="10" t="s">
        <v>21</v>
      </c>
      <c r="J2" s="10" t="s">
        <v>22</v>
      </c>
      <c r="K2" s="10" t="s">
        <v>23</v>
      </c>
    </row>
    <row r="3" spans="3:11" x14ac:dyDescent="0.2">
      <c r="C3" s="1">
        <v>0.25000000000000538</v>
      </c>
      <c r="D3" s="1">
        <v>25.000000000000441</v>
      </c>
      <c r="E3" s="1">
        <v>74.999999999999574</v>
      </c>
      <c r="F3" s="1">
        <f>(2*D3+E3-100)/100</f>
        <v>0.25000000000000455</v>
      </c>
      <c r="G3" s="1">
        <f>(400-4*D3-3*E3)/400</f>
        <v>0.18749999999999878</v>
      </c>
      <c r="H3" s="1">
        <f>(3*D3+4*E3-300)/300</f>
        <v>0.24999999999999867</v>
      </c>
      <c r="I3" s="1">
        <v>1</v>
      </c>
      <c r="J3" s="1">
        <v>1</v>
      </c>
      <c r="K3" s="1">
        <v>1</v>
      </c>
    </row>
    <row r="5" spans="3:11" x14ac:dyDescent="0.2">
      <c r="C5" s="10" t="s">
        <v>27</v>
      </c>
      <c r="D5" s="10" t="s">
        <v>6</v>
      </c>
      <c r="E5" s="10" t="s">
        <v>7</v>
      </c>
      <c r="F5" s="10" t="s">
        <v>24</v>
      </c>
      <c r="G5" s="10" t="s">
        <v>25</v>
      </c>
      <c r="H5" s="10" t="s">
        <v>26</v>
      </c>
      <c r="I5" s="10" t="s">
        <v>8</v>
      </c>
      <c r="J5" s="10" t="s">
        <v>9</v>
      </c>
    </row>
    <row r="6" spans="3:11" x14ac:dyDescent="0.2">
      <c r="C6" s="1">
        <v>1</v>
      </c>
      <c r="D6" s="1">
        <v>0</v>
      </c>
      <c r="E6" s="1">
        <v>0</v>
      </c>
      <c r="F6" s="1">
        <f>-I3</f>
        <v>-1</v>
      </c>
      <c r="G6" s="1">
        <v>0</v>
      </c>
      <c r="H6" s="1">
        <v>0</v>
      </c>
      <c r="I6" s="1">
        <f t="shared" ref="I6:I12" si="0">SUMPRODUCT($C$3:$H$3,C6:H6)</f>
        <v>8.3266726846886741E-16</v>
      </c>
      <c r="J6" s="1">
        <v>0</v>
      </c>
    </row>
    <row r="7" spans="3:11" x14ac:dyDescent="0.2">
      <c r="C7" s="1">
        <v>1</v>
      </c>
      <c r="D7" s="1">
        <v>0</v>
      </c>
      <c r="E7" s="1">
        <v>0</v>
      </c>
      <c r="F7" s="1">
        <v>0</v>
      </c>
      <c r="G7" s="1">
        <f>-J3</f>
        <v>-1</v>
      </c>
      <c r="H7" s="1">
        <v>0</v>
      </c>
      <c r="I7" s="1">
        <f t="shared" si="0"/>
        <v>6.2500000000006606E-2</v>
      </c>
      <c r="J7" s="1">
        <v>0</v>
      </c>
    </row>
    <row r="8" spans="3:11" x14ac:dyDescent="0.2"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f>-K3</f>
        <v>-1</v>
      </c>
      <c r="I8" s="1">
        <f t="shared" si="0"/>
        <v>6.7168492989821971E-15</v>
      </c>
      <c r="J8" s="1">
        <v>0</v>
      </c>
    </row>
    <row r="9" spans="3:11" x14ac:dyDescent="0.2"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f t="shared" si="0"/>
        <v>100.00000000000001</v>
      </c>
      <c r="J9" s="1">
        <v>100</v>
      </c>
    </row>
    <row r="10" spans="3:11" x14ac:dyDescent="0.2">
      <c r="C10" s="1">
        <v>0</v>
      </c>
      <c r="D10" s="1">
        <v>-1</v>
      </c>
      <c r="E10" s="1">
        <v>-1</v>
      </c>
      <c r="F10" s="1">
        <v>0</v>
      </c>
      <c r="G10" s="1">
        <v>0</v>
      </c>
      <c r="H10" s="1">
        <v>0</v>
      </c>
      <c r="I10" s="1">
        <f t="shared" si="0"/>
        <v>-100.00000000000001</v>
      </c>
      <c r="J10" s="1">
        <v>-100</v>
      </c>
    </row>
    <row r="11" spans="3:11" x14ac:dyDescent="0.2">
      <c r="C11" s="1">
        <v>0</v>
      </c>
      <c r="D11" s="1">
        <v>1</v>
      </c>
      <c r="E11" s="1">
        <v>0</v>
      </c>
      <c r="F11" s="28">
        <v>0</v>
      </c>
      <c r="G11" s="1">
        <v>0</v>
      </c>
      <c r="H11" s="1">
        <v>0</v>
      </c>
      <c r="I11" s="1">
        <f t="shared" si="0"/>
        <v>25.000000000000441</v>
      </c>
      <c r="J11" s="1">
        <v>0</v>
      </c>
    </row>
    <row r="12" spans="3:11" x14ac:dyDescent="0.2"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f t="shared" si="0"/>
        <v>74.999999999999574</v>
      </c>
      <c r="J12" s="1">
        <v>0</v>
      </c>
    </row>
    <row r="14" spans="3:11" x14ac:dyDescent="0.2">
      <c r="C14" s="10" t="s">
        <v>27</v>
      </c>
      <c r="D14" s="10" t="s">
        <v>6</v>
      </c>
      <c r="E14" s="10" t="s">
        <v>7</v>
      </c>
      <c r="F14" s="10" t="s">
        <v>15</v>
      </c>
      <c r="G14" s="10" t="s">
        <v>16</v>
      </c>
      <c r="H14" s="10" t="s">
        <v>17</v>
      </c>
      <c r="I14" s="10" t="s">
        <v>10</v>
      </c>
    </row>
    <row r="15" spans="3:11" x14ac:dyDescent="0.2"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>SUMPRODUCT(C3:H3,C15:H15)</f>
        <v>0.25000000000000538</v>
      </c>
    </row>
    <row r="17" spans="3:5" x14ac:dyDescent="0.2">
      <c r="C17" s="10" t="s">
        <v>30</v>
      </c>
      <c r="D17" s="10" t="s">
        <v>31</v>
      </c>
      <c r="E17" s="10" t="s">
        <v>29</v>
      </c>
    </row>
    <row r="18" spans="3:5" x14ac:dyDescent="0.2">
      <c r="C18" s="1" t="s">
        <v>50</v>
      </c>
      <c r="D18" s="1">
        <f>2*$D$3+1*$E$3</f>
        <v>125.00000000000045</v>
      </c>
      <c r="E18" s="11">
        <f>F3</f>
        <v>0.25000000000000455</v>
      </c>
    </row>
    <row r="19" spans="3:5" x14ac:dyDescent="0.2">
      <c r="C19" s="1" t="s">
        <v>51</v>
      </c>
      <c r="D19" s="1">
        <f>4*$D$3+3*$E$3</f>
        <v>325.00000000000045</v>
      </c>
      <c r="E19" s="11">
        <f>G3</f>
        <v>0.18749999999999878</v>
      </c>
    </row>
    <row r="20" spans="3:5" x14ac:dyDescent="0.2">
      <c r="C20" s="1" t="s">
        <v>52</v>
      </c>
      <c r="D20" s="1">
        <f>3*$D$3+4*$E$3</f>
        <v>374.9999999999996</v>
      </c>
      <c r="E20" s="11">
        <f>H3</f>
        <v>0.24999999999999867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Metas</vt:lpstr>
      <vt:lpstr>Minimax</vt:lpstr>
      <vt:lpstr>Minimax profe</vt:lpstr>
      <vt:lpstr>Matriz completa</vt:lpstr>
      <vt:lpstr>Publicidad</vt:lpstr>
      <vt:lpstr>Publicidad minimax</vt:lpstr>
      <vt:lpstr>Bonos Original</vt:lpstr>
      <vt:lpstr>Bonos con 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2024-09-30T17:07:23Z</dcterms:created>
  <dcterms:modified xsi:type="dcterms:W3CDTF">2024-10-24T19:59:09Z</dcterms:modified>
</cp:coreProperties>
</file>