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m\Dropbox\TESIS\10 ANEXOS INVESTIGACION\OBJETIVO 4\Analisis sensilibidad multivariable\"/>
    </mc:Choice>
  </mc:AlternateContent>
  <xr:revisionPtr revIDLastSave="0" documentId="13_ncr:1_{2E6A27CE-B2F6-49DC-99D1-234341428613}" xr6:coauthVersionLast="47" xr6:coauthVersionMax="47" xr10:uidLastSave="{00000000-0000-0000-0000-000000000000}"/>
  <bookViews>
    <workbookView xWindow="-120" yWindow="-120" windowWidth="20730" windowHeight="11160" tabRatio="806" xr2:uid="{1AFEFC8C-CA45-47C9-A24E-8D73836C6B96}"/>
  </bookViews>
  <sheets>
    <sheet name=" Viabilidad 40 manteniendo+ ESE" sheetId="20" r:id="rId1"/>
    <sheet name=" Viabilidad40manteniendo+2plESE" sheetId="18" r:id="rId2"/>
    <sheet name=" Viabilidad40manteniendo+1plESE" sheetId="16" r:id="rId3"/>
    <sheet name=" Viabilidad 40 manteniendo+2pl" sheetId="14" r:id="rId4"/>
    <sheet name=" Viabilidad 40 manteniendo+1pl" sheetId="13" r:id="rId5"/>
    <sheet name=" Viabilidad 40 NE" sheetId="12" r:id="rId6"/>
    <sheet name=" Viabilidad 40 NE ampliando 2pl" sheetId="11" r:id="rId7"/>
    <sheet name=" Viabilidad 40 NE ampliando 1pl" sheetId="3" r:id="rId8"/>
    <sheet name="intereses" sheetId="6" state="hidden" r:id="rId9"/>
    <sheet name="evolucion certificaciones nuevo" sheetId="10" state="hidden" r:id="rId10"/>
  </sheets>
  <externalReferences>
    <externalReference r:id="rId11"/>
  </externalReferences>
  <definedNames>
    <definedName name="AmortizaciónInterés">-IPMT(TasaInterés/12,NúmeroDePago,NúmeroDePagos,CantidadPréstamo)</definedName>
    <definedName name="AñosPréstamo">intereses!$D$6</definedName>
    <definedName name="CantidadPréstamo">intereses!$D$4</definedName>
    <definedName name="FechaInicioPréstamo">intereses!$D$7</definedName>
    <definedName name="FilaEncabezados">ROW(intereses!$9:$9)</definedName>
    <definedName name="NúmeroDePago">ROW()-FilaEncabezados</definedName>
    <definedName name="NúmeroDePagos">intereses!$H$5</definedName>
    <definedName name="PréstamoNoPagado">IF(NúmeroDePago&lt;=NúmeroDePagos,1,0)</definedName>
    <definedName name="PréstamoPagado">IF(CantidadPréstamo*TasaInterés*AñosPréstamo*FechaInicioPréstamo&gt;0,1,0)</definedName>
    <definedName name="TasaInterés">intereses!$D$5</definedName>
    <definedName name="ÚltimaFila">MATCH(9.99E+307,'[1]Calculadora de préstamos'!$B:$B)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6" i="3" l="1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AN46" i="3"/>
  <c r="D18" i="3"/>
  <c r="C10" i="10"/>
  <c r="B10" i="10" s="1"/>
  <c r="D10" i="10"/>
  <c r="G48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F47" i="3"/>
  <c r="G47" i="3" s="1"/>
  <c r="F46" i="3"/>
  <c r="D46" i="3"/>
  <c r="D42" i="3"/>
  <c r="F42" i="3" s="1"/>
  <c r="D41" i="3"/>
  <c r="F41" i="3" s="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AN46" i="11"/>
  <c r="G49" i="11"/>
  <c r="G48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F47" i="11"/>
  <c r="G47" i="11" s="1"/>
  <c r="D18" i="11"/>
  <c r="C17" i="10" s="1"/>
  <c r="D17" i="10"/>
  <c r="D46" i="11"/>
  <c r="F46" i="11" s="1"/>
  <c r="D42" i="11"/>
  <c r="F42" i="11" s="1"/>
  <c r="D41" i="11"/>
  <c r="F41" i="11" s="1"/>
  <c r="G49" i="12"/>
  <c r="G48" i="12"/>
  <c r="CU47" i="12"/>
  <c r="CT47" i="12"/>
  <c r="CS47" i="12"/>
  <c r="CR47" i="12"/>
  <c r="CQ47" i="12"/>
  <c r="CP47" i="12"/>
  <c r="CO47" i="12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G47" i="12"/>
  <c r="F47" i="12"/>
  <c r="CT46" i="12"/>
  <c r="CL46" i="12"/>
  <c r="CD46" i="12"/>
  <c r="BV46" i="12"/>
  <c r="BN46" i="12"/>
  <c r="BF46" i="12"/>
  <c r="AX46" i="12"/>
  <c r="AP46" i="12"/>
  <c r="CS46" i="12"/>
  <c r="D42" i="12"/>
  <c r="F42" i="12" s="1"/>
  <c r="D41" i="12"/>
  <c r="F41" i="12" s="1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BS46" i="13"/>
  <c r="BT46" i="13"/>
  <c r="BU46" i="13"/>
  <c r="BV46" i="13"/>
  <c r="BW46" i="13"/>
  <c r="BX46" i="13"/>
  <c r="BY46" i="13"/>
  <c r="BZ46" i="13"/>
  <c r="CA46" i="13"/>
  <c r="CB46" i="13"/>
  <c r="CC46" i="13"/>
  <c r="CD46" i="13"/>
  <c r="CE46" i="13"/>
  <c r="CF46" i="13"/>
  <c r="CG46" i="13"/>
  <c r="CH46" i="13"/>
  <c r="CI46" i="13"/>
  <c r="CJ46" i="13"/>
  <c r="CK46" i="13"/>
  <c r="CL46" i="13"/>
  <c r="CM46" i="13"/>
  <c r="CN46" i="13"/>
  <c r="CO46" i="13"/>
  <c r="CP46" i="13"/>
  <c r="CQ46" i="13"/>
  <c r="CR46" i="13"/>
  <c r="CS46" i="13"/>
  <c r="CT46" i="13"/>
  <c r="CU46" i="13"/>
  <c r="AN46" i="13"/>
  <c r="G49" i="13"/>
  <c r="G48" i="13"/>
  <c r="CU47" i="13"/>
  <c r="CT47" i="13"/>
  <c r="CS47" i="13"/>
  <c r="CR47" i="13"/>
  <c r="CQ47" i="13"/>
  <c r="CP47" i="13"/>
  <c r="CO47" i="13"/>
  <c r="CN47" i="13"/>
  <c r="CM47" i="13"/>
  <c r="CL47" i="13"/>
  <c r="CK47" i="13"/>
  <c r="CJ47" i="13"/>
  <c r="CI47" i="13"/>
  <c r="CH47" i="13"/>
  <c r="CG47" i="13"/>
  <c r="CF47" i="13"/>
  <c r="CE47" i="13"/>
  <c r="CD47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F47" i="13"/>
  <c r="G47" i="13" s="1"/>
  <c r="D46" i="13"/>
  <c r="F46" i="13" s="1"/>
  <c r="D42" i="13"/>
  <c r="F42" i="13" s="1"/>
  <c r="D41" i="13"/>
  <c r="F41" i="13" s="1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BD46" i="14"/>
  <c r="BE46" i="14"/>
  <c r="BF46" i="14"/>
  <c r="BG46" i="14"/>
  <c r="BH46" i="14"/>
  <c r="BI46" i="14"/>
  <c r="BJ46" i="14"/>
  <c r="BK46" i="14"/>
  <c r="BL46" i="14"/>
  <c r="BM46" i="14"/>
  <c r="BN46" i="14"/>
  <c r="BO46" i="14"/>
  <c r="BP46" i="14"/>
  <c r="BQ46" i="14"/>
  <c r="BR46" i="14"/>
  <c r="BS46" i="14"/>
  <c r="BT46" i="14"/>
  <c r="BU46" i="14"/>
  <c r="BV46" i="14"/>
  <c r="BW46" i="14"/>
  <c r="BX46" i="14"/>
  <c r="BY46" i="14"/>
  <c r="BZ46" i="14"/>
  <c r="CA46" i="14"/>
  <c r="CB46" i="14"/>
  <c r="CC46" i="14"/>
  <c r="CD46" i="14"/>
  <c r="CE46" i="14"/>
  <c r="CF46" i="14"/>
  <c r="CG46" i="14"/>
  <c r="CH46" i="14"/>
  <c r="CI46" i="14"/>
  <c r="CJ46" i="14"/>
  <c r="CK46" i="14"/>
  <c r="CL46" i="14"/>
  <c r="CM46" i="14"/>
  <c r="CN46" i="14"/>
  <c r="CO46" i="14"/>
  <c r="CP46" i="14"/>
  <c r="CQ46" i="14"/>
  <c r="CR46" i="14"/>
  <c r="CS46" i="14"/>
  <c r="CT46" i="14"/>
  <c r="CU46" i="14"/>
  <c r="AN46" i="14"/>
  <c r="G49" i="14"/>
  <c r="CN47" i="14"/>
  <c r="CF47" i="14"/>
  <c r="BX47" i="14"/>
  <c r="BP47" i="14"/>
  <c r="BH47" i="14"/>
  <c r="AZ47" i="14"/>
  <c r="AR47" i="14"/>
  <c r="CU47" i="14"/>
  <c r="F46" i="14"/>
  <c r="F42" i="14"/>
  <c r="D46" i="14"/>
  <c r="D42" i="14"/>
  <c r="D41" i="14"/>
  <c r="F41" i="14" s="1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BC47" i="16"/>
  <c r="BD47" i="16"/>
  <c r="BE47" i="16"/>
  <c r="BF47" i="16"/>
  <c r="BG47" i="16"/>
  <c r="BH47" i="16"/>
  <c r="BI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CH47" i="16"/>
  <c r="CI47" i="16"/>
  <c r="CJ47" i="16"/>
  <c r="CK47" i="16"/>
  <c r="CL47" i="16"/>
  <c r="CM47" i="16"/>
  <c r="CN47" i="16"/>
  <c r="CO47" i="16"/>
  <c r="CP47" i="16"/>
  <c r="CQ47" i="16"/>
  <c r="CR47" i="16"/>
  <c r="CS47" i="16"/>
  <c r="CT47" i="16"/>
  <c r="CU47" i="16"/>
  <c r="AN47" i="16"/>
  <c r="AN46" i="16"/>
  <c r="G49" i="16"/>
  <c r="G48" i="16"/>
  <c r="D47" i="16"/>
  <c r="F47" i="16" s="1"/>
  <c r="D46" i="16"/>
  <c r="F46" i="16" s="1"/>
  <c r="D42" i="16"/>
  <c r="F42" i="16" s="1"/>
  <c r="D41" i="16"/>
  <c r="F41" i="16" s="1"/>
  <c r="AO46" i="18"/>
  <c r="AP46" i="18"/>
  <c r="AQ46" i="18"/>
  <c r="AR46" i="18"/>
  <c r="AS46" i="18"/>
  <c r="AT46" i="18"/>
  <c r="AU46" i="18"/>
  <c r="AV46" i="18"/>
  <c r="AW46" i="18"/>
  <c r="AX46" i="18"/>
  <c r="AY46" i="18"/>
  <c r="AZ46" i="18"/>
  <c r="BA46" i="18"/>
  <c r="BB46" i="18"/>
  <c r="BC46" i="18"/>
  <c r="BD46" i="18"/>
  <c r="BE46" i="18"/>
  <c r="BF46" i="18"/>
  <c r="BG46" i="18"/>
  <c r="BH46" i="18"/>
  <c r="BI46" i="18"/>
  <c r="BJ46" i="18"/>
  <c r="BK46" i="18"/>
  <c r="BL46" i="18"/>
  <c r="BM46" i="18"/>
  <c r="BN46" i="18"/>
  <c r="BO46" i="18"/>
  <c r="BP46" i="18"/>
  <c r="BQ46" i="18"/>
  <c r="BR46" i="18"/>
  <c r="BS46" i="18"/>
  <c r="BT46" i="18"/>
  <c r="BU46" i="18"/>
  <c r="BV46" i="18"/>
  <c r="BW46" i="18"/>
  <c r="BX46" i="18"/>
  <c r="BY46" i="18"/>
  <c r="BZ46" i="18"/>
  <c r="CA46" i="18"/>
  <c r="CB46" i="18"/>
  <c r="CC46" i="18"/>
  <c r="CD46" i="18"/>
  <c r="CE46" i="18"/>
  <c r="CF46" i="18"/>
  <c r="CG46" i="18"/>
  <c r="CH46" i="18"/>
  <c r="CI46" i="18"/>
  <c r="CJ46" i="18"/>
  <c r="CK46" i="18"/>
  <c r="CL46" i="18"/>
  <c r="CM46" i="18"/>
  <c r="CN46" i="18"/>
  <c r="CO46" i="18"/>
  <c r="CP46" i="18"/>
  <c r="CQ46" i="18"/>
  <c r="CR46" i="18"/>
  <c r="CS46" i="18"/>
  <c r="CT46" i="18"/>
  <c r="CU46" i="18"/>
  <c r="AO47" i="18"/>
  <c r="AP47" i="18"/>
  <c r="AQ47" i="18"/>
  <c r="AR47" i="18"/>
  <c r="AS47" i="18"/>
  <c r="AT47" i="18"/>
  <c r="AU47" i="18"/>
  <c r="AV47" i="18"/>
  <c r="AW47" i="18"/>
  <c r="AX47" i="18"/>
  <c r="AY47" i="18"/>
  <c r="AZ47" i="18"/>
  <c r="BA47" i="18"/>
  <c r="BB47" i="18"/>
  <c r="BC47" i="18"/>
  <c r="BD47" i="18"/>
  <c r="BE47" i="18"/>
  <c r="BF47" i="18"/>
  <c r="BG47" i="18"/>
  <c r="BH47" i="18"/>
  <c r="BI47" i="18"/>
  <c r="BJ47" i="18"/>
  <c r="BK47" i="18"/>
  <c r="BL47" i="18"/>
  <c r="BM47" i="18"/>
  <c r="BN47" i="18"/>
  <c r="BO47" i="18"/>
  <c r="BP47" i="18"/>
  <c r="BQ47" i="18"/>
  <c r="BR47" i="18"/>
  <c r="BS47" i="18"/>
  <c r="BT47" i="18"/>
  <c r="BU47" i="18"/>
  <c r="BV47" i="18"/>
  <c r="BW47" i="18"/>
  <c r="BX47" i="18"/>
  <c r="BY47" i="18"/>
  <c r="BZ47" i="18"/>
  <c r="CA47" i="18"/>
  <c r="CB47" i="18"/>
  <c r="CC47" i="18"/>
  <c r="CD47" i="18"/>
  <c r="CE47" i="18"/>
  <c r="CF47" i="18"/>
  <c r="CG47" i="18"/>
  <c r="CH47" i="18"/>
  <c r="CI47" i="18"/>
  <c r="CJ47" i="18"/>
  <c r="CK47" i="18"/>
  <c r="CL47" i="18"/>
  <c r="CM47" i="18"/>
  <c r="CN47" i="18"/>
  <c r="CO47" i="18"/>
  <c r="CP47" i="18"/>
  <c r="CQ47" i="18"/>
  <c r="CR47" i="18"/>
  <c r="CS47" i="18"/>
  <c r="CT47" i="18"/>
  <c r="CU47" i="18"/>
  <c r="AN47" i="18"/>
  <c r="AN46" i="18"/>
  <c r="G49" i="18"/>
  <c r="G48" i="18"/>
  <c r="D47" i="18"/>
  <c r="F47" i="18" s="1"/>
  <c r="D46" i="18"/>
  <c r="F46" i="18" s="1"/>
  <c r="D42" i="18"/>
  <c r="F42" i="18" s="1"/>
  <c r="D41" i="18"/>
  <c r="F41" i="18" s="1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BD47" i="20"/>
  <c r="BE47" i="20"/>
  <c r="BF47" i="20"/>
  <c r="BG47" i="20"/>
  <c r="BH47" i="20"/>
  <c r="BI47" i="20"/>
  <c r="BJ47" i="20"/>
  <c r="BK47" i="20"/>
  <c r="BL47" i="20"/>
  <c r="BM47" i="20"/>
  <c r="BN47" i="20"/>
  <c r="BO47" i="20"/>
  <c r="BP47" i="20"/>
  <c r="BQ47" i="20"/>
  <c r="BR47" i="20"/>
  <c r="BS47" i="20"/>
  <c r="BT47" i="20"/>
  <c r="BU47" i="20"/>
  <c r="BV47" i="20"/>
  <c r="BW47" i="20"/>
  <c r="BX47" i="20"/>
  <c r="BY47" i="20"/>
  <c r="BZ47" i="20"/>
  <c r="CA47" i="20"/>
  <c r="CB47" i="20"/>
  <c r="CC47" i="20"/>
  <c r="CD47" i="20"/>
  <c r="CE47" i="20"/>
  <c r="CF47" i="20"/>
  <c r="CG47" i="20"/>
  <c r="CH47" i="20"/>
  <c r="CI47" i="20"/>
  <c r="CJ47" i="20"/>
  <c r="CK47" i="20"/>
  <c r="CL47" i="20"/>
  <c r="CM47" i="20"/>
  <c r="CN47" i="20"/>
  <c r="CO47" i="20"/>
  <c r="CP47" i="20"/>
  <c r="CQ47" i="20"/>
  <c r="CR47" i="20"/>
  <c r="CS47" i="20"/>
  <c r="CT47" i="20"/>
  <c r="CU47" i="20"/>
  <c r="AN47" i="20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BD46" i="20"/>
  <c r="BE46" i="20"/>
  <c r="BF46" i="20"/>
  <c r="BG46" i="20"/>
  <c r="BH46" i="20"/>
  <c r="BI46" i="20"/>
  <c r="BJ46" i="20"/>
  <c r="BK46" i="20"/>
  <c r="BL46" i="20"/>
  <c r="BM46" i="20"/>
  <c r="BN46" i="20"/>
  <c r="BO46" i="20"/>
  <c r="BP46" i="20"/>
  <c r="BQ46" i="20"/>
  <c r="BR46" i="20"/>
  <c r="BS46" i="20"/>
  <c r="BT46" i="20"/>
  <c r="BU46" i="20"/>
  <c r="BV46" i="20"/>
  <c r="BW46" i="20"/>
  <c r="BX46" i="20"/>
  <c r="BY46" i="20"/>
  <c r="BZ46" i="20"/>
  <c r="CA46" i="20"/>
  <c r="CB46" i="20"/>
  <c r="CC46" i="20"/>
  <c r="CD46" i="20"/>
  <c r="CE46" i="20"/>
  <c r="CF46" i="20"/>
  <c r="CG46" i="20"/>
  <c r="CH46" i="20"/>
  <c r="CI46" i="20"/>
  <c r="CJ46" i="20"/>
  <c r="CK46" i="20"/>
  <c r="CL46" i="20"/>
  <c r="CM46" i="20"/>
  <c r="CN46" i="20"/>
  <c r="CO46" i="20"/>
  <c r="CP46" i="20"/>
  <c r="CQ46" i="20"/>
  <c r="CR46" i="20"/>
  <c r="CS46" i="20"/>
  <c r="CT46" i="20"/>
  <c r="CU46" i="20"/>
  <c r="AN46" i="20"/>
  <c r="G48" i="20"/>
  <c r="F47" i="20"/>
  <c r="F46" i="20"/>
  <c r="F42" i="20"/>
  <c r="F41" i="20"/>
  <c r="D47" i="20"/>
  <c r="B17" i="10" l="1"/>
  <c r="AQ46" i="12"/>
  <c r="AY46" i="12"/>
  <c r="BG46" i="12"/>
  <c r="BO46" i="12"/>
  <c r="BW46" i="12"/>
  <c r="CE46" i="12"/>
  <c r="CM46" i="12"/>
  <c r="CU46" i="12"/>
  <c r="AR46" i="12"/>
  <c r="AZ46" i="12"/>
  <c r="BH46" i="12"/>
  <c r="BP46" i="12"/>
  <c r="BX46" i="12"/>
  <c r="CF46" i="12"/>
  <c r="CN46" i="12"/>
  <c r="AS46" i="12"/>
  <c r="BA46" i="12"/>
  <c r="BI46" i="12"/>
  <c r="BQ46" i="12"/>
  <c r="BY46" i="12"/>
  <c r="CG46" i="12"/>
  <c r="CO46" i="12"/>
  <c r="F46" i="12"/>
  <c r="G46" i="12" s="1"/>
  <c r="AT46" i="12"/>
  <c r="BB46" i="12"/>
  <c r="BJ46" i="12"/>
  <c r="BR46" i="12"/>
  <c r="BZ46" i="12"/>
  <c r="CH46" i="12"/>
  <c r="CP46" i="12"/>
  <c r="AU46" i="12"/>
  <c r="BC46" i="12"/>
  <c r="BK46" i="12"/>
  <c r="BS46" i="12"/>
  <c r="CA46" i="12"/>
  <c r="CI46" i="12"/>
  <c r="CQ46" i="12"/>
  <c r="AN46" i="12"/>
  <c r="AV46" i="12"/>
  <c r="BD46" i="12"/>
  <c r="BL46" i="12"/>
  <c r="BT46" i="12"/>
  <c r="CB46" i="12"/>
  <c r="CJ46" i="12"/>
  <c r="CR46" i="12"/>
  <c r="AO46" i="12"/>
  <c r="AW46" i="12"/>
  <c r="BE46" i="12"/>
  <c r="BM46" i="12"/>
  <c r="BU46" i="12"/>
  <c r="CC46" i="12"/>
  <c r="CK46" i="12"/>
  <c r="AS47" i="14"/>
  <c r="CO47" i="14"/>
  <c r="F47" i="14"/>
  <c r="AT47" i="14"/>
  <c r="BB47" i="14"/>
  <c r="BJ47" i="14"/>
  <c r="BR47" i="14"/>
  <c r="BZ47" i="14"/>
  <c r="CH47" i="14"/>
  <c r="CP47" i="14"/>
  <c r="CG47" i="14"/>
  <c r="AU47" i="14"/>
  <c r="BC47" i="14"/>
  <c r="BK47" i="14"/>
  <c r="BS47" i="14"/>
  <c r="CA47" i="14"/>
  <c r="CI47" i="14"/>
  <c r="CQ47" i="14"/>
  <c r="BY47" i="14"/>
  <c r="AN47" i="14"/>
  <c r="AV47" i="14"/>
  <c r="BD47" i="14"/>
  <c r="BL47" i="14"/>
  <c r="BT47" i="14"/>
  <c r="CB47" i="14"/>
  <c r="CJ47" i="14"/>
  <c r="CR47" i="14"/>
  <c r="BA47" i="14"/>
  <c r="BI47" i="14"/>
  <c r="BQ47" i="14"/>
  <c r="AO47" i="14"/>
  <c r="AW47" i="14"/>
  <c r="BE47" i="14"/>
  <c r="BM47" i="14"/>
  <c r="BU47" i="14"/>
  <c r="CC47" i="14"/>
  <c r="CK47" i="14"/>
  <c r="CS47" i="14"/>
  <c r="AP47" i="14"/>
  <c r="AX47" i="14"/>
  <c r="BF47" i="14"/>
  <c r="BN47" i="14"/>
  <c r="BV47" i="14"/>
  <c r="CD47" i="14"/>
  <c r="CL47" i="14"/>
  <c r="CT47" i="14"/>
  <c r="AQ47" i="14"/>
  <c r="AY47" i="14"/>
  <c r="BG47" i="14"/>
  <c r="BO47" i="14"/>
  <c r="BW47" i="14"/>
  <c r="CE47" i="14"/>
  <c r="CM47" i="14"/>
  <c r="G47" i="14" l="1"/>
  <c r="G48" i="14"/>
  <c r="G46" i="11" l="1"/>
  <c r="G46" i="3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I85" i="6" l="1"/>
  <c r="E32" i="18" l="1"/>
  <c r="D18" i="18"/>
  <c r="D18" i="16"/>
  <c r="E32" i="16"/>
  <c r="E32" i="14"/>
  <c r="D18" i="14"/>
  <c r="E32" i="13"/>
  <c r="D18" i="13"/>
  <c r="E32" i="11"/>
  <c r="E32" i="3" l="1"/>
  <c r="E79" i="6" l="1"/>
  <c r="C79" i="6"/>
  <c r="E77" i="6"/>
  <c r="C77" i="6"/>
  <c r="G47" i="20"/>
  <c r="G55" i="20"/>
  <c r="CS52" i="20"/>
  <c r="CR52" i="20"/>
  <c r="CQ52" i="20"/>
  <c r="CK52" i="20"/>
  <c r="CJ52" i="20"/>
  <c r="CI52" i="20"/>
  <c r="CC52" i="20"/>
  <c r="CB52" i="20"/>
  <c r="CA52" i="20"/>
  <c r="BW52" i="20"/>
  <c r="BU52" i="20"/>
  <c r="BT52" i="20"/>
  <c r="BS52" i="20"/>
  <c r="BM52" i="20"/>
  <c r="BL52" i="20"/>
  <c r="BK52" i="20"/>
  <c r="BG52" i="20"/>
  <c r="BE52" i="20"/>
  <c r="BD52" i="20"/>
  <c r="BC52" i="20"/>
  <c r="G46" i="20"/>
  <c r="F45" i="20"/>
  <c r="G45" i="20" s="1"/>
  <c r="AN45" i="20" s="1"/>
  <c r="F44" i="20"/>
  <c r="G44" i="20" s="1"/>
  <c r="AN44" i="20" s="1"/>
  <c r="E43" i="20"/>
  <c r="F43" i="20" s="1"/>
  <c r="G42" i="20"/>
  <c r="AG42" i="20" s="1"/>
  <c r="G41" i="20"/>
  <c r="D39" i="20"/>
  <c r="D38" i="20"/>
  <c r="F35" i="20"/>
  <c r="G35" i="20" s="1"/>
  <c r="W35" i="20" s="1"/>
  <c r="F33" i="20"/>
  <c r="G33" i="20" s="1"/>
  <c r="W33" i="20" s="1"/>
  <c r="F32" i="20"/>
  <c r="G32" i="20" s="1"/>
  <c r="AN32" i="20" s="1"/>
  <c r="F30" i="20"/>
  <c r="G30" i="20" s="1"/>
  <c r="AN30" i="20" s="1"/>
  <c r="F27" i="20"/>
  <c r="G27" i="20" s="1"/>
  <c r="AN27" i="20" s="1"/>
  <c r="D24" i="20"/>
  <c r="D23" i="20"/>
  <c r="F22" i="20"/>
  <c r="G22" i="20" s="1"/>
  <c r="AM22" i="20" s="1"/>
  <c r="W20" i="20"/>
  <c r="F19" i="20"/>
  <c r="AM21" i="20"/>
  <c r="E18" i="20"/>
  <c r="F17" i="20"/>
  <c r="G17" i="20" s="1"/>
  <c r="F16" i="20"/>
  <c r="E24" i="20" s="1"/>
  <c r="H5" i="20"/>
  <c r="H52" i="20" s="1"/>
  <c r="G5" i="20"/>
  <c r="K4" i="20"/>
  <c r="F4" i="20"/>
  <c r="K3" i="20"/>
  <c r="F3" i="20"/>
  <c r="I2" i="20"/>
  <c r="F2" i="20"/>
  <c r="G47" i="18"/>
  <c r="G55" i="18"/>
  <c r="CT52" i="18"/>
  <c r="CN52" i="18"/>
  <c r="CL52" i="18"/>
  <c r="CK52" i="18"/>
  <c r="BX52" i="18"/>
  <c r="BV52" i="18"/>
  <c r="BU52" i="18"/>
  <c r="BP52" i="18"/>
  <c r="BN52" i="18"/>
  <c r="BM52" i="18"/>
  <c r="BH52" i="18"/>
  <c r="G46" i="18"/>
  <c r="F45" i="18"/>
  <c r="G45" i="18" s="1"/>
  <c r="AN45" i="18" s="1"/>
  <c r="F44" i="18"/>
  <c r="E43" i="18"/>
  <c r="F43" i="18" s="1"/>
  <c r="G43" i="18" s="1"/>
  <c r="CU43" i="18" s="1"/>
  <c r="G42" i="18"/>
  <c r="G41" i="18"/>
  <c r="D39" i="18"/>
  <c r="D38" i="18"/>
  <c r="F35" i="18"/>
  <c r="G35" i="18" s="1"/>
  <c r="W35" i="18" s="1"/>
  <c r="F33" i="18"/>
  <c r="G33" i="18" s="1"/>
  <c r="W33" i="18" s="1"/>
  <c r="F32" i="18"/>
  <c r="G32" i="18" s="1"/>
  <c r="AN32" i="18" s="1"/>
  <c r="F30" i="18"/>
  <c r="G30" i="18" s="1"/>
  <c r="F27" i="18"/>
  <c r="G27" i="18" s="1"/>
  <c r="AN27" i="18" s="1"/>
  <c r="D24" i="18"/>
  <c r="D23" i="18"/>
  <c r="F22" i="18"/>
  <c r="G22" i="18" s="1"/>
  <c r="AM22" i="18" s="1"/>
  <c r="W20" i="18"/>
  <c r="F19" i="18"/>
  <c r="G19" i="18" s="1"/>
  <c r="E18" i="18"/>
  <c r="F17" i="18"/>
  <c r="G17" i="18" s="1"/>
  <c r="D16" i="18"/>
  <c r="F16" i="18" s="1"/>
  <c r="H5" i="18"/>
  <c r="G5" i="18"/>
  <c r="K4" i="18"/>
  <c r="F4" i="18"/>
  <c r="K3" i="18"/>
  <c r="F3" i="18"/>
  <c r="I2" i="18"/>
  <c r="F2" i="18"/>
  <c r="G47" i="16"/>
  <c r="E18" i="16"/>
  <c r="G55" i="16"/>
  <c r="CS52" i="16"/>
  <c r="CE52" i="16"/>
  <c r="BU52" i="16"/>
  <c r="BO52" i="16"/>
  <c r="BC52" i="16"/>
  <c r="G46" i="16"/>
  <c r="F45" i="16"/>
  <c r="G45" i="16" s="1"/>
  <c r="AN45" i="16" s="1"/>
  <c r="F44" i="16"/>
  <c r="G44" i="16" s="1"/>
  <c r="AN44" i="16" s="1"/>
  <c r="E43" i="16"/>
  <c r="F43" i="16" s="1"/>
  <c r="G42" i="16"/>
  <c r="G41" i="16"/>
  <c r="D39" i="16"/>
  <c r="D38" i="16"/>
  <c r="F35" i="16"/>
  <c r="G35" i="16" s="1"/>
  <c r="W35" i="16" s="1"/>
  <c r="F33" i="16"/>
  <c r="G33" i="16" s="1"/>
  <c r="W33" i="16" s="1"/>
  <c r="F32" i="16"/>
  <c r="G32" i="16" s="1"/>
  <c r="AN32" i="16" s="1"/>
  <c r="F30" i="16"/>
  <c r="G30" i="16" s="1"/>
  <c r="F27" i="16"/>
  <c r="G27" i="16" s="1"/>
  <c r="AN27" i="16" s="1"/>
  <c r="D24" i="16"/>
  <c r="D23" i="16"/>
  <c r="F22" i="16"/>
  <c r="G22" i="16" s="1"/>
  <c r="AM22" i="16" s="1"/>
  <c r="F19" i="16"/>
  <c r="G19" i="16" s="1"/>
  <c r="F17" i="16"/>
  <c r="G17" i="16" s="1"/>
  <c r="D16" i="16"/>
  <c r="F16" i="16" s="1"/>
  <c r="H5" i="16"/>
  <c r="H52" i="16" s="1"/>
  <c r="G5" i="16"/>
  <c r="K4" i="16"/>
  <c r="F4" i="16"/>
  <c r="K3" i="16"/>
  <c r="F3" i="16"/>
  <c r="I2" i="16"/>
  <c r="F2" i="16"/>
  <c r="G55" i="14"/>
  <c r="E65" i="6"/>
  <c r="C65" i="6"/>
  <c r="E63" i="6"/>
  <c r="C63" i="6"/>
  <c r="BS52" i="16" l="1"/>
  <c r="CQ52" i="16"/>
  <c r="CA52" i="16"/>
  <c r="BI52" i="16"/>
  <c r="K5" i="16"/>
  <c r="CM52" i="16"/>
  <c r="BG52" i="16"/>
  <c r="AC41" i="16"/>
  <c r="AF41" i="16"/>
  <c r="AB41" i="16"/>
  <c r="Y41" i="16"/>
  <c r="AE41" i="16"/>
  <c r="AA41" i="16"/>
  <c r="AD41" i="16"/>
  <c r="Z41" i="16"/>
  <c r="E5" i="16"/>
  <c r="F5" i="16" s="1"/>
  <c r="AF42" i="16"/>
  <c r="AB42" i="16"/>
  <c r="AC42" i="16"/>
  <c r="AE42" i="16"/>
  <c r="AA42" i="16"/>
  <c r="Y42" i="16"/>
  <c r="Z42" i="16"/>
  <c r="AD42" i="16"/>
  <c r="BG52" i="18"/>
  <c r="CS52" i="18"/>
  <c r="BD52" i="18"/>
  <c r="BL52" i="18"/>
  <c r="CB52" i="18"/>
  <c r="K5" i="18"/>
  <c r="E5" i="18"/>
  <c r="F5" i="18" s="1"/>
  <c r="CE52" i="18"/>
  <c r="BI52" i="18"/>
  <c r="G16" i="18"/>
  <c r="X16" i="18" s="1"/>
  <c r="X20" i="18" s="1"/>
  <c r="E8" i="18"/>
  <c r="F8" i="18" s="1"/>
  <c r="G8" i="18" s="1"/>
  <c r="Y8" i="18" s="1"/>
  <c r="E7" i="18"/>
  <c r="F7" i="18" s="1"/>
  <c r="G7" i="18" s="1"/>
  <c r="Y7" i="18" s="1"/>
  <c r="E6" i="18"/>
  <c r="F6" i="18" s="1"/>
  <c r="E20" i="18"/>
  <c r="F20" i="18" s="1"/>
  <c r="G20" i="18" s="1"/>
  <c r="AP52" i="18"/>
  <c r="AF42" i="18"/>
  <c r="AB42" i="18"/>
  <c r="AE42" i="18"/>
  <c r="AA42" i="18"/>
  <c r="AD42" i="18"/>
  <c r="Z42" i="18"/>
  <c r="Y42" i="18"/>
  <c r="AC42" i="18"/>
  <c r="BO52" i="18"/>
  <c r="CF52" i="18"/>
  <c r="BQ52" i="18"/>
  <c r="CG52" i="18"/>
  <c r="CO52" i="18"/>
  <c r="AF41" i="18"/>
  <c r="AB41" i="18"/>
  <c r="AE41" i="18"/>
  <c r="AA41" i="18"/>
  <c r="AC41" i="18"/>
  <c r="AD41" i="18"/>
  <c r="Z41" i="18"/>
  <c r="Y41" i="18"/>
  <c r="BC52" i="18"/>
  <c r="BK52" i="18"/>
  <c r="CA52" i="18"/>
  <c r="CI52" i="18"/>
  <c r="BJ52" i="18"/>
  <c r="BR52" i="18"/>
  <c r="CH52" i="18"/>
  <c r="CP52" i="18"/>
  <c r="E5" i="20"/>
  <c r="F5" i="20" s="1"/>
  <c r="BH52" i="20"/>
  <c r="BP52" i="20"/>
  <c r="BX52" i="20"/>
  <c r="CF52" i="20"/>
  <c r="CN52" i="20"/>
  <c r="F24" i="20"/>
  <c r="G24" i="20" s="1"/>
  <c r="N24" i="20" s="1"/>
  <c r="E8" i="20"/>
  <c r="F8" i="20" s="1"/>
  <c r="G8" i="20" s="1"/>
  <c r="X8" i="20" s="1"/>
  <c r="CM52" i="20"/>
  <c r="BE52" i="18"/>
  <c r="CC52" i="18"/>
  <c r="BF52" i="18"/>
  <c r="CD52" i="18"/>
  <c r="BS52" i="18"/>
  <c r="CQ52" i="18"/>
  <c r="BT52" i="18"/>
  <c r="BW52" i="18"/>
  <c r="BY52" i="18"/>
  <c r="BZ52" i="18"/>
  <c r="CM52" i="18"/>
  <c r="BW52" i="16"/>
  <c r="CI52" i="16"/>
  <c r="BK52" i="16"/>
  <c r="BM52" i="16"/>
  <c r="BY52" i="16"/>
  <c r="CK52" i="16"/>
  <c r="BE52" i="16"/>
  <c r="CC52" i="16"/>
  <c r="BQ52" i="16"/>
  <c r="BJ52" i="20"/>
  <c r="BR52" i="20"/>
  <c r="BZ52" i="20"/>
  <c r="CH52" i="20"/>
  <c r="CP52" i="20"/>
  <c r="BF52" i="20"/>
  <c r="BN52" i="20"/>
  <c r="BV52" i="20"/>
  <c r="CD52" i="20"/>
  <c r="CL52" i="20"/>
  <c r="CT52" i="20"/>
  <c r="BO52" i="20"/>
  <c r="CE52" i="20"/>
  <c r="BI52" i="20"/>
  <c r="BQ52" i="20"/>
  <c r="BY52" i="20"/>
  <c r="CG52" i="20"/>
  <c r="CO52" i="20"/>
  <c r="G43" i="20"/>
  <c r="CU43" i="20" s="1"/>
  <c r="AJ42" i="20"/>
  <c r="X42" i="20"/>
  <c r="Z42" i="20"/>
  <c r="AA42" i="20"/>
  <c r="AB42" i="20"/>
  <c r="AF42" i="20"/>
  <c r="AH42" i="20"/>
  <c r="AI42" i="20"/>
  <c r="E6" i="20"/>
  <c r="F6" i="20" s="1"/>
  <c r="E7" i="20"/>
  <c r="F7" i="20" s="1"/>
  <c r="G7" i="20" s="1"/>
  <c r="Y7" i="20" s="1"/>
  <c r="Y17" i="20"/>
  <c r="X17" i="20"/>
  <c r="K5" i="20"/>
  <c r="AJ41" i="20"/>
  <c r="AB41" i="20"/>
  <c r="AI41" i="20"/>
  <c r="AA41" i="20"/>
  <c r="AL41" i="20"/>
  <c r="AH41" i="20"/>
  <c r="Z41" i="20"/>
  <c r="AC41" i="20"/>
  <c r="AG41" i="20"/>
  <c r="Y41" i="20"/>
  <c r="AF41" i="20"/>
  <c r="X41" i="20"/>
  <c r="AD41" i="20"/>
  <c r="AK41" i="20"/>
  <c r="AM41" i="20"/>
  <c r="AE41" i="20"/>
  <c r="G19" i="20"/>
  <c r="E20" i="20"/>
  <c r="AC42" i="20"/>
  <c r="AK42" i="20"/>
  <c r="AD42" i="20"/>
  <c r="AL42" i="20"/>
  <c r="AE42" i="20"/>
  <c r="AM42" i="20"/>
  <c r="I5" i="20"/>
  <c r="G16" i="20"/>
  <c r="Y42" i="20"/>
  <c r="F18" i="20"/>
  <c r="BH52" i="16"/>
  <c r="BP52" i="16"/>
  <c r="BX52" i="16"/>
  <c r="CF52" i="16"/>
  <c r="CN52" i="16"/>
  <c r="AV52" i="18"/>
  <c r="CJ52" i="18"/>
  <c r="CR52" i="18"/>
  <c r="I5" i="18"/>
  <c r="I52" i="18" s="1"/>
  <c r="AX52" i="18"/>
  <c r="BB52" i="18"/>
  <c r="X17" i="18"/>
  <c r="Y17" i="18"/>
  <c r="G6" i="18"/>
  <c r="AU52" i="18"/>
  <c r="AN30" i="18"/>
  <c r="AO52" i="18"/>
  <c r="AW52" i="18"/>
  <c r="G44" i="18"/>
  <c r="AN44" i="18" s="1"/>
  <c r="AQ52" i="18"/>
  <c r="AY52" i="18"/>
  <c r="AR52" i="18"/>
  <c r="AZ52" i="18"/>
  <c r="E24" i="18"/>
  <c r="F24" i="18" s="1"/>
  <c r="G24" i="18" s="1"/>
  <c r="AS52" i="18"/>
  <c r="BA52" i="18"/>
  <c r="F18" i="18"/>
  <c r="AT52" i="18"/>
  <c r="BF52" i="16"/>
  <c r="BN52" i="16"/>
  <c r="BV52" i="16"/>
  <c r="CD52" i="16"/>
  <c r="CL52" i="16"/>
  <c r="CT52" i="16"/>
  <c r="CG52" i="16"/>
  <c r="CO52" i="16"/>
  <c r="BJ52" i="16"/>
  <c r="BR52" i="16"/>
  <c r="BZ52" i="16"/>
  <c r="CH52" i="16"/>
  <c r="CP52" i="16"/>
  <c r="BD52" i="16"/>
  <c r="BL52" i="16"/>
  <c r="BT52" i="16"/>
  <c r="CB52" i="16"/>
  <c r="CJ52" i="16"/>
  <c r="CR52" i="16"/>
  <c r="G43" i="16"/>
  <c r="CU43" i="16" s="1"/>
  <c r="E24" i="16"/>
  <c r="F24" i="16" s="1"/>
  <c r="G24" i="16" s="1"/>
  <c r="G16" i="16"/>
  <c r="E7" i="16"/>
  <c r="F7" i="16" s="1"/>
  <c r="G7" i="16" s="1"/>
  <c r="E20" i="16"/>
  <c r="E8" i="16"/>
  <c r="F8" i="16" s="1"/>
  <c r="G8" i="16" s="1"/>
  <c r="E6" i="16"/>
  <c r="F6" i="16" s="1"/>
  <c r="AN30" i="16"/>
  <c r="Y17" i="16"/>
  <c r="X17" i="16"/>
  <c r="AU52" i="16"/>
  <c r="S52" i="16"/>
  <c r="AO52" i="16"/>
  <c r="AW52" i="16"/>
  <c r="AP52" i="16"/>
  <c r="AX52" i="16"/>
  <c r="V52" i="16"/>
  <c r="I5" i="16"/>
  <c r="O52" i="16"/>
  <c r="AR52" i="16"/>
  <c r="F18" i="16"/>
  <c r="AS52" i="16"/>
  <c r="CT52" i="14"/>
  <c r="CS52" i="14"/>
  <c r="CR52" i="14"/>
  <c r="CQ52" i="14"/>
  <c r="CP52" i="14"/>
  <c r="CO52" i="14"/>
  <c r="CN52" i="14"/>
  <c r="CM52" i="14"/>
  <c r="CL52" i="14"/>
  <c r="CK52" i="14"/>
  <c r="CJ52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G46" i="14"/>
  <c r="F45" i="14"/>
  <c r="G45" i="14" s="1"/>
  <c r="AN45" i="14" s="1"/>
  <c r="F44" i="14"/>
  <c r="G44" i="14" s="1"/>
  <c r="AN44" i="14" s="1"/>
  <c r="E43" i="14"/>
  <c r="F43" i="14" s="1"/>
  <c r="G42" i="14"/>
  <c r="G41" i="14"/>
  <c r="D39" i="14"/>
  <c r="D38" i="14"/>
  <c r="F35" i="14"/>
  <c r="G35" i="14" s="1"/>
  <c r="W35" i="14" s="1"/>
  <c r="F33" i="14"/>
  <c r="G33" i="14" s="1"/>
  <c r="W33" i="14" s="1"/>
  <c r="F32" i="14"/>
  <c r="G32" i="14" s="1"/>
  <c r="AN32" i="14" s="1"/>
  <c r="F30" i="14"/>
  <c r="G30" i="14" s="1"/>
  <c r="F27" i="14"/>
  <c r="G27" i="14" s="1"/>
  <c r="AN27" i="14" s="1"/>
  <c r="D24" i="14"/>
  <c r="D23" i="14"/>
  <c r="F22" i="14"/>
  <c r="G22" i="14" s="1"/>
  <c r="AM22" i="14" s="1"/>
  <c r="F19" i="14"/>
  <c r="G19" i="14" s="1"/>
  <c r="D35" i="10" s="1"/>
  <c r="E18" i="14"/>
  <c r="F17" i="14"/>
  <c r="G17" i="14" s="1"/>
  <c r="D16" i="14"/>
  <c r="F16" i="14" s="1"/>
  <c r="G16" i="14" s="1"/>
  <c r="H5" i="14"/>
  <c r="G5" i="14"/>
  <c r="K4" i="14"/>
  <c r="F4" i="14"/>
  <c r="K3" i="14"/>
  <c r="F3" i="14"/>
  <c r="I2" i="14"/>
  <c r="F2" i="14"/>
  <c r="K5" i="14" l="1"/>
  <c r="E7" i="14"/>
  <c r="F7" i="14" s="1"/>
  <c r="G7" i="14" s="1"/>
  <c r="X7" i="14" s="1"/>
  <c r="AA41" i="14"/>
  <c r="Y41" i="14"/>
  <c r="AF41" i="14"/>
  <c r="AB41" i="14"/>
  <c r="AE41" i="14"/>
  <c r="Z41" i="14"/>
  <c r="AD41" i="14"/>
  <c r="AC41" i="14"/>
  <c r="Q35" i="10"/>
  <c r="I35" i="10"/>
  <c r="G35" i="10"/>
  <c r="N35" i="10"/>
  <c r="F35" i="10"/>
  <c r="L35" i="10"/>
  <c r="P35" i="10"/>
  <c r="H35" i="10"/>
  <c r="O35" i="10"/>
  <c r="E35" i="10"/>
  <c r="K35" i="10"/>
  <c r="J35" i="10"/>
  <c r="M35" i="10"/>
  <c r="AF42" i="14"/>
  <c r="AB42" i="14"/>
  <c r="AA42" i="14"/>
  <c r="AD42" i="14"/>
  <c r="Z42" i="14"/>
  <c r="AE42" i="14"/>
  <c r="AC42" i="14"/>
  <c r="Y42" i="14"/>
  <c r="Y16" i="18"/>
  <c r="Y20" i="18" s="1"/>
  <c r="Y13" i="18"/>
  <c r="X7" i="18"/>
  <c r="X8" i="18"/>
  <c r="E13" i="18"/>
  <c r="F13" i="18" s="1"/>
  <c r="G13" i="18" s="1"/>
  <c r="BC53" i="18"/>
  <c r="G6" i="20"/>
  <c r="M6" i="20" s="1"/>
  <c r="M13" i="20" s="1"/>
  <c r="P24" i="20"/>
  <c r="Y8" i="20"/>
  <c r="Y13" i="20" s="1"/>
  <c r="X7" i="20"/>
  <c r="CA53" i="18"/>
  <c r="BO53" i="18"/>
  <c r="E31" i="18"/>
  <c r="F31" i="18" s="1"/>
  <c r="G31" i="18" s="1"/>
  <c r="E29" i="18"/>
  <c r="F29" i="18" s="1"/>
  <c r="G29" i="18" s="1"/>
  <c r="AN29" i="18" s="1"/>
  <c r="E28" i="18"/>
  <c r="F28" i="18" s="1"/>
  <c r="G28" i="18" s="1"/>
  <c r="AN28" i="18" s="1"/>
  <c r="E26" i="18"/>
  <c r="F26" i="18" s="1"/>
  <c r="G26" i="18" s="1"/>
  <c r="AN26" i="18" s="1"/>
  <c r="E25" i="18"/>
  <c r="E12" i="18"/>
  <c r="F12" i="18" s="1"/>
  <c r="G12" i="18" s="1"/>
  <c r="AM12" i="18" s="1"/>
  <c r="E31" i="16"/>
  <c r="F31" i="16" s="1"/>
  <c r="G31" i="16" s="1"/>
  <c r="E29" i="16"/>
  <c r="F29" i="16" s="1"/>
  <c r="G29" i="16" s="1"/>
  <c r="AN29" i="16" s="1"/>
  <c r="E28" i="16"/>
  <c r="F28" i="16" s="1"/>
  <c r="G28" i="16" s="1"/>
  <c r="AN28" i="16" s="1"/>
  <c r="E26" i="16"/>
  <c r="F26" i="16" s="1"/>
  <c r="G26" i="16" s="1"/>
  <c r="AN26" i="16" s="1"/>
  <c r="E25" i="16"/>
  <c r="F25" i="16" s="1"/>
  <c r="G25" i="16" s="1"/>
  <c r="AN25" i="16" s="1"/>
  <c r="CA53" i="20"/>
  <c r="BO53" i="20"/>
  <c r="BC53" i="20"/>
  <c r="I58" i="18"/>
  <c r="J58" i="18"/>
  <c r="CA53" i="16"/>
  <c r="E12" i="20"/>
  <c r="F12" i="20" s="1"/>
  <c r="G12" i="20" s="1"/>
  <c r="AM12" i="20" s="1"/>
  <c r="E13" i="20"/>
  <c r="F13" i="20" s="1"/>
  <c r="G13" i="20" s="1"/>
  <c r="X13" i="20"/>
  <c r="X16" i="20"/>
  <c r="X20" i="20" s="1"/>
  <c r="Y16" i="20"/>
  <c r="Y20" i="20" s="1"/>
  <c r="F20" i="20"/>
  <c r="F26" i="20"/>
  <c r="G26" i="20" s="1"/>
  <c r="AN26" i="20" s="1"/>
  <c r="E9" i="20"/>
  <c r="F9" i="20" s="1"/>
  <c r="F28" i="20"/>
  <c r="G28" i="20" s="1"/>
  <c r="AN28" i="20" s="1"/>
  <c r="E11" i="20"/>
  <c r="F11" i="20" s="1"/>
  <c r="G11" i="20" s="1"/>
  <c r="E10" i="20"/>
  <c r="F10" i="20" s="1"/>
  <c r="G10" i="20" s="1"/>
  <c r="E31" i="20"/>
  <c r="F31" i="20" s="1"/>
  <c r="G31" i="20" s="1"/>
  <c r="F25" i="20"/>
  <c r="G25" i="20" s="1"/>
  <c r="E15" i="20"/>
  <c r="F15" i="20" s="1"/>
  <c r="G15" i="20" s="1"/>
  <c r="F29" i="20"/>
  <c r="G29" i="20" s="1"/>
  <c r="AN29" i="20" s="1"/>
  <c r="E21" i="20"/>
  <c r="G18" i="20"/>
  <c r="E23" i="20"/>
  <c r="F23" i="20" s="1"/>
  <c r="G23" i="20" s="1"/>
  <c r="BC53" i="16"/>
  <c r="BO53" i="16"/>
  <c r="P24" i="18"/>
  <c r="N24" i="18"/>
  <c r="N52" i="18" s="1"/>
  <c r="AQ53" i="18"/>
  <c r="M6" i="18"/>
  <c r="E23" i="18"/>
  <c r="F23" i="18" s="1"/>
  <c r="G23" i="18" s="1"/>
  <c r="E9" i="18"/>
  <c r="F9" i="18" s="1"/>
  <c r="E11" i="18"/>
  <c r="F11" i="18" s="1"/>
  <c r="G11" i="18" s="1"/>
  <c r="E10" i="18"/>
  <c r="F10" i="18" s="1"/>
  <c r="G10" i="18" s="1"/>
  <c r="F25" i="18"/>
  <c r="G25" i="18" s="1"/>
  <c r="AN25" i="18" s="1"/>
  <c r="G18" i="18"/>
  <c r="E21" i="18"/>
  <c r="E15" i="18"/>
  <c r="F15" i="18" s="1"/>
  <c r="G15" i="18" s="1"/>
  <c r="AT52" i="16"/>
  <c r="U52" i="16"/>
  <c r="BA52" i="16"/>
  <c r="BB52" i="16"/>
  <c r="I52" i="16"/>
  <c r="I58" i="16" s="1"/>
  <c r="L52" i="16"/>
  <c r="J52" i="16"/>
  <c r="AY52" i="16"/>
  <c r="AV52" i="16"/>
  <c r="AZ52" i="16"/>
  <c r="AQ52" i="16"/>
  <c r="N52" i="16"/>
  <c r="P24" i="16"/>
  <c r="N24" i="16"/>
  <c r="X16" i="16"/>
  <c r="X20" i="16" s="1"/>
  <c r="Y16" i="16"/>
  <c r="Y20" i="16" s="1"/>
  <c r="X7" i="16"/>
  <c r="Y7" i="16"/>
  <c r="E13" i="16"/>
  <c r="F13" i="16" s="1"/>
  <c r="G13" i="16" s="1"/>
  <c r="G6" i="16"/>
  <c r="E9" i="16"/>
  <c r="F9" i="16" s="1"/>
  <c r="E12" i="16"/>
  <c r="F12" i="16" s="1"/>
  <c r="E11" i="16"/>
  <c r="F11" i="16" s="1"/>
  <c r="G11" i="16" s="1"/>
  <c r="E10" i="16"/>
  <c r="F10" i="16" s="1"/>
  <c r="G10" i="16" s="1"/>
  <c r="G18" i="16"/>
  <c r="E15" i="16"/>
  <c r="F15" i="16" s="1"/>
  <c r="G15" i="16" s="1"/>
  <c r="E21" i="16"/>
  <c r="E23" i="16"/>
  <c r="F23" i="16" s="1"/>
  <c r="G23" i="16" s="1"/>
  <c r="Y8" i="16"/>
  <c r="X8" i="16"/>
  <c r="F20" i="16"/>
  <c r="G20" i="16" s="1"/>
  <c r="CA53" i="14"/>
  <c r="BC53" i="14"/>
  <c r="E5" i="14"/>
  <c r="F5" i="14" s="1"/>
  <c r="Y16" i="14"/>
  <c r="Y20" i="14" s="1"/>
  <c r="X16" i="14"/>
  <c r="X20" i="14" s="1"/>
  <c r="AN30" i="14"/>
  <c r="Y17" i="14"/>
  <c r="X17" i="14"/>
  <c r="G43" i="14"/>
  <c r="CU43" i="14" s="1"/>
  <c r="I5" i="14"/>
  <c r="BA52" i="14"/>
  <c r="AS52" i="14"/>
  <c r="AT52" i="14"/>
  <c r="AZ52" i="14"/>
  <c r="AR52" i="14"/>
  <c r="AU52" i="14"/>
  <c r="AY52" i="14"/>
  <c r="AQ52" i="14"/>
  <c r="AX52" i="14"/>
  <c r="AP52" i="14"/>
  <c r="AW52" i="14"/>
  <c r="AO52" i="14"/>
  <c r="BB52" i="14"/>
  <c r="AV52" i="14"/>
  <c r="F18" i="14"/>
  <c r="BO53" i="14"/>
  <c r="E20" i="14"/>
  <c r="E6" i="14"/>
  <c r="F6" i="14" s="1"/>
  <c r="E8" i="14"/>
  <c r="F8" i="14" s="1"/>
  <c r="G8" i="14" s="1"/>
  <c r="E24" i="14"/>
  <c r="F24" i="14" s="1"/>
  <c r="G24" i="14" s="1"/>
  <c r="E51" i="6"/>
  <c r="C51" i="6"/>
  <c r="E49" i="6"/>
  <c r="C49" i="6"/>
  <c r="D16" i="13"/>
  <c r="F16" i="13" s="1"/>
  <c r="G55" i="13"/>
  <c r="CT52" i="13"/>
  <c r="CS52" i="13"/>
  <c r="CR52" i="13"/>
  <c r="CQ52" i="13"/>
  <c r="CP52" i="13"/>
  <c r="CO52" i="13"/>
  <c r="CN52" i="13"/>
  <c r="CM52" i="13"/>
  <c r="CL52" i="13"/>
  <c r="CK52" i="13"/>
  <c r="CJ52" i="13"/>
  <c r="CI52" i="13"/>
  <c r="CH52" i="13"/>
  <c r="CG52" i="13"/>
  <c r="CF52" i="13"/>
  <c r="CE52" i="13"/>
  <c r="CD52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BP52" i="13"/>
  <c r="BO52" i="13"/>
  <c r="BN52" i="13"/>
  <c r="BM52" i="13"/>
  <c r="BL52" i="13"/>
  <c r="BK52" i="13"/>
  <c r="BJ52" i="13"/>
  <c r="BI52" i="13"/>
  <c r="BH52" i="13"/>
  <c r="BG52" i="13"/>
  <c r="BF52" i="13"/>
  <c r="BE52" i="13"/>
  <c r="BD52" i="13"/>
  <c r="BC52" i="13"/>
  <c r="F45" i="13"/>
  <c r="G45" i="13" s="1"/>
  <c r="AN45" i="13" s="1"/>
  <c r="F44" i="13"/>
  <c r="G44" i="13" s="1"/>
  <c r="AN44" i="13" s="1"/>
  <c r="E43" i="13"/>
  <c r="F43" i="13" s="1"/>
  <c r="G42" i="13"/>
  <c r="G41" i="13"/>
  <c r="D39" i="13"/>
  <c r="D38" i="13"/>
  <c r="F35" i="13"/>
  <c r="G35" i="13" s="1"/>
  <c r="W35" i="13" s="1"/>
  <c r="F33" i="13"/>
  <c r="G33" i="13" s="1"/>
  <c r="W33" i="13" s="1"/>
  <c r="F32" i="13"/>
  <c r="G32" i="13" s="1"/>
  <c r="AN32" i="13" s="1"/>
  <c r="F30" i="13"/>
  <c r="G30" i="13" s="1"/>
  <c r="F27" i="13"/>
  <c r="G27" i="13" s="1"/>
  <c r="AN27" i="13" s="1"/>
  <c r="D24" i="13"/>
  <c r="D23" i="13"/>
  <c r="F22" i="13"/>
  <c r="G22" i="13" s="1"/>
  <c r="AM22" i="13" s="1"/>
  <c r="F19" i="13"/>
  <c r="E18" i="13"/>
  <c r="F18" i="13" s="1"/>
  <c r="F17" i="13"/>
  <c r="G17" i="13" s="1"/>
  <c r="H5" i="13"/>
  <c r="G5" i="13"/>
  <c r="K4" i="13"/>
  <c r="F4" i="13"/>
  <c r="K3" i="13"/>
  <c r="F3" i="13"/>
  <c r="I2" i="13"/>
  <c r="F2" i="13"/>
  <c r="E37" i="6"/>
  <c r="C37" i="6"/>
  <c r="E35" i="6"/>
  <c r="C35" i="6"/>
  <c r="D18" i="12"/>
  <c r="G55" i="12"/>
  <c r="CT52" i="12"/>
  <c r="CS52" i="12"/>
  <c r="CR52" i="12"/>
  <c r="CQ52" i="12"/>
  <c r="CP52" i="12"/>
  <c r="CO52" i="12"/>
  <c r="CN52" i="12"/>
  <c r="CM52" i="12"/>
  <c r="CL52" i="12"/>
  <c r="CK52" i="12"/>
  <c r="CJ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F45" i="12"/>
  <c r="G45" i="12" s="1"/>
  <c r="AN45" i="12" s="1"/>
  <c r="F44" i="12"/>
  <c r="G44" i="12" s="1"/>
  <c r="AN44" i="12" s="1"/>
  <c r="E43" i="12"/>
  <c r="G42" i="12"/>
  <c r="G41" i="12"/>
  <c r="AK41" i="12" s="1"/>
  <c r="D39" i="12"/>
  <c r="D38" i="12"/>
  <c r="F35" i="12"/>
  <c r="G35" i="12" s="1"/>
  <c r="W35" i="12" s="1"/>
  <c r="F33" i="12"/>
  <c r="G33" i="12" s="1"/>
  <c r="W33" i="12" s="1"/>
  <c r="E32" i="12"/>
  <c r="F32" i="12" s="1"/>
  <c r="G32" i="12" s="1"/>
  <c r="AN32" i="12" s="1"/>
  <c r="F30" i="12"/>
  <c r="G30" i="12" s="1"/>
  <c r="F27" i="12"/>
  <c r="G27" i="12" s="1"/>
  <c r="AN27" i="12" s="1"/>
  <c r="D24" i="12"/>
  <c r="D23" i="12"/>
  <c r="F22" i="12"/>
  <c r="G22" i="12" s="1"/>
  <c r="AM22" i="12" s="1"/>
  <c r="E19" i="12"/>
  <c r="F19" i="12" s="1"/>
  <c r="E18" i="12"/>
  <c r="F17" i="12"/>
  <c r="G17" i="12" s="1"/>
  <c r="Y17" i="12" s="1"/>
  <c r="D16" i="12"/>
  <c r="F16" i="12" s="1"/>
  <c r="H5" i="12"/>
  <c r="H52" i="12" s="1"/>
  <c r="G5" i="12"/>
  <c r="K4" i="12"/>
  <c r="F4" i="12"/>
  <c r="K3" i="12"/>
  <c r="F3" i="12"/>
  <c r="I2" i="12"/>
  <c r="F2" i="12"/>
  <c r="F43" i="12" l="1"/>
  <c r="G43" i="12" s="1"/>
  <c r="AN43" i="12" s="1"/>
  <c r="K5" i="12"/>
  <c r="E24" i="12"/>
  <c r="F24" i="12" s="1"/>
  <c r="G24" i="12" s="1"/>
  <c r="E8" i="12"/>
  <c r="F8" i="12" s="1"/>
  <c r="G8" i="12" s="1"/>
  <c r="E7" i="12"/>
  <c r="F7" i="12" s="1"/>
  <c r="G7" i="12" s="1"/>
  <c r="E6" i="12"/>
  <c r="F6" i="12" s="1"/>
  <c r="E5" i="12"/>
  <c r="F5" i="12" s="1"/>
  <c r="AG42" i="12"/>
  <c r="AC42" i="12"/>
  <c r="AA42" i="12"/>
  <c r="Z42" i="12"/>
  <c r="X42" i="12"/>
  <c r="AK42" i="12"/>
  <c r="AI42" i="12"/>
  <c r="AH42" i="12"/>
  <c r="AF42" i="12"/>
  <c r="E20" i="12"/>
  <c r="F20" i="12" s="1"/>
  <c r="G20" i="12" s="1"/>
  <c r="E5" i="13"/>
  <c r="F5" i="13" s="1"/>
  <c r="Y41" i="13"/>
  <c r="AF41" i="13"/>
  <c r="AB41" i="13"/>
  <c r="AA41" i="13"/>
  <c r="AD41" i="13"/>
  <c r="AE41" i="13"/>
  <c r="AC41" i="13"/>
  <c r="Z41" i="13"/>
  <c r="AF42" i="13"/>
  <c r="AB42" i="13"/>
  <c r="Y42" i="13"/>
  <c r="AE42" i="13"/>
  <c r="AA42" i="13"/>
  <c r="Z42" i="13"/>
  <c r="AC42" i="13"/>
  <c r="AD42" i="13"/>
  <c r="H52" i="13"/>
  <c r="Y7" i="14"/>
  <c r="X13" i="18"/>
  <c r="Y18" i="20"/>
  <c r="X18" i="20"/>
  <c r="E31" i="14"/>
  <c r="F31" i="14" s="1"/>
  <c r="G31" i="14" s="1"/>
  <c r="E29" i="14"/>
  <c r="F29" i="14" s="1"/>
  <c r="G29" i="14" s="1"/>
  <c r="AN29" i="14" s="1"/>
  <c r="E28" i="14"/>
  <c r="E26" i="14"/>
  <c r="F26" i="14" s="1"/>
  <c r="G26" i="14" s="1"/>
  <c r="AN26" i="14" s="1"/>
  <c r="E25" i="14"/>
  <c r="F25" i="14" s="1"/>
  <c r="G25" i="14" s="1"/>
  <c r="AN25" i="14" s="1"/>
  <c r="E28" i="13"/>
  <c r="F28" i="13" s="1"/>
  <c r="G28" i="13" s="1"/>
  <c r="AN28" i="13" s="1"/>
  <c r="E25" i="13"/>
  <c r="F25" i="13" s="1"/>
  <c r="G25" i="13" s="1"/>
  <c r="AN25" i="13" s="1"/>
  <c r="E26" i="13"/>
  <c r="F26" i="13" s="1"/>
  <c r="G26" i="13" s="1"/>
  <c r="AN26" i="13" s="1"/>
  <c r="E29" i="13"/>
  <c r="E31" i="13"/>
  <c r="E9" i="13"/>
  <c r="F9" i="13" s="1"/>
  <c r="J52" i="13"/>
  <c r="E21" i="13"/>
  <c r="J58" i="16"/>
  <c r="AN25" i="20"/>
  <c r="AJ19" i="18"/>
  <c r="AJ19" i="14"/>
  <c r="AC19" i="18"/>
  <c r="AC21" i="18" s="1"/>
  <c r="AC19" i="14"/>
  <c r="Z19" i="14"/>
  <c r="Z19" i="18"/>
  <c r="Z21" i="18" s="1"/>
  <c r="AK19" i="18"/>
  <c r="AK19" i="14"/>
  <c r="AH19" i="14"/>
  <c r="AH19" i="18"/>
  <c r="AB19" i="18"/>
  <c r="AB21" i="18" s="1"/>
  <c r="AB19" i="14"/>
  <c r="AE19" i="18"/>
  <c r="AE19" i="14"/>
  <c r="AD19" i="18"/>
  <c r="AD21" i="18" s="1"/>
  <c r="AD19" i="14"/>
  <c r="AA19" i="14"/>
  <c r="AA19" i="18"/>
  <c r="AA21" i="18" s="1"/>
  <c r="AL19" i="18"/>
  <c r="AL19" i="14"/>
  <c r="AI19" i="14"/>
  <c r="AI19" i="18"/>
  <c r="AF19" i="18"/>
  <c r="AF19" i="14"/>
  <c r="AG19" i="18"/>
  <c r="AG19" i="14"/>
  <c r="G20" i="20"/>
  <c r="AV52" i="20"/>
  <c r="V52" i="20"/>
  <c r="AW52" i="20"/>
  <c r="AU52" i="20"/>
  <c r="U52" i="20"/>
  <c r="AT52" i="20"/>
  <c r="L52" i="20"/>
  <c r="BA52" i="20"/>
  <c r="AS52" i="20"/>
  <c r="S52" i="20"/>
  <c r="AZ52" i="20"/>
  <c r="AR52" i="20"/>
  <c r="AO52" i="20"/>
  <c r="AY52" i="20"/>
  <c r="AQ52" i="20"/>
  <c r="O52" i="20"/>
  <c r="AX52" i="20"/>
  <c r="AP52" i="20"/>
  <c r="BB52" i="20"/>
  <c r="N52" i="20"/>
  <c r="AI31" i="20"/>
  <c r="AA31" i="20"/>
  <c r="AH31" i="20"/>
  <c r="Z31" i="20"/>
  <c r="AK31" i="20"/>
  <c r="AG31" i="20"/>
  <c r="Y31" i="20"/>
  <c r="AF31" i="20"/>
  <c r="X31" i="20"/>
  <c r="AM31" i="20"/>
  <c r="AE31" i="20"/>
  <c r="AC31" i="20"/>
  <c r="AL31" i="20"/>
  <c r="AD31" i="20"/>
  <c r="AJ31" i="20"/>
  <c r="AB31" i="20"/>
  <c r="AH10" i="20"/>
  <c r="Z10" i="20"/>
  <c r="AG10" i="20"/>
  <c r="AF10" i="20"/>
  <c r="AJ10" i="20"/>
  <c r="AM10" i="20"/>
  <c r="AE10" i="20"/>
  <c r="AL10" i="20"/>
  <c r="AD10" i="20"/>
  <c r="AK10" i="20"/>
  <c r="AC10" i="20"/>
  <c r="AB10" i="20"/>
  <c r="AI10" i="20"/>
  <c r="AA10" i="20"/>
  <c r="T23" i="20"/>
  <c r="T52" i="20" s="1"/>
  <c r="Q23" i="20"/>
  <c r="AG11" i="20"/>
  <c r="AF11" i="20"/>
  <c r="AA11" i="20"/>
  <c r="AM11" i="20"/>
  <c r="AE11" i="20"/>
  <c r="AL11" i="20"/>
  <c r="AD11" i="20"/>
  <c r="AK11" i="20"/>
  <c r="AC11" i="20"/>
  <c r="AI11" i="20"/>
  <c r="AJ11" i="20"/>
  <c r="AB11" i="20"/>
  <c r="AH11" i="20"/>
  <c r="Z11" i="20"/>
  <c r="F21" i="20"/>
  <c r="G21" i="20" s="1"/>
  <c r="G9" i="20"/>
  <c r="E14" i="20"/>
  <c r="F14" i="20" s="1"/>
  <c r="G14" i="20" s="1"/>
  <c r="AI12" i="20"/>
  <c r="AA12" i="20"/>
  <c r="AH12" i="20"/>
  <c r="Z12" i="20"/>
  <c r="AG12" i="20"/>
  <c r="Y12" i="20"/>
  <c r="AK12" i="20"/>
  <c r="AN12" i="20"/>
  <c r="AF12" i="20"/>
  <c r="X12" i="20"/>
  <c r="AC12" i="20"/>
  <c r="AE12" i="20"/>
  <c r="R12" i="20"/>
  <c r="AL12" i="20"/>
  <c r="AD12" i="20"/>
  <c r="P12" i="20"/>
  <c r="K12" i="20"/>
  <c r="AB12" i="20"/>
  <c r="AJ12" i="20"/>
  <c r="AI15" i="20"/>
  <c r="AA15" i="20"/>
  <c r="AH15" i="20"/>
  <c r="Z15" i="20"/>
  <c r="AC15" i="20"/>
  <c r="AG15" i="20"/>
  <c r="AF15" i="20"/>
  <c r="AM15" i="20"/>
  <c r="AE15" i="20"/>
  <c r="AL15" i="20"/>
  <c r="AD15" i="20"/>
  <c r="AK15" i="20"/>
  <c r="AJ15" i="20"/>
  <c r="AB15" i="20"/>
  <c r="E14" i="18"/>
  <c r="F14" i="18" s="1"/>
  <c r="G14" i="18" s="1"/>
  <c r="G9" i="18"/>
  <c r="T23" i="18"/>
  <c r="T52" i="18" s="1"/>
  <c r="Q23" i="18"/>
  <c r="Q52" i="18" s="1"/>
  <c r="AJ31" i="18"/>
  <c r="AB31" i="18"/>
  <c r="AF31" i="18"/>
  <c r="X31" i="18"/>
  <c r="AI31" i="18"/>
  <c r="AA31" i="18"/>
  <c r="AH31" i="18"/>
  <c r="Z31" i="18"/>
  <c r="AG31" i="18"/>
  <c r="Y31" i="18"/>
  <c r="AM31" i="18"/>
  <c r="AE31" i="18"/>
  <c r="AL31" i="18"/>
  <c r="AD31" i="18"/>
  <c r="AC31" i="18"/>
  <c r="AK31" i="18"/>
  <c r="AI12" i="18"/>
  <c r="AA12" i="18"/>
  <c r="AH12" i="18"/>
  <c r="Z12" i="18"/>
  <c r="AG12" i="18"/>
  <c r="Y12" i="18"/>
  <c r="AE12" i="18"/>
  <c r="AN12" i="18"/>
  <c r="AF12" i="18"/>
  <c r="X12" i="18"/>
  <c r="R12" i="18"/>
  <c r="AL12" i="18"/>
  <c r="AD12" i="18"/>
  <c r="P12" i="18"/>
  <c r="AC12" i="18"/>
  <c r="AB12" i="18"/>
  <c r="AK12" i="18"/>
  <c r="AJ12" i="18"/>
  <c r="K12" i="18"/>
  <c r="AH10" i="18"/>
  <c r="Z10" i="18"/>
  <c r="AG10" i="18"/>
  <c r="AF10" i="18"/>
  <c r="AD10" i="18"/>
  <c r="AM10" i="18"/>
  <c r="AE10" i="18"/>
  <c r="AL10" i="18"/>
  <c r="AK10" i="18"/>
  <c r="AC10" i="18"/>
  <c r="AJ10" i="18"/>
  <c r="AI10" i="18"/>
  <c r="AB10" i="18"/>
  <c r="AA10" i="18"/>
  <c r="AG11" i="18"/>
  <c r="AC11" i="18"/>
  <c r="AF11" i="18"/>
  <c r="AM11" i="18"/>
  <c r="AE11" i="18"/>
  <c r="AK11" i="18"/>
  <c r="AL11" i="18"/>
  <c r="AD11" i="18"/>
  <c r="AJ11" i="18"/>
  <c r="AB11" i="18"/>
  <c r="AI11" i="18"/>
  <c r="AA11" i="18"/>
  <c r="Z11" i="18"/>
  <c r="AH11" i="18"/>
  <c r="AI15" i="18"/>
  <c r="AA15" i="18"/>
  <c r="AE15" i="18"/>
  <c r="AH15" i="18"/>
  <c r="Z15" i="18"/>
  <c r="AG15" i="18"/>
  <c r="AF15" i="18"/>
  <c r="AM15" i="18"/>
  <c r="AL15" i="18"/>
  <c r="AD15" i="18"/>
  <c r="AB15" i="18"/>
  <c r="AK15" i="18"/>
  <c r="AJ15" i="18"/>
  <c r="AC15" i="18"/>
  <c r="F21" i="18"/>
  <c r="G21" i="18" s="1"/>
  <c r="M13" i="18"/>
  <c r="AQ53" i="16"/>
  <c r="AI31" i="16"/>
  <c r="AA31" i="16"/>
  <c r="AH31" i="16"/>
  <c r="Z31" i="16"/>
  <c r="AG31" i="16"/>
  <c r="Y31" i="16"/>
  <c r="AF31" i="16"/>
  <c r="X31" i="16"/>
  <c r="AB31" i="16"/>
  <c r="AM31" i="16"/>
  <c r="AE31" i="16"/>
  <c r="AJ31" i="16"/>
  <c r="AL31" i="16"/>
  <c r="AD31" i="16"/>
  <c r="AK31" i="16"/>
  <c r="AC31" i="16"/>
  <c r="G12" i="16"/>
  <c r="AM12" i="16" s="1"/>
  <c r="Y13" i="16"/>
  <c r="T23" i="16"/>
  <c r="T52" i="16" s="1"/>
  <c r="Q23" i="16"/>
  <c r="Q52" i="16" s="1"/>
  <c r="AG11" i="16"/>
  <c r="AF11" i="16"/>
  <c r="AM11" i="16"/>
  <c r="AE11" i="16"/>
  <c r="AL11" i="16"/>
  <c r="AD11" i="16"/>
  <c r="AK11" i="16"/>
  <c r="AC11" i="16"/>
  <c r="AH11" i="16"/>
  <c r="AJ11" i="16"/>
  <c r="AB11" i="16"/>
  <c r="AI11" i="16"/>
  <c r="AA11" i="16"/>
  <c r="Z11" i="16"/>
  <c r="F21" i="16"/>
  <c r="G21" i="16" s="1"/>
  <c r="X13" i="16"/>
  <c r="E14" i="16"/>
  <c r="F14" i="16" s="1"/>
  <c r="G14" i="16" s="1"/>
  <c r="G9" i="16"/>
  <c r="AI15" i="16"/>
  <c r="AA15" i="16"/>
  <c r="AH15" i="16"/>
  <c r="Z15" i="16"/>
  <c r="AG15" i="16"/>
  <c r="AB15" i="16"/>
  <c r="AF15" i="16"/>
  <c r="AM15" i="16"/>
  <c r="AE15" i="16"/>
  <c r="AL15" i="16"/>
  <c r="AD15" i="16"/>
  <c r="AK15" i="16"/>
  <c r="AC15" i="16"/>
  <c r="AJ15" i="16"/>
  <c r="M6" i="16"/>
  <c r="AH10" i="16"/>
  <c r="Z10" i="16"/>
  <c r="AG10" i="16"/>
  <c r="AF10" i="16"/>
  <c r="AI10" i="16"/>
  <c r="AM10" i="16"/>
  <c r="AE10" i="16"/>
  <c r="AL10" i="16"/>
  <c r="AD10" i="16"/>
  <c r="AK10" i="16"/>
  <c r="AC10" i="16"/>
  <c r="AA10" i="16"/>
  <c r="AJ10" i="16"/>
  <c r="AB10" i="16"/>
  <c r="BC53" i="13"/>
  <c r="CA53" i="13"/>
  <c r="N24" i="14"/>
  <c r="N52" i="14" s="1"/>
  <c r="P24" i="14"/>
  <c r="Y8" i="14"/>
  <c r="Y13" i="14" s="1"/>
  <c r="X8" i="14"/>
  <c r="G6" i="14"/>
  <c r="E13" i="14"/>
  <c r="F13" i="14" s="1"/>
  <c r="G13" i="14" s="1"/>
  <c r="I52" i="14"/>
  <c r="E10" i="14"/>
  <c r="F10" i="14" s="1"/>
  <c r="G10" i="14" s="1"/>
  <c r="E12" i="14"/>
  <c r="F12" i="14" s="1"/>
  <c r="F28" i="14"/>
  <c r="G28" i="14" s="1"/>
  <c r="AN28" i="14" s="1"/>
  <c r="E15" i="14"/>
  <c r="F15" i="14" s="1"/>
  <c r="G15" i="14" s="1"/>
  <c r="G18" i="14"/>
  <c r="D33" i="10" s="1"/>
  <c r="E21" i="14"/>
  <c r="E9" i="14"/>
  <c r="F9" i="14" s="1"/>
  <c r="E23" i="14"/>
  <c r="F23" i="14" s="1"/>
  <c r="G23" i="14" s="1"/>
  <c r="E11" i="14"/>
  <c r="F11" i="14" s="1"/>
  <c r="G11" i="14" s="1"/>
  <c r="F20" i="14"/>
  <c r="G20" i="14" s="1"/>
  <c r="AQ53" i="14"/>
  <c r="G46" i="13"/>
  <c r="BO53" i="13"/>
  <c r="AP52" i="13"/>
  <c r="AX52" i="13"/>
  <c r="AV52" i="13"/>
  <c r="E23" i="13"/>
  <c r="F23" i="13" s="1"/>
  <c r="G23" i="13" s="1"/>
  <c r="T23" i="13" s="1"/>
  <c r="AU52" i="13"/>
  <c r="G16" i="13"/>
  <c r="E20" i="13"/>
  <c r="E24" i="13"/>
  <c r="F24" i="13" s="1"/>
  <c r="G24" i="13" s="1"/>
  <c r="E7" i="13"/>
  <c r="F7" i="13" s="1"/>
  <c r="G7" i="13" s="1"/>
  <c r="E6" i="13"/>
  <c r="F6" i="13" s="1"/>
  <c r="E8" i="13"/>
  <c r="F8" i="13" s="1"/>
  <c r="G8" i="13" s="1"/>
  <c r="G43" i="13"/>
  <c r="CU43" i="13" s="1"/>
  <c r="AN30" i="13"/>
  <c r="G9" i="13"/>
  <c r="F29" i="13"/>
  <c r="G29" i="13" s="1"/>
  <c r="AN29" i="13" s="1"/>
  <c r="E11" i="13"/>
  <c r="F11" i="13" s="1"/>
  <c r="G11" i="13" s="1"/>
  <c r="E10" i="13"/>
  <c r="F10" i="13" s="1"/>
  <c r="G10" i="13" s="1"/>
  <c r="E15" i="13"/>
  <c r="F15" i="13" s="1"/>
  <c r="G15" i="13" s="1"/>
  <c r="F31" i="13"/>
  <c r="G31" i="13" s="1"/>
  <c r="G18" i="13"/>
  <c r="D26" i="10" s="1"/>
  <c r="E12" i="13"/>
  <c r="F12" i="13" s="1"/>
  <c r="G19" i="13"/>
  <c r="D28" i="10" s="1"/>
  <c r="Y17" i="13"/>
  <c r="X17" i="13"/>
  <c r="K5" i="13"/>
  <c r="AO52" i="13"/>
  <c r="AW52" i="13"/>
  <c r="S52" i="13"/>
  <c r="AQ52" i="13"/>
  <c r="AY52" i="13"/>
  <c r="L52" i="13"/>
  <c r="AR52" i="13"/>
  <c r="AZ52" i="13"/>
  <c r="U52" i="13"/>
  <c r="AS52" i="13"/>
  <c r="BA52" i="13"/>
  <c r="V52" i="13"/>
  <c r="AT52" i="13"/>
  <c r="BB52" i="13"/>
  <c r="I5" i="13"/>
  <c r="O52" i="13"/>
  <c r="BO53" i="12"/>
  <c r="BC53" i="12"/>
  <c r="CA53" i="12"/>
  <c r="S52" i="12"/>
  <c r="AW52" i="12"/>
  <c r="AO52" i="12"/>
  <c r="AQ52" i="12"/>
  <c r="AY52" i="12"/>
  <c r="F18" i="12"/>
  <c r="E23" i="12" s="1"/>
  <c r="F23" i="12" s="1"/>
  <c r="G23" i="12" s="1"/>
  <c r="Y8" i="12"/>
  <c r="X8" i="12"/>
  <c r="G19" i="12"/>
  <c r="X7" i="12"/>
  <c r="Y7" i="12"/>
  <c r="P24" i="12"/>
  <c r="N24" i="12"/>
  <c r="AP52" i="12"/>
  <c r="AX52" i="12"/>
  <c r="AD41" i="12"/>
  <c r="AL41" i="12"/>
  <c r="AB42" i="12"/>
  <c r="AJ42" i="12"/>
  <c r="AE41" i="12"/>
  <c r="G6" i="12"/>
  <c r="X17" i="12"/>
  <c r="L52" i="12"/>
  <c r="AR52" i="12"/>
  <c r="AZ52" i="12"/>
  <c r="X41" i="12"/>
  <c r="AF41" i="12"/>
  <c r="AD42" i="12"/>
  <c r="AL42" i="12"/>
  <c r="U52" i="12"/>
  <c r="AS52" i="12"/>
  <c r="BA52" i="12"/>
  <c r="Y41" i="12"/>
  <c r="AG41" i="12"/>
  <c r="AE42" i="12"/>
  <c r="AM42" i="12"/>
  <c r="V52" i="12"/>
  <c r="AT52" i="12"/>
  <c r="BB52" i="12"/>
  <c r="Z41" i="12"/>
  <c r="AH41" i="12"/>
  <c r="I5" i="12"/>
  <c r="G16" i="12"/>
  <c r="O52" i="12"/>
  <c r="AU52" i="12"/>
  <c r="AA41" i="12"/>
  <c r="AI41" i="12"/>
  <c r="Y42" i="12"/>
  <c r="AM41" i="12"/>
  <c r="AV52" i="12"/>
  <c r="AB41" i="12"/>
  <c r="AJ41" i="12"/>
  <c r="AN30" i="12"/>
  <c r="AC41" i="12"/>
  <c r="E13" i="12" l="1"/>
  <c r="F13" i="12" s="1"/>
  <c r="G13" i="12" s="1"/>
  <c r="E11" i="12"/>
  <c r="F11" i="12" s="1"/>
  <c r="G11" i="12" s="1"/>
  <c r="L28" i="10"/>
  <c r="P28" i="10"/>
  <c r="M28" i="10"/>
  <c r="O28" i="10"/>
  <c r="F28" i="10"/>
  <c r="N28" i="10"/>
  <c r="G28" i="10"/>
  <c r="H28" i="10"/>
  <c r="E28" i="10"/>
  <c r="J28" i="10"/>
  <c r="K28" i="10"/>
  <c r="Q28" i="10"/>
  <c r="I28" i="10"/>
  <c r="E34" i="16"/>
  <c r="F34" i="16" s="1"/>
  <c r="E40" i="16"/>
  <c r="F40" i="16" s="1"/>
  <c r="G40" i="16" s="1"/>
  <c r="CU40" i="16" s="1"/>
  <c r="CU52" i="16" s="1"/>
  <c r="CM53" i="16" s="1"/>
  <c r="E37" i="16"/>
  <c r="F37" i="16" s="1"/>
  <c r="G37" i="16" s="1"/>
  <c r="W37" i="16" s="1"/>
  <c r="E36" i="16"/>
  <c r="F36" i="16" s="1"/>
  <c r="G36" i="16" s="1"/>
  <c r="W36" i="16" s="1"/>
  <c r="E37" i="18"/>
  <c r="F37" i="18" s="1"/>
  <c r="G37" i="18" s="1"/>
  <c r="W37" i="18" s="1"/>
  <c r="E36" i="18"/>
  <c r="F36" i="18" s="1"/>
  <c r="G36" i="18" s="1"/>
  <c r="W36" i="18" s="1"/>
  <c r="E34" i="18"/>
  <c r="F34" i="18" s="1"/>
  <c r="E39" i="18"/>
  <c r="E40" i="18"/>
  <c r="F40" i="18" s="1"/>
  <c r="G40" i="18" s="1"/>
  <c r="CU40" i="18" s="1"/>
  <c r="CU52" i="18" s="1"/>
  <c r="CM53" i="18" s="1"/>
  <c r="E40" i="20"/>
  <c r="F40" i="20" s="1"/>
  <c r="G40" i="20" s="1"/>
  <c r="CU40" i="20" s="1"/>
  <c r="CU52" i="20" s="1"/>
  <c r="CM53" i="20" s="1"/>
  <c r="E37" i="20"/>
  <c r="F37" i="20" s="1"/>
  <c r="G37" i="20" s="1"/>
  <c r="W37" i="20" s="1"/>
  <c r="E36" i="20"/>
  <c r="F36" i="20" s="1"/>
  <c r="G36" i="20" s="1"/>
  <c r="W36" i="20" s="1"/>
  <c r="E34" i="20"/>
  <c r="F34" i="20" s="1"/>
  <c r="G49" i="20" s="1"/>
  <c r="E39" i="20"/>
  <c r="E73" i="6" s="1"/>
  <c r="E78" i="6" s="1"/>
  <c r="E80" i="6" s="1"/>
  <c r="E14" i="13"/>
  <c r="F14" i="13" s="1"/>
  <c r="G14" i="13" s="1"/>
  <c r="X13" i="12"/>
  <c r="J52" i="12"/>
  <c r="Y13" i="12"/>
  <c r="N52" i="12"/>
  <c r="M6" i="12"/>
  <c r="M13" i="12" s="1"/>
  <c r="O26" i="10"/>
  <c r="P26" i="10"/>
  <c r="Q26" i="10"/>
  <c r="R26" i="10"/>
  <c r="K26" i="10"/>
  <c r="J26" i="10"/>
  <c r="M26" i="10"/>
  <c r="N26" i="10"/>
  <c r="L26" i="10"/>
  <c r="M33" i="10"/>
  <c r="J33" i="10"/>
  <c r="N33" i="10"/>
  <c r="O33" i="10"/>
  <c r="P33" i="10"/>
  <c r="Q33" i="10"/>
  <c r="R33" i="10"/>
  <c r="K33" i="10"/>
  <c r="L33" i="10"/>
  <c r="J58" i="14"/>
  <c r="Q52" i="20"/>
  <c r="AQ53" i="20"/>
  <c r="J52" i="20"/>
  <c r="I52" i="20"/>
  <c r="P9" i="20"/>
  <c r="M9" i="20"/>
  <c r="AH14" i="20"/>
  <c r="R14" i="20"/>
  <c r="R52" i="20" s="1"/>
  <c r="AC14" i="20"/>
  <c r="AG14" i="20"/>
  <c r="AK14" i="20"/>
  <c r="X14" i="20"/>
  <c r="X52" i="20" s="1"/>
  <c r="AL14" i="20"/>
  <c r="Z14" i="20"/>
  <c r="K14" i="20"/>
  <c r="K52" i="20" s="1"/>
  <c r="AE14" i="20"/>
  <c r="AN14" i="20"/>
  <c r="AN52" i="20" s="1"/>
  <c r="AA14" i="20"/>
  <c r="AM14" i="20"/>
  <c r="AD14" i="20"/>
  <c r="AI14" i="20"/>
  <c r="AJ14" i="20"/>
  <c r="Y14" i="20"/>
  <c r="Y52" i="20" s="1"/>
  <c r="AB14" i="20"/>
  <c r="AF14" i="20"/>
  <c r="AL14" i="18"/>
  <c r="AE14" i="18"/>
  <c r="AA14" i="18"/>
  <c r="AA52" i="18" s="1"/>
  <c r="AM14" i="18"/>
  <c r="K14" i="18"/>
  <c r="K52" i="18" s="1"/>
  <c r="R14" i="18"/>
  <c r="R52" i="18" s="1"/>
  <c r="AB14" i="18"/>
  <c r="AB52" i="18" s="1"/>
  <c r="AD14" i="18"/>
  <c r="AD52" i="18" s="1"/>
  <c r="X14" i="18"/>
  <c r="X52" i="18" s="1"/>
  <c r="AI14" i="18"/>
  <c r="AF14" i="18"/>
  <c r="AJ14" i="18"/>
  <c r="AG14" i="18"/>
  <c r="AN14" i="18"/>
  <c r="AN52" i="18" s="1"/>
  <c r="P9" i="18"/>
  <c r="M9" i="18"/>
  <c r="AC14" i="18"/>
  <c r="AC52" i="18" s="1"/>
  <c r="Z14" i="18"/>
  <c r="Z52" i="18" s="1"/>
  <c r="W52" i="18"/>
  <c r="AK14" i="18"/>
  <c r="AH14" i="18"/>
  <c r="Y14" i="18"/>
  <c r="Y52" i="18" s="1"/>
  <c r="P9" i="16"/>
  <c r="M9" i="16"/>
  <c r="M14" i="16" s="1"/>
  <c r="AM14" i="16"/>
  <c r="E39" i="16"/>
  <c r="AI12" i="16"/>
  <c r="AI14" i="16" s="1"/>
  <c r="AA12" i="16"/>
  <c r="AH12" i="16"/>
  <c r="AH14" i="16" s="1"/>
  <c r="Z12" i="16"/>
  <c r="AG12" i="16"/>
  <c r="AG14" i="16" s="1"/>
  <c r="Y12" i="16"/>
  <c r="AJ12" i="16"/>
  <c r="AJ14" i="16" s="1"/>
  <c r="AN12" i="16"/>
  <c r="AF12" i="16"/>
  <c r="AF14" i="16" s="1"/>
  <c r="X12" i="16"/>
  <c r="AE12" i="16"/>
  <c r="R12" i="16"/>
  <c r="AL12" i="16"/>
  <c r="AL14" i="16" s="1"/>
  <c r="AD12" i="16"/>
  <c r="AD14" i="16" s="1"/>
  <c r="P12" i="16"/>
  <c r="AK12" i="16"/>
  <c r="AK14" i="16" s="1"/>
  <c r="AC12" i="16"/>
  <c r="AC14" i="16" s="1"/>
  <c r="K12" i="16"/>
  <c r="AB12" i="16"/>
  <c r="M13" i="16"/>
  <c r="W52" i="16"/>
  <c r="AL11" i="14"/>
  <c r="AD11" i="14"/>
  <c r="AK11" i="14"/>
  <c r="AC11" i="14"/>
  <c r="AF11" i="14"/>
  <c r="AJ11" i="14"/>
  <c r="AB11" i="14"/>
  <c r="AI11" i="14"/>
  <c r="AA11" i="14"/>
  <c r="AH11" i="14"/>
  <c r="Z11" i="14"/>
  <c r="AG11" i="14"/>
  <c r="AE11" i="14"/>
  <c r="AM11" i="14"/>
  <c r="T23" i="14"/>
  <c r="T52" i="14" s="1"/>
  <c r="Q23" i="14"/>
  <c r="Q52" i="14" s="1"/>
  <c r="AI31" i="14"/>
  <c r="AA31" i="14"/>
  <c r="AH31" i="14"/>
  <c r="Z31" i="14"/>
  <c r="AG31" i="14"/>
  <c r="Y31" i="14"/>
  <c r="AF31" i="14"/>
  <c r="X31" i="14"/>
  <c r="AC31" i="14"/>
  <c r="AM31" i="14"/>
  <c r="AE31" i="14"/>
  <c r="AK31" i="14"/>
  <c r="AJ31" i="14"/>
  <c r="AL31" i="14"/>
  <c r="AD31" i="14"/>
  <c r="AB31" i="14"/>
  <c r="G12" i="14"/>
  <c r="AM12" i="14" s="1"/>
  <c r="I58" i="14"/>
  <c r="AF15" i="14"/>
  <c r="AM15" i="14"/>
  <c r="AE15" i="14"/>
  <c r="Z15" i="14"/>
  <c r="AL15" i="14"/>
  <c r="AD15" i="14"/>
  <c r="AK15" i="14"/>
  <c r="AC15" i="14"/>
  <c r="AJ15" i="14"/>
  <c r="AB15" i="14"/>
  <c r="AH15" i="14"/>
  <c r="AI15" i="14"/>
  <c r="AA15" i="14"/>
  <c r="AG15" i="14"/>
  <c r="E14" i="14"/>
  <c r="F14" i="14" s="1"/>
  <c r="G14" i="14" s="1"/>
  <c r="G9" i="14"/>
  <c r="AM10" i="14"/>
  <c r="AE10" i="14"/>
  <c r="AL10" i="14"/>
  <c r="AD10" i="14"/>
  <c r="AK10" i="14"/>
  <c r="AC10" i="14"/>
  <c r="AG10" i="14"/>
  <c r="AJ10" i="14"/>
  <c r="AB10" i="14"/>
  <c r="AI10" i="14"/>
  <c r="AA10" i="14"/>
  <c r="AH10" i="14"/>
  <c r="Z10" i="14"/>
  <c r="AF10" i="14"/>
  <c r="X13" i="14"/>
  <c r="F21" i="14"/>
  <c r="G21" i="14" s="1"/>
  <c r="M6" i="14"/>
  <c r="Q23" i="13"/>
  <c r="T52" i="13"/>
  <c r="I52" i="13"/>
  <c r="AQ53" i="13"/>
  <c r="Y16" i="13"/>
  <c r="Y20" i="13" s="1"/>
  <c r="X16" i="13"/>
  <c r="F21" i="13"/>
  <c r="G21" i="13" s="1"/>
  <c r="AH15" i="13"/>
  <c r="Z15" i="13"/>
  <c r="AC15" i="13"/>
  <c r="AG15" i="13"/>
  <c r="AF15" i="13"/>
  <c r="AM15" i="13"/>
  <c r="AE15" i="13"/>
  <c r="AK15" i="13"/>
  <c r="AL15" i="13"/>
  <c r="AD15" i="13"/>
  <c r="AJ15" i="13"/>
  <c r="AB15" i="13"/>
  <c r="AA15" i="13"/>
  <c r="AI15" i="13"/>
  <c r="AG10" i="13"/>
  <c r="AB10" i="13"/>
  <c r="AF10" i="13"/>
  <c r="AJ10" i="13"/>
  <c r="AM10" i="13"/>
  <c r="AE10" i="13"/>
  <c r="AL10" i="13"/>
  <c r="AD10" i="13"/>
  <c r="AK10" i="13"/>
  <c r="AC10" i="13"/>
  <c r="AI10" i="13"/>
  <c r="AA10" i="13"/>
  <c r="Z10" i="13"/>
  <c r="AH10" i="13"/>
  <c r="Y8" i="13"/>
  <c r="X8" i="13"/>
  <c r="AF11" i="13"/>
  <c r="AA11" i="13"/>
  <c r="AM11" i="13"/>
  <c r="AE11" i="13"/>
  <c r="AL11" i="13"/>
  <c r="AD11" i="13"/>
  <c r="AK11" i="13"/>
  <c r="AC11" i="13"/>
  <c r="AI11" i="13"/>
  <c r="AJ11" i="13"/>
  <c r="AB11" i="13"/>
  <c r="AH11" i="13"/>
  <c r="Z11" i="13"/>
  <c r="AG11" i="13"/>
  <c r="E13" i="13"/>
  <c r="F13" i="13" s="1"/>
  <c r="G6" i="13"/>
  <c r="P24" i="13"/>
  <c r="N24" i="13"/>
  <c r="G12" i="13"/>
  <c r="AM12" i="13" s="1"/>
  <c r="Y7" i="13"/>
  <c r="X7" i="13"/>
  <c r="AI31" i="13"/>
  <c r="AA31" i="13"/>
  <c r="AH31" i="13"/>
  <c r="Z31" i="13"/>
  <c r="AG31" i="13"/>
  <c r="Y31" i="13"/>
  <c r="AD31" i="13"/>
  <c r="AF31" i="13"/>
  <c r="X31" i="13"/>
  <c r="AL31" i="13"/>
  <c r="AM31" i="13"/>
  <c r="AE31" i="13"/>
  <c r="AK31" i="13"/>
  <c r="AC31" i="13"/>
  <c r="AB31" i="13"/>
  <c r="AJ31" i="13"/>
  <c r="P9" i="13"/>
  <c r="M9" i="13"/>
  <c r="F20" i="13"/>
  <c r="G20" i="13" s="1"/>
  <c r="T23" i="12"/>
  <c r="T52" i="12" s="1"/>
  <c r="Q23" i="12"/>
  <c r="Q52" i="12" s="1"/>
  <c r="E12" i="12"/>
  <c r="F12" i="12" s="1"/>
  <c r="G12" i="12" s="1"/>
  <c r="AM12" i="12" s="1"/>
  <c r="I52" i="12"/>
  <c r="I58" i="12" s="1"/>
  <c r="E29" i="12"/>
  <c r="F29" i="12" s="1"/>
  <c r="G29" i="12" s="1"/>
  <c r="AN29" i="12" s="1"/>
  <c r="G18" i="12"/>
  <c r="D21" i="10" s="1"/>
  <c r="E9" i="12"/>
  <c r="F9" i="12" s="1"/>
  <c r="E31" i="12"/>
  <c r="F31" i="12" s="1"/>
  <c r="G31" i="12" s="1"/>
  <c r="AJ31" i="12" s="1"/>
  <c r="E28" i="12"/>
  <c r="F28" i="12" s="1"/>
  <c r="G28" i="12" s="1"/>
  <c r="AN28" i="12" s="1"/>
  <c r="E15" i="12"/>
  <c r="F15" i="12" s="1"/>
  <c r="G15" i="12" s="1"/>
  <c r="Z15" i="12" s="1"/>
  <c r="E10" i="12"/>
  <c r="F10" i="12" s="1"/>
  <c r="G10" i="12" s="1"/>
  <c r="AA10" i="12" s="1"/>
  <c r="E26" i="12"/>
  <c r="F26" i="12" s="1"/>
  <c r="G26" i="12" s="1"/>
  <c r="AN26" i="12" s="1"/>
  <c r="E25" i="12"/>
  <c r="F25" i="12" s="1"/>
  <c r="G25" i="12" s="1"/>
  <c r="AN25" i="12" s="1"/>
  <c r="E21" i="12"/>
  <c r="E34" i="12" s="1"/>
  <c r="F34" i="12" s="1"/>
  <c r="G34" i="12" s="1"/>
  <c r="AQ53" i="12"/>
  <c r="AH11" i="12"/>
  <c r="Z11" i="12"/>
  <c r="AG11" i="12"/>
  <c r="AJ11" i="12"/>
  <c r="AF11" i="12"/>
  <c r="AM11" i="12"/>
  <c r="AE11" i="12"/>
  <c r="AL11" i="12"/>
  <c r="AD11" i="12"/>
  <c r="AK11" i="12"/>
  <c r="AC11" i="12"/>
  <c r="AI11" i="12"/>
  <c r="AA11" i="12"/>
  <c r="AB11" i="12"/>
  <c r="Y16" i="12"/>
  <c r="Y20" i="12" s="1"/>
  <c r="X16" i="12"/>
  <c r="X20" i="12" s="1"/>
  <c r="G55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F45" i="11"/>
  <c r="G45" i="11" s="1"/>
  <c r="AN45" i="11" s="1"/>
  <c r="F44" i="11"/>
  <c r="G44" i="11" s="1"/>
  <c r="AN44" i="11" s="1"/>
  <c r="E43" i="11"/>
  <c r="F43" i="11" s="1"/>
  <c r="G42" i="11"/>
  <c r="G41" i="11"/>
  <c r="D39" i="11"/>
  <c r="D38" i="11"/>
  <c r="F35" i="11"/>
  <c r="G35" i="11" s="1"/>
  <c r="W35" i="11" s="1"/>
  <c r="F33" i="11"/>
  <c r="G33" i="11" s="1"/>
  <c r="W33" i="11" s="1"/>
  <c r="F32" i="11"/>
  <c r="G32" i="11" s="1"/>
  <c r="AN32" i="11" s="1"/>
  <c r="F30" i="11"/>
  <c r="G30" i="11" s="1"/>
  <c r="AN30" i="11" s="1"/>
  <c r="F27" i="11"/>
  <c r="G27" i="11" s="1"/>
  <c r="AN27" i="11" s="1"/>
  <c r="D24" i="11"/>
  <c r="D23" i="11"/>
  <c r="F22" i="11"/>
  <c r="G22" i="11" s="1"/>
  <c r="AM22" i="11" s="1"/>
  <c r="AP52" i="11"/>
  <c r="F18" i="11"/>
  <c r="F17" i="11"/>
  <c r="G17" i="11" s="1"/>
  <c r="D16" i="11"/>
  <c r="F16" i="11" s="1"/>
  <c r="H5" i="11"/>
  <c r="H52" i="11" s="1"/>
  <c r="G5" i="11"/>
  <c r="K4" i="11"/>
  <c r="F4" i="11"/>
  <c r="K3" i="11"/>
  <c r="F3" i="11"/>
  <c r="I2" i="11"/>
  <c r="I5" i="11" s="1"/>
  <c r="F2" i="11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K5" i="11" l="1"/>
  <c r="F19" i="11"/>
  <c r="E9" i="11" s="1"/>
  <c r="F9" i="11" s="1"/>
  <c r="AI42" i="11"/>
  <c r="AK42" i="11"/>
  <c r="AJ42" i="11"/>
  <c r="AC42" i="11"/>
  <c r="AB42" i="11"/>
  <c r="E5" i="11"/>
  <c r="F5" i="11" s="1"/>
  <c r="AC15" i="12"/>
  <c r="AE15" i="12"/>
  <c r="AF15" i="12"/>
  <c r="AD15" i="12"/>
  <c r="AH15" i="12"/>
  <c r="AA15" i="12"/>
  <c r="AB10" i="12"/>
  <c r="AL15" i="12"/>
  <c r="AB15" i="12"/>
  <c r="AK15" i="12"/>
  <c r="AF10" i="12"/>
  <c r="AK10" i="12"/>
  <c r="AM15" i="12"/>
  <c r="AI15" i="12"/>
  <c r="AG15" i="12"/>
  <c r="AJ15" i="12"/>
  <c r="AM10" i="12"/>
  <c r="AM14" i="12" s="1"/>
  <c r="AJ10" i="12"/>
  <c r="AE10" i="12"/>
  <c r="AI10" i="12"/>
  <c r="AG10" i="12"/>
  <c r="X31" i="12"/>
  <c r="AH31" i="12"/>
  <c r="AI31" i="12"/>
  <c r="AD31" i="12"/>
  <c r="AB31" i="12"/>
  <c r="Z10" i="12"/>
  <c r="AH10" i="12"/>
  <c r="AE31" i="12"/>
  <c r="F21" i="12"/>
  <c r="G21" i="12" s="1"/>
  <c r="AL31" i="12"/>
  <c r="E14" i="12"/>
  <c r="F14" i="12" s="1"/>
  <c r="G14" i="12" s="1"/>
  <c r="N52" i="13"/>
  <c r="AC19" i="20"/>
  <c r="AC21" i="20" s="1"/>
  <c r="AC19" i="16"/>
  <c r="AC21" i="16" s="1"/>
  <c r="AC19" i="13"/>
  <c r="AB19" i="20"/>
  <c r="AB21" i="20" s="1"/>
  <c r="AB19" i="13"/>
  <c r="AB19" i="16"/>
  <c r="AB21" i="16" s="1"/>
  <c r="AI19" i="16"/>
  <c r="AI19" i="20"/>
  <c r="AI21" i="20" s="1"/>
  <c r="AI52" i="20" s="1"/>
  <c r="AI19" i="13"/>
  <c r="Q52" i="13"/>
  <c r="M14" i="13"/>
  <c r="AD19" i="20"/>
  <c r="AD21" i="20" s="1"/>
  <c r="AD19" i="16"/>
  <c r="AD21" i="16" s="1"/>
  <c r="AD19" i="13"/>
  <c r="AA19" i="20"/>
  <c r="AA21" i="20" s="1"/>
  <c r="AA19" i="13"/>
  <c r="AA19" i="16"/>
  <c r="AA21" i="16" s="1"/>
  <c r="X20" i="13"/>
  <c r="AL19" i="20"/>
  <c r="AL21" i="20" s="1"/>
  <c r="AL19" i="16"/>
  <c r="AL19" i="13"/>
  <c r="AJ19" i="20"/>
  <c r="AJ21" i="20" s="1"/>
  <c r="AJ19" i="16"/>
  <c r="AJ19" i="13"/>
  <c r="AF19" i="20"/>
  <c r="AF21" i="20" s="1"/>
  <c r="AF19" i="16"/>
  <c r="AF19" i="13"/>
  <c r="AH19" i="20"/>
  <c r="AH21" i="20" s="1"/>
  <c r="AH19" i="16"/>
  <c r="AH19" i="13"/>
  <c r="AE19" i="20"/>
  <c r="AE21" i="20" s="1"/>
  <c r="AE19" i="16"/>
  <c r="AE19" i="13"/>
  <c r="AK19" i="20"/>
  <c r="AK21" i="20" s="1"/>
  <c r="AK19" i="16"/>
  <c r="AK19" i="13"/>
  <c r="Z19" i="16"/>
  <c r="Z21" i="16" s="1"/>
  <c r="Z19" i="13"/>
  <c r="Z19" i="20"/>
  <c r="Z21" i="20" s="1"/>
  <c r="AG19" i="20"/>
  <c r="AG21" i="20" s="1"/>
  <c r="AG19" i="16"/>
  <c r="AG19" i="13"/>
  <c r="E40" i="14"/>
  <c r="F40" i="14" s="1"/>
  <c r="E37" i="14"/>
  <c r="F37" i="14" s="1"/>
  <c r="G37" i="14" s="1"/>
  <c r="W37" i="14" s="1"/>
  <c r="E36" i="14"/>
  <c r="F36" i="14" s="1"/>
  <c r="G36" i="14" s="1"/>
  <c r="W36" i="14" s="1"/>
  <c r="E34" i="14"/>
  <c r="F34" i="14" s="1"/>
  <c r="G34" i="14" s="1"/>
  <c r="W34" i="14" s="1"/>
  <c r="G34" i="16"/>
  <c r="W34" i="16" s="1"/>
  <c r="E38" i="16"/>
  <c r="M52" i="16"/>
  <c r="G34" i="18"/>
  <c r="W34" i="18" s="1"/>
  <c r="E38" i="18"/>
  <c r="G34" i="20"/>
  <c r="W34" i="20" s="1"/>
  <c r="W52" i="20" s="1"/>
  <c r="E38" i="20"/>
  <c r="C73" i="6" s="1"/>
  <c r="C78" i="6" s="1"/>
  <c r="C80" i="6" s="1"/>
  <c r="E39" i="14"/>
  <c r="E59" i="6" s="1"/>
  <c r="E64" i="6" s="1"/>
  <c r="E66" i="6" s="1"/>
  <c r="K58" i="18"/>
  <c r="L58" i="18"/>
  <c r="U52" i="11"/>
  <c r="J58" i="12"/>
  <c r="AC31" i="12"/>
  <c r="AG31" i="12"/>
  <c r="AD10" i="12"/>
  <c r="AC10" i="12"/>
  <c r="AF31" i="12"/>
  <c r="AK31" i="12"/>
  <c r="Z31" i="12"/>
  <c r="AL10" i="12"/>
  <c r="AM31" i="12"/>
  <c r="AA31" i="12"/>
  <c r="Q21" i="10"/>
  <c r="AL18" i="12" s="1"/>
  <c r="AL21" i="12" s="1"/>
  <c r="N21" i="10"/>
  <c r="AI18" i="12" s="1"/>
  <c r="AI21" i="12" s="1"/>
  <c r="P21" i="10"/>
  <c r="AK18" i="12" s="1"/>
  <c r="AK21" i="12" s="1"/>
  <c r="H21" i="10"/>
  <c r="AC18" i="12" s="1"/>
  <c r="AC21" i="12" s="1"/>
  <c r="M21" i="10"/>
  <c r="AH18" i="12" s="1"/>
  <c r="AH21" i="12" s="1"/>
  <c r="K21" i="10"/>
  <c r="AF18" i="12" s="1"/>
  <c r="AF21" i="12" s="1"/>
  <c r="O21" i="10"/>
  <c r="AJ18" i="12" s="1"/>
  <c r="AJ21" i="12" s="1"/>
  <c r="J21" i="10"/>
  <c r="AE18" i="12" s="1"/>
  <c r="AE21" i="12" s="1"/>
  <c r="I21" i="10"/>
  <c r="AD18" i="12" s="1"/>
  <c r="AD21" i="12" s="1"/>
  <c r="F21" i="10"/>
  <c r="AA18" i="12" s="1"/>
  <c r="AA21" i="12" s="1"/>
  <c r="E21" i="10"/>
  <c r="Z18" i="12" s="1"/>
  <c r="Z21" i="12" s="1"/>
  <c r="L21" i="10"/>
  <c r="AG18" i="12" s="1"/>
  <c r="AG21" i="12" s="1"/>
  <c r="R21" i="10"/>
  <c r="AM18" i="12" s="1"/>
  <c r="AM21" i="12" s="1"/>
  <c r="G21" i="10"/>
  <c r="AB18" i="12" s="1"/>
  <c r="AB21" i="12" s="1"/>
  <c r="Y31" i="12"/>
  <c r="AK18" i="16"/>
  <c r="AK18" i="13"/>
  <c r="AI18" i="16"/>
  <c r="AI21" i="16" s="1"/>
  <c r="AI18" i="13"/>
  <c r="I58" i="13"/>
  <c r="J58" i="13"/>
  <c r="AH18" i="16"/>
  <c r="AH18" i="13"/>
  <c r="AE18" i="16"/>
  <c r="AE18" i="13"/>
  <c r="AF18" i="16"/>
  <c r="AF18" i="13"/>
  <c r="AM18" i="16"/>
  <c r="AM21" i="16" s="1"/>
  <c r="AM18" i="13"/>
  <c r="AL18" i="16"/>
  <c r="AL18" i="13"/>
  <c r="AG18" i="16"/>
  <c r="AG18" i="13"/>
  <c r="AJ18" i="16"/>
  <c r="AJ18" i="13"/>
  <c r="AM18" i="18"/>
  <c r="AM21" i="18" s="1"/>
  <c r="AM18" i="14"/>
  <c r="AL18" i="14"/>
  <c r="AL18" i="18"/>
  <c r="AK18" i="14"/>
  <c r="AK18" i="18"/>
  <c r="AJ18" i="14"/>
  <c r="AJ18" i="18"/>
  <c r="AJ21" i="18" s="1"/>
  <c r="AI18" i="18"/>
  <c r="AI21" i="18" s="1"/>
  <c r="AI18" i="14"/>
  <c r="AI21" i="14" s="1"/>
  <c r="AE18" i="14"/>
  <c r="AE18" i="18"/>
  <c r="AE21" i="18" s="1"/>
  <c r="AE52" i="18" s="1"/>
  <c r="AG18" i="14"/>
  <c r="AG18" i="18"/>
  <c r="AH18" i="18"/>
  <c r="AH21" i="18" s="1"/>
  <c r="AH52" i="18" s="1"/>
  <c r="AH18" i="14"/>
  <c r="AF18" i="18"/>
  <c r="AF21" i="18" s="1"/>
  <c r="AF18" i="14"/>
  <c r="AM52" i="20"/>
  <c r="I58" i="20"/>
  <c r="J58" i="20"/>
  <c r="G50" i="20"/>
  <c r="G51" i="20" s="1"/>
  <c r="L58" i="20"/>
  <c r="K58" i="20"/>
  <c r="M14" i="20"/>
  <c r="M52" i="20" s="1"/>
  <c r="P14" i="20"/>
  <c r="P52" i="20" s="1"/>
  <c r="S53" i="18"/>
  <c r="M14" i="18"/>
  <c r="M52" i="18" s="1"/>
  <c r="T58" i="18" s="1"/>
  <c r="P14" i="18"/>
  <c r="P52" i="18"/>
  <c r="C59" i="6"/>
  <c r="AB14" i="16"/>
  <c r="AE14" i="16"/>
  <c r="P14" i="16"/>
  <c r="P52" i="16" s="1"/>
  <c r="AD52" i="16"/>
  <c r="Z14" i="16"/>
  <c r="AA14" i="16"/>
  <c r="AN14" i="16"/>
  <c r="AN52" i="16" s="1"/>
  <c r="K14" i="16"/>
  <c r="K52" i="16" s="1"/>
  <c r="X14" i="16"/>
  <c r="X52" i="16" s="1"/>
  <c r="R14" i="16"/>
  <c r="R52" i="16" s="1"/>
  <c r="Y14" i="16"/>
  <c r="Y52" i="16" s="1"/>
  <c r="W52" i="14"/>
  <c r="AM14" i="14"/>
  <c r="AN12" i="14"/>
  <c r="AF12" i="14"/>
  <c r="AF14" i="14" s="1"/>
  <c r="X12" i="14"/>
  <c r="AE12" i="14"/>
  <c r="AE14" i="14" s="1"/>
  <c r="R12" i="14"/>
  <c r="AL12" i="14"/>
  <c r="AL14" i="14" s="1"/>
  <c r="AD12" i="14"/>
  <c r="P12" i="14"/>
  <c r="AK12" i="14"/>
  <c r="AK14" i="14" s="1"/>
  <c r="AC12" i="14"/>
  <c r="AC14" i="14" s="1"/>
  <c r="K12" i="14"/>
  <c r="AJ12" i="14"/>
  <c r="AB12" i="14"/>
  <c r="AB14" i="14" s="1"/>
  <c r="AH12" i="14"/>
  <c r="AI12" i="14"/>
  <c r="AA12" i="14"/>
  <c r="Z12" i="14"/>
  <c r="AG12" i="14"/>
  <c r="AG14" i="14" s="1"/>
  <c r="Y12" i="14"/>
  <c r="P9" i="14"/>
  <c r="M9" i="14"/>
  <c r="M14" i="14" s="1"/>
  <c r="M13" i="14"/>
  <c r="AH12" i="13"/>
  <c r="AH14" i="13" s="1"/>
  <c r="Z12" i="13"/>
  <c r="Z14" i="13" s="1"/>
  <c r="K12" i="13"/>
  <c r="AG12" i="13"/>
  <c r="AG14" i="13" s="1"/>
  <c r="Y12" i="13"/>
  <c r="Y14" i="13" s="1"/>
  <c r="AC12" i="13"/>
  <c r="AC14" i="13" s="1"/>
  <c r="AN12" i="13"/>
  <c r="AF12" i="13"/>
  <c r="AF14" i="13" s="1"/>
  <c r="X12" i="13"/>
  <c r="X14" i="13" s="1"/>
  <c r="AE12" i="13"/>
  <c r="AE14" i="13" s="1"/>
  <c r="R12" i="13"/>
  <c r="AL12" i="13"/>
  <c r="AL14" i="13" s="1"/>
  <c r="AD12" i="13"/>
  <c r="P12" i="13"/>
  <c r="P14" i="13" s="1"/>
  <c r="P52" i="13" s="1"/>
  <c r="AK12" i="13"/>
  <c r="AK14" i="13" s="1"/>
  <c r="AJ12" i="13"/>
  <c r="AJ14" i="13" s="1"/>
  <c r="AB12" i="13"/>
  <c r="AB14" i="13" s="1"/>
  <c r="AA12" i="13"/>
  <c r="AA14" i="13" s="1"/>
  <c r="AI12" i="13"/>
  <c r="AI14" i="13" s="1"/>
  <c r="AM14" i="13"/>
  <c r="M6" i="13"/>
  <c r="X13" i="13"/>
  <c r="G13" i="13"/>
  <c r="E39" i="13" s="1"/>
  <c r="Y13" i="13"/>
  <c r="G9" i="12"/>
  <c r="W34" i="12"/>
  <c r="W52" i="12" s="1"/>
  <c r="AJ12" i="12"/>
  <c r="AB12" i="12"/>
  <c r="AB14" i="12" s="1"/>
  <c r="AI12" i="12"/>
  <c r="AA12" i="12"/>
  <c r="AH12" i="12"/>
  <c r="Z12" i="12"/>
  <c r="AD12" i="12"/>
  <c r="AG12" i="12"/>
  <c r="AG14" i="12" s="1"/>
  <c r="Y12" i="12"/>
  <c r="P12" i="12"/>
  <c r="AN12" i="12"/>
  <c r="AF12" i="12"/>
  <c r="X12" i="12"/>
  <c r="AL12" i="12"/>
  <c r="AE12" i="12"/>
  <c r="R12" i="12"/>
  <c r="AK12" i="12"/>
  <c r="AK14" i="12" s="1"/>
  <c r="AC12" i="12"/>
  <c r="K12" i="12"/>
  <c r="AA14" i="12"/>
  <c r="AQ52" i="11"/>
  <c r="BC53" i="11"/>
  <c r="AX52" i="11"/>
  <c r="S52" i="11"/>
  <c r="AY52" i="11"/>
  <c r="BO53" i="11"/>
  <c r="CA53" i="11"/>
  <c r="G43" i="11"/>
  <c r="CU43" i="11" s="1"/>
  <c r="AS52" i="11"/>
  <c r="BA52" i="11"/>
  <c r="G18" i="11"/>
  <c r="AO52" i="11"/>
  <c r="AW52" i="11"/>
  <c r="AK41" i="11"/>
  <c r="AC41" i="11"/>
  <c r="AJ41" i="11"/>
  <c r="AB41" i="11"/>
  <c r="AE41" i="11"/>
  <c r="AI41" i="11"/>
  <c r="AA41" i="11"/>
  <c r="AM41" i="11"/>
  <c r="AD41" i="11"/>
  <c r="AH41" i="11"/>
  <c r="Z41" i="11"/>
  <c r="AG41" i="11"/>
  <c r="Y41" i="11"/>
  <c r="AL41" i="11"/>
  <c r="AF41" i="11"/>
  <c r="X41" i="11"/>
  <c r="AV52" i="11"/>
  <c r="E24" i="11"/>
  <c r="F24" i="11" s="1"/>
  <c r="G24" i="11" s="1"/>
  <c r="G16" i="11"/>
  <c r="E8" i="11"/>
  <c r="F8" i="11" s="1"/>
  <c r="G8" i="11" s="1"/>
  <c r="E6" i="11"/>
  <c r="F6" i="11" s="1"/>
  <c r="E20" i="11"/>
  <c r="E7" i="11"/>
  <c r="F7" i="11" s="1"/>
  <c r="G7" i="11" s="1"/>
  <c r="Y17" i="11"/>
  <c r="X17" i="11"/>
  <c r="E21" i="11"/>
  <c r="J52" i="11"/>
  <c r="L52" i="11"/>
  <c r="AR52" i="11"/>
  <c r="AZ52" i="11"/>
  <c r="E25" i="11"/>
  <c r="F25" i="11" s="1"/>
  <c r="G25" i="11" s="1"/>
  <c r="AN25" i="11" s="1"/>
  <c r="AD42" i="11"/>
  <c r="AL42" i="11"/>
  <c r="AE42" i="11"/>
  <c r="AM42" i="11"/>
  <c r="V52" i="11"/>
  <c r="AT52" i="11"/>
  <c r="BB52" i="11"/>
  <c r="X42" i="11"/>
  <c r="AF42" i="11"/>
  <c r="E31" i="11"/>
  <c r="F31" i="11" s="1"/>
  <c r="G31" i="11" s="1"/>
  <c r="O52" i="11"/>
  <c r="AU52" i="11"/>
  <c r="E28" i="11"/>
  <c r="F28" i="11" s="1"/>
  <c r="G28" i="11" s="1"/>
  <c r="AN28" i="11" s="1"/>
  <c r="Y42" i="11"/>
  <c r="AG42" i="11"/>
  <c r="E26" i="11"/>
  <c r="F26" i="11" s="1"/>
  <c r="G26" i="11" s="1"/>
  <c r="AN26" i="11" s="1"/>
  <c r="Z42" i="11"/>
  <c r="AH42" i="11"/>
  <c r="I52" i="11"/>
  <c r="E29" i="11"/>
  <c r="F29" i="11" s="1"/>
  <c r="G29" i="11" s="1"/>
  <c r="AN29" i="11" s="1"/>
  <c r="AA42" i="11"/>
  <c r="CA53" i="3"/>
  <c r="BO53" i="3"/>
  <c r="BC53" i="3"/>
  <c r="C9" i="6"/>
  <c r="E9" i="6"/>
  <c r="E11" i="11" l="1"/>
  <c r="F11" i="11" s="1"/>
  <c r="G11" i="11" s="1"/>
  <c r="AC11" i="11" s="1"/>
  <c r="E12" i="11"/>
  <c r="F12" i="11" s="1"/>
  <c r="G12" i="11" s="1"/>
  <c r="AL12" i="11" s="1"/>
  <c r="E23" i="11"/>
  <c r="F23" i="11" s="1"/>
  <c r="G23" i="11" s="1"/>
  <c r="G19" i="11"/>
  <c r="G16" i="10" s="1"/>
  <c r="E15" i="11"/>
  <c r="F15" i="11" s="1"/>
  <c r="G15" i="11" s="1"/>
  <c r="AB15" i="11" s="1"/>
  <c r="E10" i="11"/>
  <c r="F10" i="11" s="1"/>
  <c r="G10" i="11" s="1"/>
  <c r="AF10" i="11" s="1"/>
  <c r="AE14" i="12"/>
  <c r="AH14" i="12"/>
  <c r="E39" i="12"/>
  <c r="E31" i="6" s="1"/>
  <c r="E36" i="6" s="1"/>
  <c r="E38" i="6" s="1"/>
  <c r="E36" i="12"/>
  <c r="F36" i="12" s="1"/>
  <c r="E40" i="12"/>
  <c r="F40" i="12" s="1"/>
  <c r="E37" i="12"/>
  <c r="F37" i="12" s="1"/>
  <c r="G37" i="12" s="1"/>
  <c r="W37" i="12" s="1"/>
  <c r="AC52" i="16"/>
  <c r="AB52" i="16"/>
  <c r="AD52" i="20"/>
  <c r="AA52" i="20"/>
  <c r="AG52" i="20"/>
  <c r="AK52" i="20"/>
  <c r="AJ21" i="16"/>
  <c r="AJ52" i="16" s="1"/>
  <c r="AF21" i="16"/>
  <c r="AF52" i="16" s="1"/>
  <c r="AL52" i="20"/>
  <c r="Z52" i="16"/>
  <c r="AB52" i="20"/>
  <c r="AA52" i="16"/>
  <c r="S53" i="16" s="1"/>
  <c r="AG21" i="16"/>
  <c r="AE21" i="16"/>
  <c r="AE52" i="16" s="1"/>
  <c r="AK21" i="16"/>
  <c r="AH52" i="20"/>
  <c r="AE52" i="20"/>
  <c r="E40" i="13"/>
  <c r="F40" i="13" s="1"/>
  <c r="E37" i="13"/>
  <c r="F37" i="13" s="1"/>
  <c r="G37" i="13" s="1"/>
  <c r="W37" i="13" s="1"/>
  <c r="E36" i="13"/>
  <c r="F36" i="13" s="1"/>
  <c r="G36" i="13" s="1"/>
  <c r="W36" i="13" s="1"/>
  <c r="AC52" i="20"/>
  <c r="E34" i="13"/>
  <c r="F34" i="13" s="1"/>
  <c r="AF52" i="20"/>
  <c r="AL21" i="16"/>
  <c r="AL52" i="16" s="1"/>
  <c r="AH21" i="16"/>
  <c r="AH52" i="16" s="1"/>
  <c r="Z52" i="20"/>
  <c r="AJ52" i="20"/>
  <c r="G40" i="14"/>
  <c r="CU40" i="14" s="1"/>
  <c r="CU52" i="14" s="1"/>
  <c r="CM53" i="14" s="1"/>
  <c r="E38" i="14"/>
  <c r="AK52" i="16"/>
  <c r="Q58" i="18"/>
  <c r="AM52" i="18"/>
  <c r="W58" i="18"/>
  <c r="AI52" i="18"/>
  <c r="AF52" i="18"/>
  <c r="AF58" i="18" s="1"/>
  <c r="AI52" i="16"/>
  <c r="R58" i="18"/>
  <c r="M58" i="18"/>
  <c r="U58" i="18"/>
  <c r="AD58" i="18"/>
  <c r="P58" i="18"/>
  <c r="AC58" i="18"/>
  <c r="O58" i="18"/>
  <c r="AB58" i="18"/>
  <c r="V58" i="18"/>
  <c r="AA58" i="18"/>
  <c r="Y58" i="18"/>
  <c r="N58" i="18"/>
  <c r="Z58" i="18"/>
  <c r="X58" i="18"/>
  <c r="S58" i="18"/>
  <c r="O58" i="16"/>
  <c r="S58" i="16"/>
  <c r="P58" i="16"/>
  <c r="Q58" i="16"/>
  <c r="L58" i="16"/>
  <c r="N58" i="16"/>
  <c r="R58" i="16"/>
  <c r="T58" i="16"/>
  <c r="U58" i="16"/>
  <c r="M58" i="16"/>
  <c r="V58" i="16"/>
  <c r="K58" i="16"/>
  <c r="W58" i="16"/>
  <c r="X58" i="16"/>
  <c r="Y58" i="16"/>
  <c r="J58" i="11"/>
  <c r="I58" i="11"/>
  <c r="J14" i="10"/>
  <c r="G14" i="10"/>
  <c r="H14" i="10"/>
  <c r="Q14" i="10"/>
  <c r="I14" i="10"/>
  <c r="L14" i="10"/>
  <c r="O14" i="10"/>
  <c r="P14" i="10"/>
  <c r="K14" i="10"/>
  <c r="F14" i="10"/>
  <c r="N14" i="10"/>
  <c r="R14" i="10"/>
  <c r="M14" i="10"/>
  <c r="E14" i="10"/>
  <c r="AD14" i="12"/>
  <c r="AD52" i="12" s="1"/>
  <c r="AM52" i="12"/>
  <c r="E45" i="6"/>
  <c r="E50" i="6" s="1"/>
  <c r="E52" i="6" s="1"/>
  <c r="AM52" i="16"/>
  <c r="Z58" i="16"/>
  <c r="AG52" i="16"/>
  <c r="AJ52" i="18"/>
  <c r="AK21" i="18"/>
  <c r="AK52" i="18" s="1"/>
  <c r="AL21" i="18"/>
  <c r="AL52" i="18" s="1"/>
  <c r="AG21" i="18"/>
  <c r="AG52" i="18" s="1"/>
  <c r="AE58" i="18"/>
  <c r="V58" i="20"/>
  <c r="Q58" i="20"/>
  <c r="N58" i="20"/>
  <c r="X58" i="20"/>
  <c r="O58" i="20"/>
  <c r="T58" i="20"/>
  <c r="Y58" i="20"/>
  <c r="S58" i="20"/>
  <c r="W58" i="20"/>
  <c r="R58" i="20"/>
  <c r="P58" i="20"/>
  <c r="U58" i="20"/>
  <c r="H53" i="20"/>
  <c r="M58" i="20"/>
  <c r="H53" i="18"/>
  <c r="G50" i="18"/>
  <c r="G50" i="16"/>
  <c r="G51" i="16" s="1"/>
  <c r="H53" i="16"/>
  <c r="Z14" i="14"/>
  <c r="M52" i="14"/>
  <c r="AJ14" i="14"/>
  <c r="AD14" i="14"/>
  <c r="R14" i="14"/>
  <c r="R52" i="14" s="1"/>
  <c r="AH14" i="14"/>
  <c r="Y14" i="14"/>
  <c r="Y52" i="14" s="1"/>
  <c r="K14" i="14"/>
  <c r="K52" i="14" s="1"/>
  <c r="X14" i="14"/>
  <c r="X52" i="14" s="1"/>
  <c r="AA14" i="14"/>
  <c r="AN14" i="14"/>
  <c r="AN52" i="14" s="1"/>
  <c r="P14" i="14"/>
  <c r="P52" i="14" s="1"/>
  <c r="AI14" i="14"/>
  <c r="AD14" i="13"/>
  <c r="Y52" i="13"/>
  <c r="AN14" i="13"/>
  <c r="AN52" i="13" s="1"/>
  <c r="X52" i="13"/>
  <c r="M13" i="13"/>
  <c r="R14" i="13"/>
  <c r="R52" i="13" s="1"/>
  <c r="K14" i="13"/>
  <c r="W52" i="13"/>
  <c r="P9" i="12"/>
  <c r="P14" i="12" s="1"/>
  <c r="P52" i="12" s="1"/>
  <c r="M9" i="12"/>
  <c r="M14" i="12" s="1"/>
  <c r="M52" i="12" s="1"/>
  <c r="AL14" i="12"/>
  <c r="AL52" i="12" s="1"/>
  <c r="AA52" i="12"/>
  <c r="X14" i="12"/>
  <c r="X52" i="12" s="1"/>
  <c r="AC14" i="12"/>
  <c r="AC52" i="12" s="1"/>
  <c r="Z14" i="12"/>
  <c r="Z52" i="12" s="1"/>
  <c r="AF14" i="12"/>
  <c r="AF52" i="12" s="1"/>
  <c r="AI14" i="12"/>
  <c r="AI52" i="12" s="1"/>
  <c r="AJ14" i="12"/>
  <c r="AJ52" i="12" s="1"/>
  <c r="AE52" i="12"/>
  <c r="K14" i="12"/>
  <c r="K52" i="12" s="1"/>
  <c r="AN14" i="12"/>
  <c r="AN52" i="12" s="1"/>
  <c r="Y14" i="12"/>
  <c r="Y52" i="12" s="1"/>
  <c r="AH52" i="12"/>
  <c r="AG52" i="12"/>
  <c r="R14" i="12"/>
  <c r="R52" i="12" s="1"/>
  <c r="AK52" i="12"/>
  <c r="AB52" i="12"/>
  <c r="Z11" i="11"/>
  <c r="AQ53" i="11"/>
  <c r="AJ31" i="11"/>
  <c r="AB31" i="11"/>
  <c r="AL31" i="11"/>
  <c r="AI31" i="11"/>
  <c r="AA31" i="11"/>
  <c r="AD31" i="11"/>
  <c r="AH31" i="11"/>
  <c r="Z31" i="11"/>
  <c r="AK31" i="11"/>
  <c r="AG31" i="11"/>
  <c r="Y31" i="11"/>
  <c r="AF31" i="11"/>
  <c r="X31" i="11"/>
  <c r="AM31" i="11"/>
  <c r="AE31" i="11"/>
  <c r="AC31" i="11"/>
  <c r="Y16" i="11"/>
  <c r="Y20" i="11" s="1"/>
  <c r="X16" i="11"/>
  <c r="X20" i="11" s="1"/>
  <c r="AJ15" i="11"/>
  <c r="AE15" i="11"/>
  <c r="P24" i="11"/>
  <c r="N24" i="11"/>
  <c r="N52" i="11" s="1"/>
  <c r="G9" i="11"/>
  <c r="Y7" i="11"/>
  <c r="X7" i="11"/>
  <c r="F21" i="11"/>
  <c r="G21" i="11" s="1"/>
  <c r="F20" i="11"/>
  <c r="G20" i="11" s="1"/>
  <c r="E13" i="11"/>
  <c r="F13" i="11" s="1"/>
  <c r="G13" i="11" s="1"/>
  <c r="G6" i="11"/>
  <c r="Y8" i="11"/>
  <c r="X8" i="11"/>
  <c r="K3" i="3"/>
  <c r="I2" i="3"/>
  <c r="AL15" i="11" l="1"/>
  <c r="AM15" i="11"/>
  <c r="Z15" i="11"/>
  <c r="AA15" i="11"/>
  <c r="AH15" i="11"/>
  <c r="AI15" i="11"/>
  <c r="AC15" i="11"/>
  <c r="AG15" i="11"/>
  <c r="AF15" i="11"/>
  <c r="AD15" i="11"/>
  <c r="AK15" i="11"/>
  <c r="AI10" i="11"/>
  <c r="AM11" i="11"/>
  <c r="AG11" i="11"/>
  <c r="AE11" i="11"/>
  <c r="AB11" i="11"/>
  <c r="AH11" i="11"/>
  <c r="AA11" i="11"/>
  <c r="AK11" i="11"/>
  <c r="AJ11" i="11"/>
  <c r="AF11" i="11"/>
  <c r="AL11" i="11"/>
  <c r="AD11" i="11"/>
  <c r="AI11" i="11"/>
  <c r="G17" i="10"/>
  <c r="K17" i="10"/>
  <c r="J17" i="10"/>
  <c r="P17" i="10"/>
  <c r="O17" i="10"/>
  <c r="L17" i="10"/>
  <c r="M17" i="10"/>
  <c r="R17" i="10"/>
  <c r="Q17" i="10"/>
  <c r="E17" i="10"/>
  <c r="N17" i="10"/>
  <c r="H17" i="10"/>
  <c r="AH10" i="11"/>
  <c r="AM10" i="11"/>
  <c r="AG10" i="11"/>
  <c r="I16" i="10"/>
  <c r="F16" i="10"/>
  <c r="H16" i="10"/>
  <c r="E16" i="10"/>
  <c r="AL10" i="11"/>
  <c r="AD10" i="11"/>
  <c r="AB10" i="11"/>
  <c r="AE10" i="11"/>
  <c r="E14" i="11"/>
  <c r="F14" i="11" s="1"/>
  <c r="G14" i="11" s="1"/>
  <c r="E34" i="11" s="1"/>
  <c r="F34" i="11" s="1"/>
  <c r="G34" i="11" s="1"/>
  <c r="W34" i="11" s="1"/>
  <c r="Z10" i="11"/>
  <c r="AC10" i="11"/>
  <c r="AK10" i="11"/>
  <c r="T23" i="11"/>
  <c r="T52" i="11" s="1"/>
  <c r="Q23" i="11"/>
  <c r="Q52" i="11" s="1"/>
  <c r="AM12" i="11"/>
  <c r="AM14" i="11" s="1"/>
  <c r="AD12" i="11"/>
  <c r="R12" i="11"/>
  <c r="AH12" i="11"/>
  <c r="P12" i="11"/>
  <c r="AK12" i="11"/>
  <c r="Z12" i="11"/>
  <c r="AJ12" i="11"/>
  <c r="AC12" i="11"/>
  <c r="AB12" i="11"/>
  <c r="K12" i="11"/>
  <c r="AG12" i="11"/>
  <c r="Y12" i="11"/>
  <c r="Y14" i="11" s="1"/>
  <c r="AN12" i="11"/>
  <c r="AF12" i="11"/>
  <c r="AF14" i="11" s="1"/>
  <c r="AE12" i="11"/>
  <c r="AA12" i="11"/>
  <c r="X12" i="11"/>
  <c r="X14" i="11" s="1"/>
  <c r="AI12" i="11"/>
  <c r="AI14" i="11" s="1"/>
  <c r="AA10" i="11"/>
  <c r="AJ10" i="11"/>
  <c r="G40" i="12"/>
  <c r="CU40" i="12" s="1"/>
  <c r="CU52" i="12" s="1"/>
  <c r="CM53" i="12" s="1"/>
  <c r="E38" i="12"/>
  <c r="G36" i="12"/>
  <c r="W36" i="12" s="1"/>
  <c r="G40" i="13"/>
  <c r="CU40" i="13" s="1"/>
  <c r="E38" i="13"/>
  <c r="AS58" i="20"/>
  <c r="AA58" i="16"/>
  <c r="S53" i="20"/>
  <c r="AB58" i="20"/>
  <c r="CF58" i="20"/>
  <c r="BZ58" i="20"/>
  <c r="BB58" i="20"/>
  <c r="Z58" i="20"/>
  <c r="AD58" i="16"/>
  <c r="BA58" i="20"/>
  <c r="AC58" i="16"/>
  <c r="AO58" i="20"/>
  <c r="AT58" i="20"/>
  <c r="AB58" i="16"/>
  <c r="AA58" i="20"/>
  <c r="AE58" i="16"/>
  <c r="AE58" i="20"/>
  <c r="AC58" i="20"/>
  <c r="CG58" i="20"/>
  <c r="BT58" i="20"/>
  <c r="AM58" i="20"/>
  <c r="BI58" i="20"/>
  <c r="CN58" i="20"/>
  <c r="AD58" i="20"/>
  <c r="CO58" i="20"/>
  <c r="BQ58" i="20"/>
  <c r="AH58" i="20"/>
  <c r="BD58" i="20"/>
  <c r="CB58" i="20"/>
  <c r="BN58" i="20"/>
  <c r="AU58" i="20"/>
  <c r="CM58" i="20"/>
  <c r="CC58" i="20"/>
  <c r="BR58" i="20"/>
  <c r="AW58" i="20"/>
  <c r="BS58" i="20"/>
  <c r="CL58" i="20"/>
  <c r="CU58" i="20"/>
  <c r="G58" i="20" s="1"/>
  <c r="CH58" i="20"/>
  <c r="AQ58" i="20"/>
  <c r="G57" i="20"/>
  <c r="BF58" i="20"/>
  <c r="BC58" i="20"/>
  <c r="CK58" i="20"/>
  <c r="AL58" i="20"/>
  <c r="AG58" i="20"/>
  <c r="BE58" i="20"/>
  <c r="CD58" i="20"/>
  <c r="CR58" i="20"/>
  <c r="AX58" i="20"/>
  <c r="BL58" i="20"/>
  <c r="CA58" i="20"/>
  <c r="BV58" i="20"/>
  <c r="BG58" i="20"/>
  <c r="AV58" i="20"/>
  <c r="G53" i="20"/>
  <c r="CE58" i="20"/>
  <c r="BP58" i="20"/>
  <c r="CQ58" i="20"/>
  <c r="BW58" i="20"/>
  <c r="AF58" i="20"/>
  <c r="BJ58" i="20"/>
  <c r="BX58" i="20"/>
  <c r="AY58" i="20"/>
  <c r="AE53" i="20"/>
  <c r="BK58" i="20"/>
  <c r="AR58" i="20"/>
  <c r="AN58" i="20"/>
  <c r="AJ58" i="20"/>
  <c r="AZ58" i="20"/>
  <c r="CT58" i="20"/>
  <c r="CI58" i="20"/>
  <c r="BM58" i="20"/>
  <c r="BH58" i="20"/>
  <c r="BU58" i="20"/>
  <c r="CP58" i="20"/>
  <c r="AP58" i="20"/>
  <c r="CJ58" i="20"/>
  <c r="BO58" i="20"/>
  <c r="CS58" i="20"/>
  <c r="BY58" i="20"/>
  <c r="AI58" i="20"/>
  <c r="AK58" i="20"/>
  <c r="K52" i="13"/>
  <c r="G34" i="13"/>
  <c r="W34" i="13" s="1"/>
  <c r="M52" i="13"/>
  <c r="CU52" i="13"/>
  <c r="CM53" i="13" s="1"/>
  <c r="AG58" i="18"/>
  <c r="G57" i="16"/>
  <c r="AM58" i="16"/>
  <c r="CS58" i="16"/>
  <c r="CO58" i="16"/>
  <c r="CG58" i="16"/>
  <c r="BE58" i="16"/>
  <c r="BA58" i="16"/>
  <c r="CT58" i="16"/>
  <c r="AU58" i="16"/>
  <c r="CL58" i="16"/>
  <c r="CU58" i="16"/>
  <c r="G58" i="16" s="1"/>
  <c r="CP58" i="16"/>
  <c r="CN58" i="16"/>
  <c r="AJ58" i="16"/>
  <c r="CK58" i="16"/>
  <c r="AY58" i="16"/>
  <c r="AO58" i="16"/>
  <c r="CM58" i="16"/>
  <c r="AE53" i="16"/>
  <c r="CD58" i="16"/>
  <c r="CR58" i="16"/>
  <c r="CH58" i="16"/>
  <c r="CF58" i="16"/>
  <c r="AN58" i="16"/>
  <c r="AF58" i="16"/>
  <c r="G53" i="16"/>
  <c r="CQ58" i="16"/>
  <c r="BK58" i="16"/>
  <c r="AX58" i="16"/>
  <c r="BL58" i="16"/>
  <c r="BB58" i="16"/>
  <c r="AZ58" i="16"/>
  <c r="CE58" i="16"/>
  <c r="AV58" i="16"/>
  <c r="BW58" i="16"/>
  <c r="AK58" i="16"/>
  <c r="Q58" i="12"/>
  <c r="T58" i="12"/>
  <c r="AC58" i="12"/>
  <c r="R58" i="12"/>
  <c r="Z58" i="12"/>
  <c r="L58" i="12"/>
  <c r="N58" i="12"/>
  <c r="AM58" i="12"/>
  <c r="AH58" i="12"/>
  <c r="P58" i="12"/>
  <c r="AB58" i="12"/>
  <c r="AD58" i="12"/>
  <c r="M58" i="12"/>
  <c r="AA58" i="12"/>
  <c r="O58" i="12"/>
  <c r="AI58" i="12"/>
  <c r="AK58" i="12"/>
  <c r="AE58" i="12"/>
  <c r="V58" i="12"/>
  <c r="K58" i="12"/>
  <c r="AJ58" i="12"/>
  <c r="AL58" i="12"/>
  <c r="S58" i="12"/>
  <c r="Y58" i="12"/>
  <c r="U58" i="12"/>
  <c r="AG58" i="12"/>
  <c r="W58" i="12"/>
  <c r="AF58" i="12"/>
  <c r="X58" i="12"/>
  <c r="CJ58" i="16"/>
  <c r="BO58" i="16"/>
  <c r="BN58" i="16"/>
  <c r="BU58" i="16"/>
  <c r="CB58" i="16"/>
  <c r="CA58" i="16"/>
  <c r="BR58" i="16"/>
  <c r="BQ58" i="16"/>
  <c r="BP58" i="16"/>
  <c r="AI58" i="16"/>
  <c r="M58" i="13"/>
  <c r="U58" i="13"/>
  <c r="O58" i="13"/>
  <c r="K58" i="13"/>
  <c r="S58" i="13"/>
  <c r="Y58" i="13"/>
  <c r="W58" i="13"/>
  <c r="Q58" i="13"/>
  <c r="L58" i="13"/>
  <c r="N58" i="13"/>
  <c r="T58" i="13"/>
  <c r="V58" i="13"/>
  <c r="P58" i="13"/>
  <c r="X58" i="13"/>
  <c r="R58" i="13"/>
  <c r="BG58" i="16"/>
  <c r="BF58" i="16"/>
  <c r="BM58" i="16"/>
  <c r="BT58" i="16"/>
  <c r="BS58" i="16"/>
  <c r="BJ58" i="16"/>
  <c r="BI58" i="16"/>
  <c r="BH58" i="16"/>
  <c r="AL58" i="16"/>
  <c r="AH58" i="16"/>
  <c r="AQ58" i="16"/>
  <c r="AP58" i="16"/>
  <c r="AW58" i="16"/>
  <c r="BD58" i="16"/>
  <c r="BC58" i="16"/>
  <c r="AT58" i="16"/>
  <c r="AS58" i="16"/>
  <c r="AR58" i="16"/>
  <c r="AG58" i="16"/>
  <c r="BV58" i="16"/>
  <c r="CC58" i="16"/>
  <c r="CI58" i="16"/>
  <c r="BZ58" i="16"/>
  <c r="BY58" i="16"/>
  <c r="BX58" i="16"/>
  <c r="BN58" i="18"/>
  <c r="BK58" i="18"/>
  <c r="BD58" i="18"/>
  <c r="BF58" i="18"/>
  <c r="BI58" i="18"/>
  <c r="BH58" i="18"/>
  <c r="BS58" i="18"/>
  <c r="AW58" i="18"/>
  <c r="BJ58" i="18"/>
  <c r="BG58" i="18"/>
  <c r="BP58" i="18"/>
  <c r="CP58" i="18"/>
  <c r="CG58" i="18"/>
  <c r="CR58" i="18"/>
  <c r="AQ58" i="18"/>
  <c r="AS58" i="18"/>
  <c r="AK58" i="18"/>
  <c r="CS58" i="18"/>
  <c r="CH58" i="18"/>
  <c r="CO58" i="18"/>
  <c r="CF58" i="18"/>
  <c r="AE53" i="18"/>
  <c r="V58" i="14"/>
  <c r="P58" i="14"/>
  <c r="Q58" i="14"/>
  <c r="X58" i="14"/>
  <c r="K58" i="14"/>
  <c r="M58" i="14"/>
  <c r="S58" i="14"/>
  <c r="U58" i="14"/>
  <c r="Y58" i="14"/>
  <c r="O58" i="14"/>
  <c r="R58" i="14"/>
  <c r="L58" i="14"/>
  <c r="W58" i="14"/>
  <c r="T58" i="14"/>
  <c r="N58" i="14"/>
  <c r="BO58" i="18"/>
  <c r="CC58" i="18"/>
  <c r="AL58" i="18"/>
  <c r="BA58" i="18"/>
  <c r="BX58" i="18"/>
  <c r="CK58" i="18"/>
  <c r="AR58" i="18"/>
  <c r="AJ58" i="18"/>
  <c r="CA58" i="18"/>
  <c r="BY58" i="18"/>
  <c r="AV58" i="18"/>
  <c r="CB58" i="18"/>
  <c r="CL58" i="18"/>
  <c r="CU58" i="18"/>
  <c r="AO58" i="18"/>
  <c r="AM58" i="18"/>
  <c r="BV58" i="18"/>
  <c r="G53" i="18"/>
  <c r="AP58" i="18"/>
  <c r="BR58" i="18"/>
  <c r="CM58" i="18"/>
  <c r="CT58" i="18"/>
  <c r="BB58" i="18"/>
  <c r="AI58" i="18"/>
  <c r="BL58" i="18"/>
  <c r="CI58" i="18"/>
  <c r="BZ58" i="18"/>
  <c r="BU58" i="18"/>
  <c r="AT58" i="18"/>
  <c r="AZ58" i="18"/>
  <c r="CQ58" i="18"/>
  <c r="AX58" i="18"/>
  <c r="AH58" i="18"/>
  <c r="BE58" i="18"/>
  <c r="BT58" i="18"/>
  <c r="BW58" i="18"/>
  <c r="CD58" i="18"/>
  <c r="CN58" i="18"/>
  <c r="BC58" i="18"/>
  <c r="BQ58" i="18"/>
  <c r="G57" i="18"/>
  <c r="BM58" i="18"/>
  <c r="CJ58" i="18"/>
  <c r="CE58" i="18"/>
  <c r="AU58" i="18"/>
  <c r="AN58" i="18"/>
  <c r="AY58" i="18"/>
  <c r="AQ58" i="12"/>
  <c r="AY58" i="12"/>
  <c r="BG58" i="12"/>
  <c r="BO58" i="12"/>
  <c r="BW58" i="12"/>
  <c r="CE58" i="12"/>
  <c r="CM58" i="12"/>
  <c r="BF58" i="12"/>
  <c r="AR58" i="12"/>
  <c r="AZ58" i="12"/>
  <c r="BH58" i="12"/>
  <c r="BP58" i="12"/>
  <c r="BX58" i="12"/>
  <c r="CF58" i="12"/>
  <c r="CN58" i="12"/>
  <c r="CU58" i="12"/>
  <c r="CL58" i="12"/>
  <c r="AS58" i="12"/>
  <c r="BA58" i="12"/>
  <c r="BI58" i="12"/>
  <c r="BQ58" i="12"/>
  <c r="BY58" i="12"/>
  <c r="CG58" i="12"/>
  <c r="CO58" i="12"/>
  <c r="BN58" i="12"/>
  <c r="AT58" i="12"/>
  <c r="BB58" i="12"/>
  <c r="BJ58" i="12"/>
  <c r="BR58" i="12"/>
  <c r="BZ58" i="12"/>
  <c r="CH58" i="12"/>
  <c r="CP58" i="12"/>
  <c r="CD58" i="12"/>
  <c r="AU58" i="12"/>
  <c r="BC58" i="12"/>
  <c r="BK58" i="12"/>
  <c r="BS58" i="12"/>
  <c r="CA58" i="12"/>
  <c r="CI58" i="12"/>
  <c r="CQ58" i="12"/>
  <c r="AP58" i="12"/>
  <c r="CT58" i="12"/>
  <c r="AN58" i="12"/>
  <c r="AV58" i="12"/>
  <c r="BD58" i="12"/>
  <c r="BL58" i="12"/>
  <c r="BT58" i="12"/>
  <c r="CB58" i="12"/>
  <c r="CJ58" i="12"/>
  <c r="CR58" i="12"/>
  <c r="BV58" i="12"/>
  <c r="AO58" i="12"/>
  <c r="AW58" i="12"/>
  <c r="BE58" i="12"/>
  <c r="BM58" i="12"/>
  <c r="BU58" i="12"/>
  <c r="CC58" i="12"/>
  <c r="CK58" i="12"/>
  <c r="CS58" i="12"/>
  <c r="AX58" i="12"/>
  <c r="G51" i="18"/>
  <c r="H53" i="14"/>
  <c r="H53" i="13"/>
  <c r="S53" i="12"/>
  <c r="G53" i="12"/>
  <c r="H53" i="12"/>
  <c r="G57" i="12"/>
  <c r="AE53" i="12"/>
  <c r="P9" i="11"/>
  <c r="M9" i="11"/>
  <c r="M14" i="11" s="1"/>
  <c r="M6" i="11"/>
  <c r="X13" i="11"/>
  <c r="X52" i="11" s="1"/>
  <c r="Y13" i="11"/>
  <c r="G5" i="3"/>
  <c r="G55" i="3"/>
  <c r="K4" i="3"/>
  <c r="AL14" i="11" l="1"/>
  <c r="AH14" i="11"/>
  <c r="F17" i="10"/>
  <c r="I17" i="10"/>
  <c r="AG14" i="11"/>
  <c r="Z14" i="11"/>
  <c r="Y52" i="11"/>
  <c r="E39" i="11"/>
  <c r="E17" i="6" s="1"/>
  <c r="AE14" i="11"/>
  <c r="AB14" i="11"/>
  <c r="E37" i="11"/>
  <c r="F37" i="11" s="1"/>
  <c r="G37" i="11" s="1"/>
  <c r="W37" i="11" s="1"/>
  <c r="E40" i="11"/>
  <c r="F40" i="11" s="1"/>
  <c r="AJ14" i="11"/>
  <c r="AC14" i="11"/>
  <c r="AA14" i="11"/>
  <c r="K14" i="11"/>
  <c r="K52" i="11" s="1"/>
  <c r="R14" i="11"/>
  <c r="R52" i="11" s="1"/>
  <c r="P14" i="11"/>
  <c r="P52" i="11" s="1"/>
  <c r="E36" i="11"/>
  <c r="F36" i="11" s="1"/>
  <c r="G36" i="11" s="1"/>
  <c r="W36" i="11" s="1"/>
  <c r="W52" i="11" s="1"/>
  <c r="AD14" i="11"/>
  <c r="AN14" i="11"/>
  <c r="AN52" i="11" s="1"/>
  <c r="AK14" i="11"/>
  <c r="C31" i="6"/>
  <c r="C36" i="6" s="1"/>
  <c r="C38" i="6" s="1"/>
  <c r="G50" i="12"/>
  <c r="G51" i="12" s="1"/>
  <c r="C45" i="6"/>
  <c r="C50" i="6" s="1"/>
  <c r="C52" i="6" s="1"/>
  <c r="G50" i="13"/>
  <c r="G51" i="13" s="1"/>
  <c r="G58" i="18"/>
  <c r="G58" i="12"/>
  <c r="M13" i="11"/>
  <c r="M52" i="11" s="1"/>
  <c r="K5" i="3"/>
  <c r="H5" i="3"/>
  <c r="I5" i="3"/>
  <c r="L58" i="11" l="1"/>
  <c r="K58" i="11"/>
  <c r="G40" i="11"/>
  <c r="CU40" i="11" s="1"/>
  <c r="CU52" i="11" s="1"/>
  <c r="CM53" i="11" s="1"/>
  <c r="E38" i="11"/>
  <c r="C17" i="6" s="1"/>
  <c r="G50" i="11"/>
  <c r="Y58" i="11"/>
  <c r="O58" i="11"/>
  <c r="S58" i="11"/>
  <c r="T58" i="11"/>
  <c r="N58" i="11"/>
  <c r="P58" i="11"/>
  <c r="V58" i="11"/>
  <c r="X58" i="11"/>
  <c r="R58" i="11"/>
  <c r="M58" i="11"/>
  <c r="U58" i="11"/>
  <c r="W58" i="11"/>
  <c r="Q58" i="11"/>
  <c r="H53" i="11"/>
  <c r="E23" i="6"/>
  <c r="C23" i="6"/>
  <c r="E21" i="6"/>
  <c r="C21" i="6"/>
  <c r="D38" i="3"/>
  <c r="D39" i="3"/>
  <c r="F45" i="3"/>
  <c r="G45" i="3" s="1"/>
  <c r="AN45" i="3" s="1"/>
  <c r="E22" i="6" l="1"/>
  <c r="E24" i="6" s="1"/>
  <c r="G51" i="11"/>
  <c r="E7" i="6"/>
  <c r="C7" i="6"/>
  <c r="F2" i="3"/>
  <c r="C22" i="6" l="1"/>
  <c r="C24" i="6" s="1"/>
  <c r="E43" i="3" l="1"/>
  <c r="F19" i="3" l="1"/>
  <c r="G19" i="3" s="1"/>
  <c r="D16" i="3"/>
  <c r="F16" i="3" s="1"/>
  <c r="F44" i="3"/>
  <c r="G44" i="3" s="1"/>
  <c r="AN44" i="3" s="1"/>
  <c r="F43" i="3"/>
  <c r="G42" i="3"/>
  <c r="G41" i="3"/>
  <c r="F35" i="3"/>
  <c r="G35" i="3" s="1"/>
  <c r="W35" i="3" s="1"/>
  <c r="F33" i="3"/>
  <c r="G33" i="3" s="1"/>
  <c r="W33" i="3" s="1"/>
  <c r="F32" i="3"/>
  <c r="G32" i="3" s="1"/>
  <c r="AN32" i="3" s="1"/>
  <c r="F30" i="3"/>
  <c r="G30" i="3" s="1"/>
  <c r="AN30" i="3" s="1"/>
  <c r="F27" i="3"/>
  <c r="G27" i="3" s="1"/>
  <c r="AN27" i="3" s="1"/>
  <c r="D24" i="3"/>
  <c r="D23" i="3"/>
  <c r="F22" i="3"/>
  <c r="G22" i="3" s="1"/>
  <c r="AM22" i="3" s="1"/>
  <c r="F4" i="3"/>
  <c r="F3" i="3"/>
  <c r="E5" i="3" l="1"/>
  <c r="G43" i="3"/>
  <c r="CU43" i="3" s="1"/>
  <c r="AE41" i="3"/>
  <c r="AM41" i="3"/>
  <c r="AF41" i="3"/>
  <c r="X41" i="3"/>
  <c r="Y41" i="3"/>
  <c r="AG41" i="3"/>
  <c r="AB41" i="3"/>
  <c r="AJ41" i="3"/>
  <c r="Z41" i="3"/>
  <c r="AH41" i="3"/>
  <c r="AA41" i="3"/>
  <c r="AI41" i="3"/>
  <c r="AC41" i="3"/>
  <c r="AK41" i="3"/>
  <c r="AD41" i="3"/>
  <c r="AL41" i="3"/>
  <c r="AF42" i="3"/>
  <c r="X42" i="3"/>
  <c r="Y42" i="3"/>
  <c r="AG42" i="3"/>
  <c r="Z42" i="3"/>
  <c r="AH42" i="3"/>
  <c r="AC42" i="3"/>
  <c r="AK42" i="3"/>
  <c r="AA42" i="3"/>
  <c r="AI42" i="3"/>
  <c r="AB42" i="3"/>
  <c r="AJ42" i="3"/>
  <c r="AD42" i="3"/>
  <c r="AL42" i="3"/>
  <c r="AE42" i="3"/>
  <c r="AM42" i="3"/>
  <c r="E20" i="3"/>
  <c r="G16" i="3"/>
  <c r="E7" i="3"/>
  <c r="F7" i="3" s="1"/>
  <c r="G7" i="3" s="1"/>
  <c r="X7" i="3" s="1"/>
  <c r="G9" i="10"/>
  <c r="H9" i="10"/>
  <c r="I9" i="10"/>
  <c r="F9" i="10"/>
  <c r="E9" i="10"/>
  <c r="F18" i="3"/>
  <c r="E31" i="3" s="1"/>
  <c r="F31" i="3" s="1"/>
  <c r="G31" i="3" s="1"/>
  <c r="AZ52" i="3"/>
  <c r="AR52" i="3"/>
  <c r="V52" i="3"/>
  <c r="AT52" i="3"/>
  <c r="AY52" i="3"/>
  <c r="AQ52" i="3"/>
  <c r="U52" i="3"/>
  <c r="AX52" i="3"/>
  <c r="AP52" i="3"/>
  <c r="L52" i="3"/>
  <c r="AW52" i="3"/>
  <c r="AO52" i="3"/>
  <c r="S52" i="3"/>
  <c r="J52" i="3"/>
  <c r="BB52" i="3"/>
  <c r="BA52" i="3"/>
  <c r="AV52" i="3"/>
  <c r="AS52" i="3"/>
  <c r="AU52" i="3"/>
  <c r="O52" i="3"/>
  <c r="E6" i="3"/>
  <c r="F6" i="3" s="1"/>
  <c r="E8" i="3"/>
  <c r="F8" i="3" s="1"/>
  <c r="G8" i="3" s="1"/>
  <c r="E24" i="3"/>
  <c r="F24" i="3" s="1"/>
  <c r="G24" i="3" s="1"/>
  <c r="F5" i="3"/>
  <c r="E26" i="3"/>
  <c r="F26" i="3" s="1"/>
  <c r="G26" i="3" s="1"/>
  <c r="AN26" i="3" s="1"/>
  <c r="E25" i="3" l="1"/>
  <c r="F25" i="3" s="1"/>
  <c r="G25" i="3" s="1"/>
  <c r="AN25" i="3" s="1"/>
  <c r="E10" i="3"/>
  <c r="F10" i="3" s="1"/>
  <c r="G10" i="3" s="1"/>
  <c r="AL10" i="3" s="1"/>
  <c r="E23" i="3"/>
  <c r="F23" i="3" s="1"/>
  <c r="G23" i="3" s="1"/>
  <c r="T23" i="3" s="1"/>
  <c r="T52" i="3" s="1"/>
  <c r="AQ53" i="3"/>
  <c r="G18" i="3"/>
  <c r="Q7" i="10" s="1"/>
  <c r="Q10" i="10" s="1"/>
  <c r="E12" i="3"/>
  <c r="F12" i="3" s="1"/>
  <c r="G12" i="3" s="1"/>
  <c r="AE31" i="3"/>
  <c r="AM31" i="3"/>
  <c r="AF31" i="3"/>
  <c r="X31" i="3"/>
  <c r="Y31" i="3"/>
  <c r="AG31" i="3"/>
  <c r="AJ31" i="3"/>
  <c r="Z31" i="3"/>
  <c r="AH31" i="3"/>
  <c r="AA31" i="3"/>
  <c r="AI31" i="3"/>
  <c r="AB31" i="3"/>
  <c r="AC31" i="3"/>
  <c r="AK31" i="3"/>
  <c r="AD31" i="3"/>
  <c r="AL31" i="3"/>
  <c r="X16" i="3"/>
  <c r="X20" i="3" s="1"/>
  <c r="Y16" i="3"/>
  <c r="Y20" i="3" s="1"/>
  <c r="AD10" i="3"/>
  <c r="AE10" i="3"/>
  <c r="AG10" i="3"/>
  <c r="Y8" i="3"/>
  <c r="X8" i="3"/>
  <c r="X13" i="3" s="1"/>
  <c r="I52" i="3"/>
  <c r="H52" i="3"/>
  <c r="E21" i="3"/>
  <c r="O7" i="10"/>
  <c r="O10" i="10" s="1"/>
  <c r="E9" i="3"/>
  <c r="F9" i="3" s="1"/>
  <c r="E13" i="3"/>
  <c r="F13" i="3" s="1"/>
  <c r="G13" i="3" s="1"/>
  <c r="G6" i="3"/>
  <c r="E15" i="3"/>
  <c r="F15" i="3" s="1"/>
  <c r="G15" i="3" s="1"/>
  <c r="Y7" i="3"/>
  <c r="E11" i="3"/>
  <c r="F11" i="3" s="1"/>
  <c r="G11" i="3" s="1"/>
  <c r="E29" i="3"/>
  <c r="F29" i="3" s="1"/>
  <c r="G29" i="3" s="1"/>
  <c r="AN29" i="3" s="1"/>
  <c r="P24" i="3"/>
  <c r="N24" i="3"/>
  <c r="N52" i="3" s="1"/>
  <c r="E28" i="3"/>
  <c r="F28" i="3" s="1"/>
  <c r="G28" i="3" s="1"/>
  <c r="AN28" i="3" s="1"/>
  <c r="AB10" i="3" l="1"/>
  <c r="AA10" i="3"/>
  <c r="AK10" i="3"/>
  <c r="AH10" i="3"/>
  <c r="AC10" i="3"/>
  <c r="Z10" i="3"/>
  <c r="L7" i="10"/>
  <c r="AF10" i="3"/>
  <c r="E7" i="10"/>
  <c r="AJ10" i="3"/>
  <c r="AM10" i="3"/>
  <c r="J7" i="10"/>
  <c r="AI10" i="3"/>
  <c r="R7" i="10"/>
  <c r="R10" i="10" s="1"/>
  <c r="I7" i="10"/>
  <c r="H7" i="10"/>
  <c r="Q23" i="3"/>
  <c r="Q52" i="3" s="1"/>
  <c r="K7" i="10"/>
  <c r="F21" i="3"/>
  <c r="G21" i="3" s="1"/>
  <c r="M7" i="10"/>
  <c r="G7" i="10"/>
  <c r="P7" i="10"/>
  <c r="N7" i="10"/>
  <c r="F7" i="10"/>
  <c r="AM12" i="3"/>
  <c r="AH12" i="3"/>
  <c r="P12" i="3"/>
  <c r="AG12" i="3"/>
  <c r="K12" i="3"/>
  <c r="AF12" i="3"/>
  <c r="AC12" i="3"/>
  <c r="Y12" i="3"/>
  <c r="Y14" i="3" s="1"/>
  <c r="AI12" i="3"/>
  <c r="AB12" i="3"/>
  <c r="AA12" i="3"/>
  <c r="Z12" i="3"/>
  <c r="AJ12" i="3"/>
  <c r="R12" i="3"/>
  <c r="AD12" i="3"/>
  <c r="AN12" i="3"/>
  <c r="AN14" i="3" s="1"/>
  <c r="AL12" i="3"/>
  <c r="AK12" i="3"/>
  <c r="X12" i="3"/>
  <c r="X14" i="3" s="1"/>
  <c r="AE12" i="3"/>
  <c r="G9" i="3"/>
  <c r="P9" i="3" s="1"/>
  <c r="E14" i="3"/>
  <c r="F14" i="3" s="1"/>
  <c r="J58" i="3"/>
  <c r="AJ21" i="3"/>
  <c r="AD21" i="11"/>
  <c r="AL21" i="3"/>
  <c r="I58" i="3"/>
  <c r="AA11" i="3"/>
  <c r="AI11" i="3"/>
  <c r="AB11" i="3"/>
  <c r="AJ11" i="3"/>
  <c r="AC11" i="3"/>
  <c r="AK11" i="3"/>
  <c r="Z11" i="3"/>
  <c r="AD11" i="3"/>
  <c r="AL11" i="3"/>
  <c r="AE11" i="3"/>
  <c r="AM11" i="3"/>
  <c r="AG11" i="3"/>
  <c r="AH11" i="3"/>
  <c r="AF11" i="3"/>
  <c r="Y13" i="3"/>
  <c r="AG15" i="3"/>
  <c r="AH15" i="3"/>
  <c r="AA15" i="3"/>
  <c r="AI15" i="3"/>
  <c r="AD15" i="3"/>
  <c r="AL15" i="3"/>
  <c r="AB15" i="3"/>
  <c r="AJ15" i="3"/>
  <c r="AC15" i="3"/>
  <c r="AK15" i="3"/>
  <c r="AE15" i="3"/>
  <c r="AM15" i="3"/>
  <c r="AF15" i="3"/>
  <c r="Z15" i="3"/>
  <c r="M6" i="3"/>
  <c r="M13" i="3" s="1"/>
  <c r="F17" i="3"/>
  <c r="G17" i="3" s="1"/>
  <c r="AA14" i="3" l="1"/>
  <c r="AC21" i="3"/>
  <c r="H10" i="10"/>
  <c r="AB21" i="3"/>
  <c r="G10" i="10"/>
  <c r="AA21" i="3"/>
  <c r="F10" i="10"/>
  <c r="AD21" i="3"/>
  <c r="I10" i="10"/>
  <c r="AK21" i="3"/>
  <c r="P10" i="10"/>
  <c r="AH21" i="3"/>
  <c r="M10" i="10"/>
  <c r="AI21" i="3"/>
  <c r="N10" i="10"/>
  <c r="AE21" i="3"/>
  <c r="J10" i="10"/>
  <c r="AF21" i="3"/>
  <c r="K10" i="10"/>
  <c r="AG21" i="3"/>
  <c r="L10" i="10"/>
  <c r="AM21" i="3"/>
  <c r="Z21" i="3"/>
  <c r="E10" i="10"/>
  <c r="AD14" i="3"/>
  <c r="Z14" i="3"/>
  <c r="M9" i="3"/>
  <c r="M14" i="3" s="1"/>
  <c r="AE14" i="3"/>
  <c r="AC14" i="3"/>
  <c r="AC52" i="3" s="1"/>
  <c r="AF14" i="3"/>
  <c r="AF52" i="3" s="1"/>
  <c r="AM14" i="3"/>
  <c r="AM52" i="3" s="1"/>
  <c r="AK14" i="3"/>
  <c r="AK52" i="3" s="1"/>
  <c r="AI14" i="3"/>
  <c r="AI52" i="3" s="1"/>
  <c r="AL14" i="3"/>
  <c r="AL52" i="3" s="1"/>
  <c r="AH14" i="3"/>
  <c r="AH52" i="3" s="1"/>
  <c r="AJ14" i="3"/>
  <c r="AJ52" i="3" s="1"/>
  <c r="R14" i="3"/>
  <c r="R52" i="3" s="1"/>
  <c r="AB14" i="3"/>
  <c r="AB52" i="3" s="1"/>
  <c r="AG14" i="3"/>
  <c r="AG52" i="3" s="1"/>
  <c r="K14" i="3"/>
  <c r="K52" i="3" s="1"/>
  <c r="AN52" i="3"/>
  <c r="P14" i="3"/>
  <c r="P52" i="3" s="1"/>
  <c r="AC21" i="13"/>
  <c r="AC52" i="13" s="1"/>
  <c r="Z21" i="14"/>
  <c r="Z52" i="14" s="1"/>
  <c r="AF21" i="13"/>
  <c r="AF52" i="13" s="1"/>
  <c r="AE21" i="13"/>
  <c r="AE52" i="13"/>
  <c r="Z21" i="13"/>
  <c r="Z52" i="13"/>
  <c r="AF21" i="14"/>
  <c r="AF52" i="14" s="1"/>
  <c r="AE21" i="14"/>
  <c r="AE52" i="14" s="1"/>
  <c r="AA21" i="13"/>
  <c r="AA52" i="13" s="1"/>
  <c r="AJ21" i="13"/>
  <c r="AJ52" i="13" s="1"/>
  <c r="AK21" i="13"/>
  <c r="AK52" i="13"/>
  <c r="AA21" i="14"/>
  <c r="AA52" i="14" s="1"/>
  <c r="AJ21" i="14"/>
  <c r="AJ52" i="14" s="1"/>
  <c r="AK21" i="14"/>
  <c r="AK52" i="14" s="1"/>
  <c r="AI21" i="13"/>
  <c r="AI52" i="13" s="1"/>
  <c r="AB21" i="14"/>
  <c r="AB52" i="14" s="1"/>
  <c r="AG21" i="14"/>
  <c r="AG52" i="14"/>
  <c r="AD21" i="14"/>
  <c r="AD52" i="14" s="1"/>
  <c r="AB21" i="13"/>
  <c r="AB52" i="13" s="1"/>
  <c r="AG21" i="13"/>
  <c r="AG52" i="13" s="1"/>
  <c r="AD21" i="13"/>
  <c r="AD52" i="13" s="1"/>
  <c r="AI52" i="14"/>
  <c r="AH21" i="13"/>
  <c r="AH52" i="13" s="1"/>
  <c r="AL21" i="13"/>
  <c r="AL52" i="13" s="1"/>
  <c r="AM21" i="13"/>
  <c r="AM52" i="13"/>
  <c r="AC21" i="14"/>
  <c r="AC52" i="14" s="1"/>
  <c r="AH21" i="14"/>
  <c r="AH52" i="14" s="1"/>
  <c r="AL21" i="14"/>
  <c r="AL52" i="14" s="1"/>
  <c r="AM21" i="14"/>
  <c r="AM52" i="14"/>
  <c r="G14" i="3"/>
  <c r="AK21" i="11"/>
  <c r="AK52" i="11" s="1"/>
  <c r="Z52" i="3"/>
  <c r="Z21" i="11"/>
  <c r="Z52" i="11" s="1"/>
  <c r="AG21" i="11"/>
  <c r="AG52" i="11" s="1"/>
  <c r="AB21" i="11"/>
  <c r="AB52" i="11" s="1"/>
  <c r="AA52" i="3"/>
  <c r="AA21" i="11"/>
  <c r="AA52" i="11" s="1"/>
  <c r="AE21" i="11"/>
  <c r="AE52" i="11" s="1"/>
  <c r="AL21" i="11"/>
  <c r="AL52" i="11" s="1"/>
  <c r="AI21" i="11"/>
  <c r="AI52" i="11" s="1"/>
  <c r="AH21" i="11"/>
  <c r="AH52" i="11" s="1"/>
  <c r="AC21" i="11"/>
  <c r="AC52" i="11" s="1"/>
  <c r="AD52" i="11"/>
  <c r="AM21" i="11"/>
  <c r="AM52" i="11" s="1"/>
  <c r="AJ21" i="11"/>
  <c r="AJ52" i="11"/>
  <c r="AF21" i="11"/>
  <c r="AF52" i="11" s="1"/>
  <c r="M52" i="3"/>
  <c r="Y17" i="3"/>
  <c r="Y52" i="3" s="1"/>
  <c r="X17" i="3"/>
  <c r="X52" i="3" s="1"/>
  <c r="F20" i="3"/>
  <c r="AE52" i="3" l="1"/>
  <c r="AD52" i="3"/>
  <c r="K58" i="3"/>
  <c r="L58" i="3"/>
  <c r="V58" i="3"/>
  <c r="S58" i="3"/>
  <c r="Q58" i="3"/>
  <c r="U58" i="3"/>
  <c r="O58" i="3"/>
  <c r="P58" i="3"/>
  <c r="R58" i="3"/>
  <c r="N58" i="3"/>
  <c r="T58" i="3"/>
  <c r="M58" i="3"/>
  <c r="BP58" i="11"/>
  <c r="AN58" i="11"/>
  <c r="CT58" i="11"/>
  <c r="AV58" i="11"/>
  <c r="AE58" i="11"/>
  <c r="BK58" i="11"/>
  <c r="BM58" i="11"/>
  <c r="CQ58" i="11"/>
  <c r="AF58" i="11"/>
  <c r="BL58" i="11"/>
  <c r="CC58" i="11"/>
  <c r="CO58" i="11"/>
  <c r="CN58" i="11"/>
  <c r="AM58" i="11"/>
  <c r="AB58" i="11"/>
  <c r="BF58" i="11"/>
  <c r="CI58" i="11"/>
  <c r="AW58" i="11"/>
  <c r="CE58" i="11"/>
  <c r="Z58" i="11"/>
  <c r="AY58" i="11"/>
  <c r="BN58" i="11"/>
  <c r="BU58" i="11"/>
  <c r="AO58" i="11"/>
  <c r="AZ58" i="11"/>
  <c r="BG58" i="11"/>
  <c r="CU58" i="11"/>
  <c r="G58" i="11" s="1"/>
  <c r="CD58" i="11"/>
  <c r="CB58" i="11"/>
  <c r="AH58" i="11"/>
  <c r="AI58" i="11"/>
  <c r="AA58" i="11"/>
  <c r="AS58" i="11"/>
  <c r="BH58" i="11"/>
  <c r="BV58" i="11"/>
  <c r="BW58" i="11"/>
  <c r="CF58" i="11"/>
  <c r="CG58" i="11"/>
  <c r="CP58" i="11"/>
  <c r="CJ58" i="11"/>
  <c r="BB58" i="11"/>
  <c r="BZ58" i="11"/>
  <c r="AQ58" i="11"/>
  <c r="BE58" i="11"/>
  <c r="BI58" i="11"/>
  <c r="BS58" i="11"/>
  <c r="AR58" i="11"/>
  <c r="AK58" i="11"/>
  <c r="BJ58" i="11"/>
  <c r="CK58" i="11"/>
  <c r="BD58" i="11"/>
  <c r="CL58" i="11"/>
  <c r="AG58" i="11"/>
  <c r="AL58" i="11"/>
  <c r="AT58" i="11"/>
  <c r="BA58" i="11"/>
  <c r="BO58" i="11"/>
  <c r="BX58" i="11"/>
  <c r="BY58" i="11"/>
  <c r="CH58" i="11"/>
  <c r="AX58" i="11"/>
  <c r="AC58" i="11"/>
  <c r="AJ58" i="11"/>
  <c r="CS58" i="11"/>
  <c r="BQ58" i="11"/>
  <c r="CA58" i="11"/>
  <c r="AD58" i="11"/>
  <c r="AU58" i="11"/>
  <c r="BR58" i="11"/>
  <c r="BT58" i="11"/>
  <c r="CR58" i="11"/>
  <c r="AP58" i="11"/>
  <c r="BC58" i="11"/>
  <c r="CM58" i="11"/>
  <c r="AR58" i="13"/>
  <c r="CM58" i="13"/>
  <c r="CE58" i="13"/>
  <c r="AK58" i="13"/>
  <c r="BD58" i="13"/>
  <c r="CR58" i="13"/>
  <c r="BG58" i="13"/>
  <c r="CB58" i="13"/>
  <c r="BT58" i="13"/>
  <c r="AZ58" i="13"/>
  <c r="CU58" i="13"/>
  <c r="G58" i="13" s="1"/>
  <c r="CG58" i="13"/>
  <c r="CN58" i="13"/>
  <c r="CF58" i="13"/>
  <c r="AM58" i="13"/>
  <c r="BF58" i="13"/>
  <c r="BW58" i="13"/>
  <c r="CC58" i="13"/>
  <c r="AY58" i="13"/>
  <c r="BU58" i="13"/>
  <c r="BH58" i="13"/>
  <c r="CL58" i="13"/>
  <c r="AU58" i="13"/>
  <c r="CO58" i="13"/>
  <c r="CD58" i="13"/>
  <c r="AG58" i="13"/>
  <c r="AO58" i="13"/>
  <c r="BP58" i="13"/>
  <c r="CK58" i="13"/>
  <c r="BO58" i="13"/>
  <c r="BX58" i="13"/>
  <c r="AS58" i="13"/>
  <c r="BK58" i="13"/>
  <c r="BV58" i="13"/>
  <c r="BC58" i="13"/>
  <c r="BY58" i="13"/>
  <c r="AW58" i="13"/>
  <c r="AB58" i="13"/>
  <c r="CS58" i="13"/>
  <c r="AA58" i="13"/>
  <c r="BA58" i="13"/>
  <c r="AV58" i="13"/>
  <c r="AT58" i="13"/>
  <c r="BS58" i="13"/>
  <c r="CH58" i="13"/>
  <c r="AI58" i="13"/>
  <c r="BE58" i="13"/>
  <c r="AD58" i="13"/>
  <c r="BN58" i="13"/>
  <c r="AH58" i="13"/>
  <c r="BI58" i="13"/>
  <c r="AC58" i="13"/>
  <c r="BB58" i="13"/>
  <c r="BL58" i="13"/>
  <c r="CQ58" i="13"/>
  <c r="BZ58" i="13"/>
  <c r="AJ58" i="13"/>
  <c r="CT58" i="13"/>
  <c r="BM58" i="13"/>
  <c r="BQ58" i="13"/>
  <c r="BJ58" i="13"/>
  <c r="CP58" i="13"/>
  <c r="AP58" i="13"/>
  <c r="CI58" i="13"/>
  <c r="Z58" i="13"/>
  <c r="AL58" i="13"/>
  <c r="AX58" i="13"/>
  <c r="AE58" i="13"/>
  <c r="BR58" i="13"/>
  <c r="AN58" i="13"/>
  <c r="CJ58" i="13"/>
  <c r="AQ58" i="13"/>
  <c r="CA58" i="13"/>
  <c r="AF58" i="13"/>
  <c r="AL58" i="14"/>
  <c r="CN58" i="14"/>
  <c r="CG58" i="14"/>
  <c r="CH58" i="14"/>
  <c r="CI58" i="14"/>
  <c r="CB58" i="14"/>
  <c r="BU58" i="14"/>
  <c r="BN58" i="14"/>
  <c r="CA58" i="14"/>
  <c r="AF58" i="14"/>
  <c r="AM58" i="14"/>
  <c r="BG58" i="14"/>
  <c r="CO58" i="14"/>
  <c r="CP58" i="14"/>
  <c r="CQ58" i="14"/>
  <c r="CJ58" i="14"/>
  <c r="CC58" i="14"/>
  <c r="BV58" i="14"/>
  <c r="BM58" i="14"/>
  <c r="AJ58" i="14"/>
  <c r="AE58" i="14"/>
  <c r="AG58" i="14"/>
  <c r="AR58" i="14"/>
  <c r="CU58" i="14"/>
  <c r="G58" i="14" s="1"/>
  <c r="AY58" i="14"/>
  <c r="AQ58" i="14"/>
  <c r="CM58" i="14"/>
  <c r="CR58" i="14"/>
  <c r="CK58" i="14"/>
  <c r="CD58" i="14"/>
  <c r="AZ58" i="14"/>
  <c r="AT58" i="14"/>
  <c r="AU58" i="14"/>
  <c r="CE58" i="14"/>
  <c r="CL58" i="14"/>
  <c r="AD58" i="14"/>
  <c r="AI58" i="14"/>
  <c r="AS58" i="14"/>
  <c r="AN58" i="14"/>
  <c r="CS58" i="14"/>
  <c r="AK58" i="14"/>
  <c r="BH58" i="14"/>
  <c r="BA58" i="14"/>
  <c r="BB58" i="14"/>
  <c r="BC58" i="14"/>
  <c r="AV58" i="14"/>
  <c r="AO58" i="14"/>
  <c r="BW58" i="14"/>
  <c r="CT58" i="14"/>
  <c r="BZ58" i="14"/>
  <c r="BF58" i="14"/>
  <c r="AH58" i="14"/>
  <c r="BP58" i="14"/>
  <c r="BI58" i="14"/>
  <c r="BJ58" i="14"/>
  <c r="BK58" i="14"/>
  <c r="BD58" i="14"/>
  <c r="AW58" i="14"/>
  <c r="AP58" i="14"/>
  <c r="BO58" i="14"/>
  <c r="BY58" i="14"/>
  <c r="AB58" i="14"/>
  <c r="AA58" i="14"/>
  <c r="Z58" i="14"/>
  <c r="BX58" i="14"/>
  <c r="BQ58" i="14"/>
  <c r="BR58" i="14"/>
  <c r="BS58" i="14"/>
  <c r="BL58" i="14"/>
  <c r="BE58" i="14"/>
  <c r="AX58" i="14"/>
  <c r="G57" i="14"/>
  <c r="AC58" i="14"/>
  <c r="CF58" i="14"/>
  <c r="BT58" i="14"/>
  <c r="AE53" i="14"/>
  <c r="AE53" i="13"/>
  <c r="G53" i="14"/>
  <c r="S53" i="14"/>
  <c r="G57" i="13"/>
  <c r="S53" i="13"/>
  <c r="G53" i="13"/>
  <c r="AE53" i="11"/>
  <c r="AE53" i="3"/>
  <c r="S53" i="11"/>
  <c r="G57" i="11"/>
  <c r="G53" i="11"/>
  <c r="H53" i="3"/>
  <c r="G20" i="3"/>
  <c r="E39" i="3" s="1"/>
  <c r="E37" i="3" l="1"/>
  <c r="F37" i="3" s="1"/>
  <c r="G37" i="3" s="1"/>
  <c r="W37" i="3" s="1"/>
  <c r="E36" i="3"/>
  <c r="F36" i="3" s="1"/>
  <c r="E34" i="3"/>
  <c r="F34" i="3" s="1"/>
  <c r="E40" i="3"/>
  <c r="F40" i="3" s="1"/>
  <c r="E3" i="6"/>
  <c r="E8" i="6" s="1"/>
  <c r="E10" i="6" s="1"/>
  <c r="G34" i="3" l="1"/>
  <c r="W34" i="3" s="1"/>
  <c r="G49" i="3"/>
  <c r="G40" i="3"/>
  <c r="CU40" i="3" s="1"/>
  <c r="CU52" i="3" s="1"/>
  <c r="CM53" i="3" s="1"/>
  <c r="E38" i="3"/>
  <c r="C3" i="6" s="1"/>
  <c r="G36" i="3"/>
  <c r="W36" i="3" s="1"/>
  <c r="G50" i="3"/>
  <c r="G51" i="3" s="1"/>
  <c r="W52" i="3" l="1"/>
  <c r="C8" i="6"/>
  <c r="C10" i="6" s="1"/>
  <c r="CH58" i="3" l="1"/>
  <c r="BN58" i="3"/>
  <c r="CI58" i="3"/>
  <c r="BK58" i="3"/>
  <c r="BH58" i="3"/>
  <c r="AS58" i="3"/>
  <c r="BU58" i="3"/>
  <c r="BA58" i="3"/>
  <c r="AG58" i="3"/>
  <c r="BY58" i="3"/>
  <c r="AO58" i="3"/>
  <c r="CT58" i="3"/>
  <c r="AP58" i="3"/>
  <c r="AE58" i="3"/>
  <c r="AH58" i="3"/>
  <c r="CM58" i="3"/>
  <c r="AR58" i="3"/>
  <c r="AY58" i="3"/>
  <c r="BJ58" i="3"/>
  <c r="CA58" i="3"/>
  <c r="AW58" i="3"/>
  <c r="CB58" i="3"/>
  <c r="CP58" i="3"/>
  <c r="BV58" i="3"/>
  <c r="CO58" i="3"/>
  <c r="CL58" i="3"/>
  <c r="BL58" i="3"/>
  <c r="AZ58" i="3"/>
  <c r="BP58" i="3"/>
  <c r="AI58" i="3"/>
  <c r="AT58" i="3"/>
  <c r="BC58" i="3"/>
  <c r="CK58" i="3"/>
  <c r="CN58" i="3"/>
  <c r="CF58" i="3"/>
  <c r="AA58" i="3"/>
  <c r="W58" i="3"/>
  <c r="CQ58" i="3"/>
  <c r="BG58" i="3"/>
  <c r="BM58" i="3"/>
  <c r="AM58" i="3"/>
  <c r="AD58" i="3"/>
  <c r="AJ58" i="3"/>
  <c r="AV58" i="3"/>
  <c r="BZ58" i="3"/>
  <c r="AK58" i="3"/>
  <c r="CD58" i="3"/>
  <c r="X58" i="3"/>
  <c r="AQ58" i="3"/>
  <c r="BX58" i="3"/>
  <c r="BF58" i="3"/>
  <c r="CU58" i="3"/>
  <c r="G58" i="3" s="1"/>
  <c r="CE58" i="3"/>
  <c r="Y58" i="3"/>
  <c r="CJ58" i="3"/>
  <c r="BB58" i="3"/>
  <c r="BR58" i="3"/>
  <c r="AC58" i="3"/>
  <c r="AU58" i="3"/>
  <c r="Z58" i="3"/>
  <c r="BO58" i="3"/>
  <c r="AN58" i="3"/>
  <c r="CC58" i="3"/>
  <c r="CR58" i="3"/>
  <c r="BQ58" i="3"/>
  <c r="BS58" i="3"/>
  <c r="CG58" i="3"/>
  <c r="BT58" i="3"/>
  <c r="BW58" i="3"/>
  <c r="AB58" i="3"/>
  <c r="BI58" i="3"/>
  <c r="AX58" i="3"/>
  <c r="CS58" i="3"/>
  <c r="AL58" i="3"/>
  <c r="BE58" i="3"/>
  <c r="AF58" i="3"/>
  <c r="BD58" i="3"/>
  <c r="S53" i="3"/>
  <c r="G57" i="3"/>
  <c r="G53" i="3"/>
  <c r="C64" i="6" l="1"/>
  <c r="C66" i="6" s="1"/>
  <c r="G50" i="14" l="1"/>
  <c r="G51" i="14" l="1"/>
</calcChain>
</file>

<file path=xl/sharedStrings.xml><?xml version="1.0" encoding="utf-8"?>
<sst xmlns="http://schemas.openxmlformats.org/spreadsheetml/2006/main" count="2247" uniqueCount="197">
  <si>
    <t>COSTE ADMINISTRATIVO</t>
  </si>
  <si>
    <t>COSTE REALOJO</t>
  </si>
  <si>
    <t>Vivienda</t>
  </si>
  <si>
    <t>Garaje</t>
  </si>
  <si>
    <t>COSTES</t>
  </si>
  <si>
    <t>INGRESOS</t>
  </si>
  <si>
    <t>LICENCIA derribo</t>
  </si>
  <si>
    <t>LICENCIA nueva ejecución</t>
  </si>
  <si>
    <t>Demolición</t>
  </si>
  <si>
    <t>IVA</t>
  </si>
  <si>
    <t>Nueva edificacion</t>
  </si>
  <si>
    <t>Derribo</t>
  </si>
  <si>
    <t>Gestión residuo-canon</t>
  </si>
  <si>
    <t>Proyecto nueva ejecución</t>
  </si>
  <si>
    <t>D.O. nueva ejecución</t>
  </si>
  <si>
    <t>Proyecto demolición</t>
  </si>
  <si>
    <t>D.O. demolición</t>
  </si>
  <si>
    <t>Alquiler guardamuebles</t>
  </si>
  <si>
    <t>Topografia</t>
  </si>
  <si>
    <t>Geotecnico</t>
  </si>
  <si>
    <t>OCT</t>
  </si>
  <si>
    <t>Legalizaciones-OCA</t>
  </si>
  <si>
    <t>Mes alquiler</t>
  </si>
  <si>
    <t>Seguro decenal</t>
  </si>
  <si>
    <t>COSTES FINANCIEROS</t>
  </si>
  <si>
    <t>Banco comisión apertura</t>
  </si>
  <si>
    <t>Comisión cancelación</t>
  </si>
  <si>
    <t>Notaria prestamo</t>
  </si>
  <si>
    <t>Registro prestamo</t>
  </si>
  <si>
    <t>Constitución prestamo</t>
  </si>
  <si>
    <t>Importe</t>
  </si>
  <si>
    <t>Informes previos</t>
  </si>
  <si>
    <t>importe prestamo total</t>
  </si>
  <si>
    <t>Plazo (años)</t>
  </si>
  <si>
    <t>Tipo interes anual</t>
  </si>
  <si>
    <t>Interes mensual</t>
  </si>
  <si>
    <t>Cuota mensual</t>
  </si>
  <si>
    <t>Numero cuotas</t>
  </si>
  <si>
    <t>Total intereses</t>
  </si>
  <si>
    <t>Intereses prestamo corto</t>
  </si>
  <si>
    <t>Rehabilitación</t>
  </si>
  <si>
    <t>IMPORTES TOTALES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</si>
  <si>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</si>
  <si>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</si>
  <si>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</si>
  <si>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</si>
  <si>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</si>
  <si>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</si>
  <si>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</si>
  <si>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</si>
  <si>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</si>
  <si>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</si>
  <si>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</si>
  <si>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</si>
  <si>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</si>
  <si>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</si>
  <si>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</si>
  <si>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</si>
  <si>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</si>
  <si>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</si>
  <si>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</si>
  <si>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</si>
  <si>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</si>
  <si>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</si>
  <si>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</si>
  <si>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</si>
  <si>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</si>
  <si>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</si>
  <si>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</si>
  <si>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</si>
  <si>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</si>
  <si>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</si>
  <si>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</si>
  <si>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</si>
  <si>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</si>
  <si>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</si>
  <si>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</si>
  <si>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</si>
  <si>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</si>
  <si>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</si>
  <si>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</si>
  <si>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</si>
  <si>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</si>
  <si>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</si>
  <si>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</si>
  <si>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</si>
  <si>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</si>
  <si>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</si>
  <si>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</si>
  <si>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</si>
  <si>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GASTOS</t>
  </si>
  <si>
    <t>TASA ESTIMADA MENSUAL</t>
  </si>
  <si>
    <t>TASA INTERES</t>
  </si>
  <si>
    <t>VAN PROYECTO</t>
  </si>
  <si>
    <t>TIRM PROYECTO</t>
  </si>
  <si>
    <t>Viabilidad 40 NE ampliando 1 pl</t>
  </si>
  <si>
    <t>Intereses prestamo largo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</si>
  <si>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</si>
  <si>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</si>
  <si>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</si>
  <si>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</si>
  <si>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</si>
  <si>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</si>
  <si>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</si>
  <si>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</si>
  <si>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</si>
  <si>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</si>
  <si>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</si>
  <si>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</si>
  <si>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</si>
  <si>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</si>
  <si>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</si>
  <si>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</si>
  <si>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</si>
  <si>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</si>
  <si>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</si>
  <si>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</si>
  <si>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</si>
  <si>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</si>
  <si>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</si>
  <si>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</si>
  <si>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</si>
  <si>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</si>
  <si>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</si>
  <si>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</si>
  <si>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</si>
  <si>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</si>
  <si>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</si>
  <si>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</si>
  <si>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</si>
  <si>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</si>
  <si>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</si>
  <si>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</si>
  <si>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</si>
  <si>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</si>
  <si>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</si>
  <si>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</si>
  <si>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</si>
  <si>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</si>
  <si>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</si>
  <si>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</si>
  <si>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Gestión- Project Management</t>
  </si>
  <si>
    <t>Viabilidad 40 NE ampliando 2 pl</t>
  </si>
  <si>
    <t>Evolución certificaciones 40 NE AMPLIANDO 1 PLANTA (40+8)</t>
  </si>
  <si>
    <t>Evolución certificaciones 40 NE AMPLIANDO 2 PLANTA (40+16)</t>
  </si>
  <si>
    <t>Venta viviendas</t>
  </si>
  <si>
    <t xml:space="preserve">Viabilidad 40 NE </t>
  </si>
  <si>
    <t>importe corto hasta obtener las ayudas</t>
  </si>
  <si>
    <t xml:space="preserve">intereses prestamo total </t>
  </si>
  <si>
    <t>intereses prestamo total</t>
  </si>
  <si>
    <t xml:space="preserve">intereses prestamo corto hasta obtener las ayudas </t>
  </si>
  <si>
    <t xml:space="preserve">Evolución certificaciones 40 NE </t>
  </si>
  <si>
    <t>Viabilidad 40 manteniendo + 1 pl</t>
  </si>
  <si>
    <t>Evolución certificaciones 40 manteniendo + 1 pl</t>
  </si>
  <si>
    <t>Rehabilitacion</t>
  </si>
  <si>
    <t>Evolución certificaciones 40 manteniendo + 2 pl</t>
  </si>
  <si>
    <t>Viabilidad 40 manteniendo + 2 pl</t>
  </si>
  <si>
    <t>Capitalizacion ahorro energetico</t>
  </si>
  <si>
    <t>Viabilidad 40 manteniendo + ESE</t>
  </si>
  <si>
    <t>CONCEPTO</t>
  </si>
  <si>
    <t>GRUPO</t>
  </si>
  <si>
    <t>ELEMENTO</t>
  </si>
  <si>
    <t>COSTES PREVIOS</t>
  </si>
  <si>
    <t>COSTES TECNICOS</t>
  </si>
  <si>
    <t>CSSE_1</t>
  </si>
  <si>
    <t>CSSE_2</t>
  </si>
  <si>
    <t>Impuestos - Sobre proyecto, D.O. Demolición y C.S.S.E.</t>
  </si>
  <si>
    <t>Impuestos - Sobre proyecto, D.O. Nueva Ejecución, C.S.S.E y PM</t>
  </si>
  <si>
    <t>COSTE CONSTRUCCION</t>
  </si>
  <si>
    <t>Notaria_1</t>
  </si>
  <si>
    <t>Registro_1</t>
  </si>
  <si>
    <t>AJD_1</t>
  </si>
  <si>
    <t>Notaria_2</t>
  </si>
  <si>
    <t>Registro_2</t>
  </si>
  <si>
    <t>AJD_2</t>
  </si>
  <si>
    <t>Tasación</t>
  </si>
  <si>
    <t>AJD_3</t>
  </si>
  <si>
    <t>VENTA</t>
  </si>
  <si>
    <t>AYUDAS</t>
  </si>
  <si>
    <t>Ayudas a viviendas Ayto</t>
  </si>
  <si>
    <t>Ayudas a viviendas DGA</t>
  </si>
  <si>
    <t>ALQUILER</t>
  </si>
  <si>
    <t>Alquiler viviendas 5 años</t>
  </si>
  <si>
    <t>CAPITALIZACION ENERGIA</t>
  </si>
  <si>
    <t>CALCULADOS</t>
  </si>
  <si>
    <t>TOTALES</t>
  </si>
  <si>
    <t xml:space="preserve">MARGEN </t>
  </si>
  <si>
    <t>COEFICIENTE</t>
  </si>
  <si>
    <t>CF</t>
  </si>
  <si>
    <t>C-F PROYECTO (ingresos- pagos)</t>
  </si>
  <si>
    <t>C-F ACUMULADO PROYECTO (ingresos-pagos)</t>
  </si>
  <si>
    <t>TASAS</t>
  </si>
  <si>
    <t>TASA R ESTIMADA ANUAL</t>
  </si>
  <si>
    <t>PROYECTO</t>
  </si>
  <si>
    <t>VALOR</t>
  </si>
  <si>
    <t>VALOR CALCULADO</t>
  </si>
  <si>
    <t>ºº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</si>
</sst>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5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1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0" fontId="2" fillId="0" borderId="0" xfId="0" applyFont="1"/>
    <xf numFmtId="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6" fillId="0" borderId="4" xfId="0" applyNumberFormat="1" applyFont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/>
    <xf numFmtId="2" fontId="5" fillId="0" borderId="7" xfId="1" applyNumberFormat="1" applyFont="1" applyFill="1" applyBorder="1"/>
    <xf numFmtId="2" fontId="5" fillId="0" borderId="7" xfId="1" applyNumberFormat="1" applyFont="1" applyBorder="1"/>
    <xf numFmtId="2" fontId="5" fillId="0" borderId="4" xfId="1" applyNumberFormat="1" applyFont="1" applyFill="1" applyBorder="1"/>
    <xf numFmtId="2" fontId="5" fillId="0" borderId="4" xfId="1" applyNumberFormat="1" applyFont="1" applyBorder="1"/>
    <xf numFmtId="2" fontId="0" fillId="0" borderId="0" xfId="0" applyNumberFormat="1" applyBorder="1"/>
    <xf numFmtId="2" fontId="5" fillId="0" borderId="6" xfId="1" applyNumberFormat="1" applyFont="1" applyFill="1" applyBorder="1"/>
    <xf numFmtId="2" fontId="5" fillId="0" borderId="6" xfId="1" applyNumberFormat="1" applyFont="1" applyBorder="1"/>
    <xf numFmtId="2" fontId="5" fillId="0" borderId="9" xfId="1" applyNumberFormat="1" applyFon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4" fillId="0" borderId="3" xfId="0" applyNumberFormat="1" applyFon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0" xfId="0" applyNumberFormat="1" applyFont="1"/>
    <xf numFmtId="165" fontId="0" fillId="0" borderId="0" xfId="0" applyNumberFormat="1" applyFill="1" applyBorder="1"/>
    <xf numFmtId="165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4" fillId="0" borderId="13" xfId="0" applyNumberFormat="1" applyFont="1" applyBorder="1"/>
    <xf numFmtId="2" fontId="5" fillId="0" borderId="14" xfId="1" applyNumberFormat="1" applyFont="1" applyFill="1" applyBorder="1"/>
    <xf numFmtId="2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</cellXfs>
  <cellStyles count="2">
    <cellStyle name="Millares" xfId="1" builtinId="3"/>
    <cellStyle name="Normal" xfId="0" builtinId="0"/>
  </cellStyles>
  <dxfs count="101"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m/Dropbox/TESIS/10%20ANEXOS%20INVESTIGACION/Calculadora%20de%20pr&#195;&#169;stam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 de préstamos"/>
      <sheetName val="simplificacion Luis"/>
    </sheetNames>
    <sheetDataSet>
      <sheetData sheetId="0">
        <row r="1">
          <cell r="B1" t="str">
            <v>Calculadora de préstamos simple</v>
          </cell>
        </row>
        <row r="3">
          <cell r="B3" t="str">
            <v>Valores del préstamo</v>
          </cell>
        </row>
        <row r="4">
          <cell r="B4" t="str">
            <v>Importe del préstamo</v>
          </cell>
        </row>
        <row r="5">
          <cell r="B5" t="str">
            <v>Tasa de interés anual</v>
          </cell>
        </row>
        <row r="6">
          <cell r="B6" t="str">
            <v>Periodo del préstamo en años</v>
          </cell>
        </row>
        <row r="7">
          <cell r="B7" t="str">
            <v>Fecha de inicio del préstamo</v>
          </cell>
        </row>
        <row r="9">
          <cell r="B9" t="str">
            <v>N.° de pago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  <row r="62">
          <cell r="B62">
            <v>53</v>
          </cell>
        </row>
        <row r="63">
          <cell r="B63">
            <v>54</v>
          </cell>
        </row>
        <row r="64">
          <cell r="B64">
            <v>55</v>
          </cell>
        </row>
        <row r="65">
          <cell r="B65">
            <v>56</v>
          </cell>
        </row>
        <row r="66">
          <cell r="B66">
            <v>57</v>
          </cell>
        </row>
        <row r="67">
          <cell r="B67">
            <v>58</v>
          </cell>
        </row>
        <row r="68">
          <cell r="B68">
            <v>59</v>
          </cell>
        </row>
        <row r="69">
          <cell r="B69">
            <v>60</v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7C72-0A42-43AF-933E-A8C3EC6A4C1D}">
  <sheetPr codeName="Hoja11"/>
  <dimension ref="A1:CU59"/>
  <sheetViews>
    <sheetView tabSelected="1" zoomScale="85" zoomScaleNormal="85" workbookViewId="0">
      <pane xSplit="7" ySplit="1" topLeftCell="AA2" activePane="bottomRight" state="frozen"/>
      <selection pane="topRight" activeCell="J1" sqref="J1"/>
      <selection pane="bottomLeft" activeCell="A9" sqref="A9"/>
      <selection pane="bottomRight" activeCell="C10" sqref="C10"/>
    </sheetView>
  </sheetViews>
  <sheetFormatPr baseColWidth="10" defaultColWidth="10.7109375" defaultRowHeight="15" x14ac:dyDescent="0.25"/>
  <cols>
    <col min="1" max="1" width="10.7109375" style="11"/>
    <col min="2" max="2" width="24.140625" style="11" bestFit="1" customWidth="1"/>
    <col min="3" max="3" width="57.85546875" style="11" bestFit="1" customWidth="1"/>
    <col min="4" max="4" width="10.7109375" style="37"/>
    <col min="5" max="5" width="14" style="11" customWidth="1"/>
    <col min="6" max="6" width="18" style="11" customWidth="1"/>
    <col min="7" max="7" width="18.28515625" style="34" bestFit="1" customWidth="1"/>
    <col min="8" max="10" width="10.7109375" style="34"/>
    <col min="11" max="11" width="11.42578125" style="34" bestFit="1" customWidth="1"/>
    <col min="12" max="15" width="10.7109375" style="34"/>
    <col min="16" max="16" width="11.42578125" style="34" bestFit="1" customWidth="1"/>
    <col min="17" max="17" width="10.7109375" style="34"/>
    <col min="18" max="18" width="11.42578125" style="34" bestFit="1" customWidth="1"/>
    <col min="19" max="19" width="10.7109375" style="34"/>
    <col min="20" max="20" width="11.42578125" style="34" bestFit="1" customWidth="1"/>
    <col min="21" max="27" width="10.7109375" style="34"/>
    <col min="28" max="39" width="11.42578125" style="34" bestFit="1" customWidth="1"/>
    <col min="40" max="40" width="12.28515625" style="34" bestFit="1" customWidth="1"/>
    <col min="41" max="55" width="10.7109375" style="34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10" t="s">
        <v>159</v>
      </c>
      <c r="B1" s="10" t="s">
        <v>160</v>
      </c>
      <c r="C1" s="10" t="s">
        <v>161</v>
      </c>
      <c r="D1" s="12" t="s">
        <v>187</v>
      </c>
      <c r="E1" s="13" t="s">
        <v>194</v>
      </c>
      <c r="F1" s="13" t="s">
        <v>195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4" t="s">
        <v>62</v>
      </c>
      <c r="AC1" s="14" t="s">
        <v>63</v>
      </c>
      <c r="AD1" s="14" t="s">
        <v>64</v>
      </c>
      <c r="AE1" s="14" t="s">
        <v>65</v>
      </c>
      <c r="AF1" s="14" t="s">
        <v>66</v>
      </c>
      <c r="AG1" s="14" t="s">
        <v>67</v>
      </c>
      <c r="AH1" s="14" t="s">
        <v>68</v>
      </c>
      <c r="AI1" s="14" t="s">
        <v>69</v>
      </c>
      <c r="AJ1" s="14" t="s">
        <v>70</v>
      </c>
      <c r="AK1" s="14" t="s">
        <v>71</v>
      </c>
      <c r="AL1" s="14" t="s">
        <v>72</v>
      </c>
      <c r="AM1" s="14" t="s">
        <v>73</v>
      </c>
      <c r="AN1" s="14" t="s">
        <v>74</v>
      </c>
      <c r="AO1" s="14" t="s">
        <v>75</v>
      </c>
      <c r="AP1" s="14" t="s">
        <v>76</v>
      </c>
      <c r="AQ1" s="14" t="s">
        <v>77</v>
      </c>
      <c r="AR1" s="14" t="s">
        <v>78</v>
      </c>
      <c r="AS1" s="14" t="s">
        <v>79</v>
      </c>
      <c r="AT1" s="14" t="s">
        <v>80</v>
      </c>
      <c r="AU1" s="14" t="s">
        <v>81</v>
      </c>
      <c r="AV1" s="14" t="s">
        <v>82</v>
      </c>
      <c r="AW1" s="14" t="s">
        <v>83</v>
      </c>
      <c r="AX1" s="14" t="s">
        <v>84</v>
      </c>
      <c r="AY1" s="14" t="s">
        <v>85</v>
      </c>
      <c r="AZ1" s="14" t="s">
        <v>86</v>
      </c>
      <c r="BA1" s="14" t="s">
        <v>87</v>
      </c>
      <c r="BB1" s="14" t="s">
        <v>88</v>
      </c>
      <c r="BC1" s="14" t="s">
        <v>89</v>
      </c>
      <c r="BD1" s="14" t="s">
        <v>97</v>
      </c>
      <c r="BE1" s="14" t="s">
        <v>98</v>
      </c>
      <c r="BF1" s="14" t="s">
        <v>99</v>
      </c>
      <c r="BG1" s="14" t="s">
        <v>100</v>
      </c>
      <c r="BH1" s="14" t="s">
        <v>101</v>
      </c>
      <c r="BI1" s="14" t="s">
        <v>102</v>
      </c>
      <c r="BJ1" s="14" t="s">
        <v>103</v>
      </c>
      <c r="BK1" s="14" t="s">
        <v>104</v>
      </c>
      <c r="BL1" s="14" t="s">
        <v>105</v>
      </c>
      <c r="BM1" s="14" t="s">
        <v>106</v>
      </c>
      <c r="BN1" s="14" t="s">
        <v>107</v>
      </c>
      <c r="BO1" s="14" t="s">
        <v>108</v>
      </c>
      <c r="BP1" s="14" t="s">
        <v>109</v>
      </c>
      <c r="BQ1" s="14" t="s">
        <v>110</v>
      </c>
      <c r="BR1" s="14" t="s">
        <v>111</v>
      </c>
      <c r="BS1" s="14" t="s">
        <v>112</v>
      </c>
      <c r="BT1" s="14" t="s">
        <v>113</v>
      </c>
      <c r="BU1" s="14" t="s">
        <v>114</v>
      </c>
      <c r="BV1" s="14" t="s">
        <v>115</v>
      </c>
      <c r="BW1" s="14" t="s">
        <v>116</v>
      </c>
      <c r="BX1" s="14" t="s">
        <v>117</v>
      </c>
      <c r="BY1" s="14" t="s">
        <v>118</v>
      </c>
      <c r="BZ1" s="14" t="s">
        <v>119</v>
      </c>
      <c r="CA1" s="14" t="s">
        <v>120</v>
      </c>
      <c r="CB1" s="14" t="s">
        <v>121</v>
      </c>
      <c r="CC1" s="14" t="s">
        <v>122</v>
      </c>
      <c r="CD1" s="14" t="s">
        <v>123</v>
      </c>
      <c r="CE1" s="14" t="s">
        <v>124</v>
      </c>
      <c r="CF1" s="14" t="s">
        <v>125</v>
      </c>
      <c r="CG1" s="14" t="s">
        <v>126</v>
      </c>
      <c r="CH1" s="14" t="s">
        <v>127</v>
      </c>
      <c r="CI1" s="14" t="s">
        <v>128</v>
      </c>
      <c r="CJ1" s="14" t="s">
        <v>129</v>
      </c>
      <c r="CK1" s="14" t="s">
        <v>130</v>
      </c>
      <c r="CL1" s="14" t="s">
        <v>131</v>
      </c>
      <c r="CM1" s="14" t="s">
        <v>132</v>
      </c>
      <c r="CN1" s="14" t="s">
        <v>133</v>
      </c>
      <c r="CO1" s="14" t="s">
        <v>134</v>
      </c>
      <c r="CP1" s="14" t="s">
        <v>135</v>
      </c>
      <c r="CQ1" s="14" t="s">
        <v>136</v>
      </c>
      <c r="CR1" s="14" t="s">
        <v>137</v>
      </c>
      <c r="CS1" s="14" t="s">
        <v>138</v>
      </c>
      <c r="CT1" s="14" t="s">
        <v>139</v>
      </c>
      <c r="CU1" s="14" t="s">
        <v>140</v>
      </c>
    </row>
    <row r="2" spans="1:99" x14ac:dyDescent="0.25">
      <c r="A2" s="11" t="s">
        <v>4</v>
      </c>
      <c r="B2" s="11" t="s">
        <v>162</v>
      </c>
      <c r="C2" s="11" t="s">
        <v>31</v>
      </c>
      <c r="D2" s="35">
        <v>1</v>
      </c>
      <c r="E2" s="15">
        <v>5800</v>
      </c>
      <c r="F2" s="16">
        <f>D2*E2</f>
        <v>5800</v>
      </c>
      <c r="G2" s="17">
        <v>-5800</v>
      </c>
      <c r="H2" s="18">
        <v>0</v>
      </c>
      <c r="I2" s="18">
        <f>G2</f>
        <v>-5800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0</v>
      </c>
      <c r="BU2" s="18">
        <v>0</v>
      </c>
      <c r="BV2" s="18">
        <v>0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8">
        <v>0</v>
      </c>
      <c r="CC2" s="18">
        <v>0</v>
      </c>
      <c r="CD2" s="18">
        <v>0</v>
      </c>
      <c r="CE2" s="18">
        <v>0</v>
      </c>
      <c r="CF2" s="18">
        <v>0</v>
      </c>
      <c r="CG2" s="18">
        <v>0</v>
      </c>
      <c r="CH2" s="18">
        <v>0</v>
      </c>
      <c r="CI2" s="18">
        <v>0</v>
      </c>
      <c r="CJ2" s="18">
        <v>0</v>
      </c>
      <c r="CK2" s="18">
        <v>0</v>
      </c>
      <c r="CL2" s="18">
        <v>0</v>
      </c>
      <c r="CM2" s="18">
        <v>0</v>
      </c>
      <c r="CN2" s="18">
        <v>0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</row>
    <row r="3" spans="1:99" x14ac:dyDescent="0.25">
      <c r="A3" s="11" t="s">
        <v>4</v>
      </c>
      <c r="B3" s="11" t="s">
        <v>162</v>
      </c>
      <c r="C3" s="11" t="s">
        <v>18</v>
      </c>
      <c r="D3" s="36">
        <v>1</v>
      </c>
      <c r="E3" s="16">
        <v>1200</v>
      </c>
      <c r="F3" s="16">
        <f>D3*E3</f>
        <v>1200</v>
      </c>
      <c r="G3" s="19">
        <v>-1200</v>
      </c>
      <c r="H3" s="20">
        <v>0</v>
      </c>
      <c r="I3" s="20">
        <v>0</v>
      </c>
      <c r="J3" s="20">
        <v>0</v>
      </c>
      <c r="K3" s="20">
        <f>G3</f>
        <v>-1200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0</v>
      </c>
      <c r="CL3" s="20">
        <v>0</v>
      </c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</row>
    <row r="4" spans="1:99" x14ac:dyDescent="0.25">
      <c r="A4" s="11" t="s">
        <v>4</v>
      </c>
      <c r="B4" s="11" t="s">
        <v>162</v>
      </c>
      <c r="C4" s="11" t="s">
        <v>19</v>
      </c>
      <c r="D4" s="36">
        <v>1</v>
      </c>
      <c r="E4" s="16">
        <v>4500</v>
      </c>
      <c r="F4" s="16">
        <f>E4*D4</f>
        <v>4500</v>
      </c>
      <c r="G4" s="19">
        <v>-4500</v>
      </c>
      <c r="H4" s="20">
        <v>0</v>
      </c>
      <c r="I4" s="20">
        <v>0</v>
      </c>
      <c r="J4" s="20">
        <v>0</v>
      </c>
      <c r="K4" s="20">
        <f>G4</f>
        <v>-4500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</row>
    <row r="5" spans="1:99" x14ac:dyDescent="0.25">
      <c r="A5" s="11" t="s">
        <v>4</v>
      </c>
      <c r="B5" s="11" t="s">
        <v>162</v>
      </c>
      <c r="C5" s="11" t="s">
        <v>9</v>
      </c>
      <c r="D5" s="36">
        <v>0.21</v>
      </c>
      <c r="E5" s="16">
        <f>F3+F4+F2</f>
        <v>11500</v>
      </c>
      <c r="F5" s="16">
        <f>D5*E5</f>
        <v>2415</v>
      </c>
      <c r="G5" s="19">
        <f>(G2+G3+G4)*0.21</f>
        <v>-2415</v>
      </c>
      <c r="H5" s="20">
        <f>(H2+H3+H4)*0.21</f>
        <v>0</v>
      </c>
      <c r="I5" s="20">
        <f>(I2+I3+I4)*0.21</f>
        <v>-1218</v>
      </c>
      <c r="J5" s="20">
        <v>0</v>
      </c>
      <c r="K5" s="20">
        <f>(K2+K3+K4)*0.21</f>
        <v>-1197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</row>
    <row r="6" spans="1:99" x14ac:dyDescent="0.25">
      <c r="A6" s="11" t="s">
        <v>4</v>
      </c>
      <c r="B6" s="11" t="s">
        <v>163</v>
      </c>
      <c r="C6" s="11" t="s">
        <v>15</v>
      </c>
      <c r="D6" s="37">
        <v>0</v>
      </c>
      <c r="E6" s="11">
        <f>F16</f>
        <v>0</v>
      </c>
      <c r="F6" s="11">
        <f>E6*D6</f>
        <v>0</v>
      </c>
      <c r="G6" s="17">
        <f>-F6</f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f>G6</f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</row>
    <row r="7" spans="1:99" x14ac:dyDescent="0.25">
      <c r="A7" s="11" t="s">
        <v>4</v>
      </c>
      <c r="B7" s="11" t="s">
        <v>163</v>
      </c>
      <c r="C7" s="11" t="s">
        <v>16</v>
      </c>
      <c r="D7" s="37">
        <v>0</v>
      </c>
      <c r="E7" s="11">
        <f>F16</f>
        <v>0</v>
      </c>
      <c r="F7" s="11">
        <f>E7*D7</f>
        <v>0</v>
      </c>
      <c r="G7" s="19">
        <f>-F7</f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f>G7*0.3</f>
        <v>0</v>
      </c>
      <c r="Y7" s="20">
        <f>0.7*G7</f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</row>
    <row r="8" spans="1:99" x14ac:dyDescent="0.25">
      <c r="A8" s="11" t="s">
        <v>4</v>
      </c>
      <c r="B8" s="11" t="s">
        <v>163</v>
      </c>
      <c r="C8" s="11" t="s">
        <v>164</v>
      </c>
      <c r="D8" s="37">
        <v>0</v>
      </c>
      <c r="E8" s="11">
        <f>F16</f>
        <v>0</v>
      </c>
      <c r="F8" s="11">
        <f>D8*E8</f>
        <v>0</v>
      </c>
      <c r="G8" s="19">
        <f>-F8</f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f>G8*0.5</f>
        <v>0</v>
      </c>
      <c r="Y8" s="20">
        <f>G8*0.5</f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</row>
    <row r="9" spans="1:99" x14ac:dyDescent="0.25">
      <c r="A9" s="11" t="s">
        <v>4</v>
      </c>
      <c r="B9" s="11" t="s">
        <v>163</v>
      </c>
      <c r="C9" s="11" t="s">
        <v>13</v>
      </c>
      <c r="D9" s="37">
        <v>5.6099999999999997E-2</v>
      </c>
      <c r="E9" s="11">
        <f>F18+F19</f>
        <v>1444538.92</v>
      </c>
      <c r="F9" s="11">
        <f>D9*E9</f>
        <v>81038.633411999996</v>
      </c>
      <c r="G9" s="19">
        <f>-F9</f>
        <v>-81038.633411999996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f>G9*0.4</f>
        <v>-32415.4533648</v>
      </c>
      <c r="N9" s="20">
        <v>0</v>
      </c>
      <c r="O9" s="20">
        <v>0</v>
      </c>
      <c r="P9" s="20">
        <f>G9*0.6</f>
        <v>-48623.180047199996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</row>
    <row r="10" spans="1:99" x14ac:dyDescent="0.25">
      <c r="A10" s="11" t="s">
        <v>4</v>
      </c>
      <c r="B10" s="11" t="s">
        <v>163</v>
      </c>
      <c r="C10" s="11" t="s">
        <v>14</v>
      </c>
      <c r="D10" s="37">
        <v>4.7699999999999999E-2</v>
      </c>
      <c r="E10" s="11">
        <f>F18+F19</f>
        <v>1444538.92</v>
      </c>
      <c r="F10" s="11">
        <f>D10*E10</f>
        <v>68904.506483999998</v>
      </c>
      <c r="G10" s="19">
        <f>-F10</f>
        <v>-68904.506483999998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f>$G10/14</f>
        <v>-4921.7504631428574</v>
      </c>
      <c r="AA10" s="20">
        <f t="shared" ref="AA10:AM10" si="0">$G10/14</f>
        <v>-4921.7504631428574</v>
      </c>
      <c r="AB10" s="20">
        <f t="shared" si="0"/>
        <v>-4921.7504631428574</v>
      </c>
      <c r="AC10" s="20">
        <f t="shared" si="0"/>
        <v>-4921.7504631428574</v>
      </c>
      <c r="AD10" s="20">
        <f t="shared" si="0"/>
        <v>-4921.7504631428574</v>
      </c>
      <c r="AE10" s="20">
        <f t="shared" si="0"/>
        <v>-4921.7504631428574</v>
      </c>
      <c r="AF10" s="20">
        <f t="shared" si="0"/>
        <v>-4921.7504631428574</v>
      </c>
      <c r="AG10" s="20">
        <f t="shared" si="0"/>
        <v>-4921.7504631428574</v>
      </c>
      <c r="AH10" s="20">
        <f t="shared" si="0"/>
        <v>-4921.7504631428574</v>
      </c>
      <c r="AI10" s="20">
        <f t="shared" si="0"/>
        <v>-4921.7504631428574</v>
      </c>
      <c r="AJ10" s="20">
        <f t="shared" si="0"/>
        <v>-4921.7504631428574</v>
      </c>
      <c r="AK10" s="20">
        <f t="shared" si="0"/>
        <v>-4921.7504631428574</v>
      </c>
      <c r="AL10" s="20">
        <f t="shared" si="0"/>
        <v>-4921.7504631428574</v>
      </c>
      <c r="AM10" s="20">
        <f t="shared" si="0"/>
        <v>-4921.7504631428574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</row>
    <row r="11" spans="1:99" x14ac:dyDescent="0.25">
      <c r="A11" s="11" t="s">
        <v>4</v>
      </c>
      <c r="B11" s="11" t="s">
        <v>163</v>
      </c>
      <c r="C11" s="11" t="s">
        <v>165</v>
      </c>
      <c r="D11" s="37">
        <v>7.0000000000000001E-3</v>
      </c>
      <c r="E11" s="11">
        <f>F18+F19</f>
        <v>1444538.92</v>
      </c>
      <c r="F11" s="11">
        <f>D11*E11</f>
        <v>10111.772439999999</v>
      </c>
      <c r="G11" s="19">
        <f>-F11</f>
        <v>-10111.772439999999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f>$G$11/14</f>
        <v>-722.26945999999987</v>
      </c>
      <c r="AA11" s="20">
        <f t="shared" ref="AA11:AM11" si="1">$G$11/14</f>
        <v>-722.26945999999987</v>
      </c>
      <c r="AB11" s="20">
        <f t="shared" si="1"/>
        <v>-722.26945999999987</v>
      </c>
      <c r="AC11" s="20">
        <f t="shared" si="1"/>
        <v>-722.26945999999987</v>
      </c>
      <c r="AD11" s="20">
        <f t="shared" si="1"/>
        <v>-722.26945999999987</v>
      </c>
      <c r="AE11" s="20">
        <f t="shared" si="1"/>
        <v>-722.26945999999987</v>
      </c>
      <c r="AF11" s="20">
        <f t="shared" si="1"/>
        <v>-722.26945999999987</v>
      </c>
      <c r="AG11" s="20">
        <f t="shared" si="1"/>
        <v>-722.26945999999987</v>
      </c>
      <c r="AH11" s="20">
        <f t="shared" si="1"/>
        <v>-722.26945999999987</v>
      </c>
      <c r="AI11" s="20">
        <f t="shared" si="1"/>
        <v>-722.26945999999987</v>
      </c>
      <c r="AJ11" s="20">
        <f t="shared" si="1"/>
        <v>-722.26945999999987</v>
      </c>
      <c r="AK11" s="20">
        <f t="shared" si="1"/>
        <v>-722.26945999999987</v>
      </c>
      <c r="AL11" s="20">
        <f t="shared" si="1"/>
        <v>-722.26945999999987</v>
      </c>
      <c r="AM11" s="20">
        <f t="shared" si="1"/>
        <v>-722.26945999999987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</row>
    <row r="12" spans="1:99" x14ac:dyDescent="0.25">
      <c r="A12" s="11" t="s">
        <v>4</v>
      </c>
      <c r="B12" s="11" t="s">
        <v>163</v>
      </c>
      <c r="C12" s="11" t="s">
        <v>141</v>
      </c>
      <c r="D12" s="37">
        <v>0.02</v>
      </c>
      <c r="E12" s="11">
        <f>F19+F18+F16</f>
        <v>1444538.92</v>
      </c>
      <c r="F12" s="11">
        <f>D12*E12</f>
        <v>28890.778399999999</v>
      </c>
      <c r="G12" s="19">
        <f>-F12</f>
        <v>-28890.778399999999</v>
      </c>
      <c r="H12" s="20">
        <v>0</v>
      </c>
      <c r="I12" s="20">
        <v>0</v>
      </c>
      <c r="J12" s="20">
        <v>0</v>
      </c>
      <c r="K12" s="20">
        <f>G12*0.05</f>
        <v>-1444.53892</v>
      </c>
      <c r="L12" s="20">
        <v>0</v>
      </c>
      <c r="M12" s="20">
        <v>0</v>
      </c>
      <c r="N12" s="20">
        <v>0</v>
      </c>
      <c r="O12" s="20">
        <v>0</v>
      </c>
      <c r="P12" s="20">
        <f>G12*0.15</f>
        <v>-4333.6167599999999</v>
      </c>
      <c r="Q12" s="20">
        <v>0</v>
      </c>
      <c r="R12" s="20">
        <f>G12*0.05</f>
        <v>-1444.53892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f t="shared" ref="X12:AL12" si="2">$G$12*0.04</f>
        <v>-1155.631136</v>
      </c>
      <c r="Y12" s="20">
        <f t="shared" si="2"/>
        <v>-1155.631136</v>
      </c>
      <c r="Z12" s="20">
        <f t="shared" si="2"/>
        <v>-1155.631136</v>
      </c>
      <c r="AA12" s="20">
        <f t="shared" si="2"/>
        <v>-1155.631136</v>
      </c>
      <c r="AB12" s="20">
        <f t="shared" si="2"/>
        <v>-1155.631136</v>
      </c>
      <c r="AC12" s="20">
        <f t="shared" si="2"/>
        <v>-1155.631136</v>
      </c>
      <c r="AD12" s="20">
        <f t="shared" si="2"/>
        <v>-1155.631136</v>
      </c>
      <c r="AE12" s="20">
        <f t="shared" si="2"/>
        <v>-1155.631136</v>
      </c>
      <c r="AF12" s="20">
        <f t="shared" si="2"/>
        <v>-1155.631136</v>
      </c>
      <c r="AG12" s="20">
        <f t="shared" si="2"/>
        <v>-1155.631136</v>
      </c>
      <c r="AH12" s="20">
        <f t="shared" si="2"/>
        <v>-1155.631136</v>
      </c>
      <c r="AI12" s="20">
        <f t="shared" si="2"/>
        <v>-1155.631136</v>
      </c>
      <c r="AJ12" s="20">
        <f t="shared" si="2"/>
        <v>-1155.631136</v>
      </c>
      <c r="AK12" s="20">
        <f t="shared" si="2"/>
        <v>-1155.631136</v>
      </c>
      <c r="AL12" s="20">
        <f t="shared" si="2"/>
        <v>-1155.631136</v>
      </c>
      <c r="AM12" s="20">
        <f>$G$12*0.04</f>
        <v>-1155.631136</v>
      </c>
      <c r="AN12" s="20">
        <f>G12*0.11</f>
        <v>-3177.9856239999999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</row>
    <row r="13" spans="1:99" x14ac:dyDescent="0.25">
      <c r="A13" s="11" t="s">
        <v>4</v>
      </c>
      <c r="B13" s="11" t="s">
        <v>163</v>
      </c>
      <c r="C13" s="11" t="s">
        <v>166</v>
      </c>
      <c r="D13" s="37">
        <v>0.21</v>
      </c>
      <c r="E13" s="11">
        <f>F6+F7+F8</f>
        <v>0</v>
      </c>
      <c r="F13" s="11">
        <f>D13*E13</f>
        <v>0</v>
      </c>
      <c r="G13" s="19">
        <f>-F13</f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f>SUM(M6:M8)*0.21</f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f>(X7+X8)*0.21</f>
        <v>0</v>
      </c>
      <c r="Y13" s="20">
        <f>(Y7+Y8)*0.21</f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</row>
    <row r="14" spans="1:99" x14ac:dyDescent="0.25">
      <c r="A14" s="11" t="s">
        <v>4</v>
      </c>
      <c r="B14" s="11" t="s">
        <v>163</v>
      </c>
      <c r="C14" s="11" t="s">
        <v>167</v>
      </c>
      <c r="D14" s="37">
        <v>0.21</v>
      </c>
      <c r="E14" s="11">
        <f>F9+F10+F11+F12</f>
        <v>188945.69073599999</v>
      </c>
      <c r="F14" s="11">
        <f>D14*E14</f>
        <v>39678.595054559999</v>
      </c>
      <c r="G14" s="19">
        <f>-F14</f>
        <v>-39678.595054559999</v>
      </c>
      <c r="H14" s="20">
        <v>0</v>
      </c>
      <c r="I14" s="20">
        <v>0</v>
      </c>
      <c r="J14" s="20">
        <v>0</v>
      </c>
      <c r="K14" s="20">
        <f>SUM(K9:K12)*0.21</f>
        <v>-303.35317319999996</v>
      </c>
      <c r="L14" s="20">
        <v>0</v>
      </c>
      <c r="M14" s="20">
        <f>SUM(M9:M12)*0.21</f>
        <v>-6807.2452066079995</v>
      </c>
      <c r="N14" s="20">
        <v>0</v>
      </c>
      <c r="O14" s="20">
        <v>0</v>
      </c>
      <c r="P14" s="20">
        <f>SUM(P9:P12)*0.21</f>
        <v>-11120.927329511998</v>
      </c>
      <c r="Q14" s="20">
        <v>0</v>
      </c>
      <c r="R14" s="20">
        <f>SUM(R9:R12)*0.21</f>
        <v>-303.35317319999996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f>SUM(X9:X12)*0.21</f>
        <v>-242.68253855999998</v>
      </c>
      <c r="Y14" s="20">
        <f>SUM(Y9:Y12)*0.21</f>
        <v>-242.68253855999998</v>
      </c>
      <c r="Z14" s="20">
        <f>SUM(Z9:Z12)*0.21</f>
        <v>-1427.9267224199998</v>
      </c>
      <c r="AA14" s="20">
        <f>SUM(AA9:AA12)*0.21</f>
        <v>-1427.9267224199998</v>
      </c>
      <c r="AB14" s="20">
        <f>SUM(AB9:AB12)*0.21</f>
        <v>-1427.9267224199998</v>
      </c>
      <c r="AC14" s="20">
        <f>SUM(AC9:AC12)*0.21</f>
        <v>-1427.9267224199998</v>
      </c>
      <c r="AD14" s="20">
        <f>SUM(AD9:AD12)*0.21</f>
        <v>-1427.9267224199998</v>
      </c>
      <c r="AE14" s="20">
        <f>SUM(AE9:AE12)*0.21</f>
        <v>-1427.9267224199998</v>
      </c>
      <c r="AF14" s="20">
        <f>SUM(AF9:AF12)*0.21</f>
        <v>-1427.9267224199998</v>
      </c>
      <c r="AG14" s="20">
        <f>SUM(AG9:AG12)*0.21</f>
        <v>-1427.9267224199998</v>
      </c>
      <c r="AH14" s="20">
        <f>SUM(AH9:AH12)*0.21</f>
        <v>-1427.9267224199998</v>
      </c>
      <c r="AI14" s="20">
        <f>SUM(AI9:AI12)*0.21</f>
        <v>-1427.9267224199998</v>
      </c>
      <c r="AJ14" s="20">
        <f>SUM(AJ9:AJ12)*0.21</f>
        <v>-1427.9267224199998</v>
      </c>
      <c r="AK14" s="20">
        <f>SUM(AK9:AK12)*0.21</f>
        <v>-1427.9267224199998</v>
      </c>
      <c r="AL14" s="20">
        <f>SUM(AL9:AL12)*0.21</f>
        <v>-1427.9267224199998</v>
      </c>
      <c r="AM14" s="20">
        <f>SUM(AM9:AM12)*0.21</f>
        <v>-1427.9267224199998</v>
      </c>
      <c r="AN14" s="20">
        <f>SUM(AN9:AN12)*0.21</f>
        <v>-667.37698103999992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</row>
    <row r="15" spans="1:99" x14ac:dyDescent="0.25">
      <c r="A15" s="11" t="s">
        <v>4</v>
      </c>
      <c r="B15" s="11" t="s">
        <v>163</v>
      </c>
      <c r="C15" s="11" t="s">
        <v>20</v>
      </c>
      <c r="D15" s="37">
        <v>3.0000000000000001E-3</v>
      </c>
      <c r="E15" s="11">
        <f>F18+F19</f>
        <v>1444538.92</v>
      </c>
      <c r="F15" s="11">
        <f>D15*E15</f>
        <v>4333.6167599999999</v>
      </c>
      <c r="G15" s="19">
        <f>-F15</f>
        <v>-4333.6167599999999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f>$G$15/14</f>
        <v>-309.54405428571425</v>
      </c>
      <c r="AA15" s="20">
        <f t="shared" ref="AA15:AM15" si="3">$G$15/14</f>
        <v>-309.54405428571425</v>
      </c>
      <c r="AB15" s="20">
        <f t="shared" si="3"/>
        <v>-309.54405428571425</v>
      </c>
      <c r="AC15" s="20">
        <f t="shared" si="3"/>
        <v>-309.54405428571425</v>
      </c>
      <c r="AD15" s="20">
        <f t="shared" si="3"/>
        <v>-309.54405428571425</v>
      </c>
      <c r="AE15" s="20">
        <f t="shared" si="3"/>
        <v>-309.54405428571425</v>
      </c>
      <c r="AF15" s="20">
        <f t="shared" si="3"/>
        <v>-309.54405428571425</v>
      </c>
      <c r="AG15" s="20">
        <f t="shared" si="3"/>
        <v>-309.54405428571425</v>
      </c>
      <c r="AH15" s="20">
        <f t="shared" si="3"/>
        <v>-309.54405428571425</v>
      </c>
      <c r="AI15" s="20">
        <f t="shared" si="3"/>
        <v>-309.54405428571425</v>
      </c>
      <c r="AJ15" s="20">
        <f t="shared" si="3"/>
        <v>-309.54405428571425</v>
      </c>
      <c r="AK15" s="20">
        <f t="shared" si="3"/>
        <v>-309.54405428571425</v>
      </c>
      <c r="AL15" s="20">
        <f t="shared" si="3"/>
        <v>-309.54405428571425</v>
      </c>
      <c r="AM15" s="20">
        <f t="shared" si="3"/>
        <v>-309.54405428571425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</row>
    <row r="16" spans="1:99" x14ac:dyDescent="0.25">
      <c r="A16" s="11" t="s">
        <v>4</v>
      </c>
      <c r="B16" s="11" t="s">
        <v>168</v>
      </c>
      <c r="C16" s="11" t="s">
        <v>8</v>
      </c>
      <c r="D16" s="37">
        <v>0</v>
      </c>
      <c r="E16" s="11">
        <v>21</v>
      </c>
      <c r="F16" s="11">
        <f>D16*E16</f>
        <v>0</v>
      </c>
      <c r="G16" s="19">
        <f>-F16</f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f>G16*0.4</f>
        <v>0</v>
      </c>
      <c r="Y16" s="20">
        <f>G16*0.6</f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</row>
    <row r="17" spans="1:99" x14ac:dyDescent="0.25">
      <c r="A17" s="11" t="s">
        <v>4</v>
      </c>
      <c r="B17" s="11" t="s">
        <v>168</v>
      </c>
      <c r="C17" s="11" t="s">
        <v>12</v>
      </c>
      <c r="D17" s="36">
        <v>0</v>
      </c>
      <c r="E17" s="11">
        <v>5.75</v>
      </c>
      <c r="F17" s="11">
        <f>D17*E17</f>
        <v>0</v>
      </c>
      <c r="G17" s="19">
        <f>-F17</f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f>G17*0.4</f>
        <v>0</v>
      </c>
      <c r="Y17" s="20">
        <f>G17*0.6</f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</row>
    <row r="18" spans="1:99" x14ac:dyDescent="0.25">
      <c r="A18" s="11" t="s">
        <v>4</v>
      </c>
      <c r="B18" s="11" t="s">
        <v>168</v>
      </c>
      <c r="C18" s="11" t="s">
        <v>2</v>
      </c>
      <c r="D18" s="37">
        <v>0</v>
      </c>
      <c r="E18" s="11">
        <f>684.63*1.06</f>
        <v>725.70780000000002</v>
      </c>
      <c r="F18" s="11">
        <f>D18*E18</f>
        <v>0</v>
      </c>
      <c r="G18" s="19">
        <f>-F18</f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f>G18*0.4</f>
        <v>0</v>
      </c>
      <c r="Y18" s="20">
        <f>G18*0.6</f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</row>
    <row r="19" spans="1:99" x14ac:dyDescent="0.25">
      <c r="A19" s="11" t="s">
        <v>4</v>
      </c>
      <c r="B19" s="11" t="s">
        <v>168</v>
      </c>
      <c r="C19" s="11" t="s">
        <v>40</v>
      </c>
      <c r="D19" s="37">
        <v>1</v>
      </c>
      <c r="E19" s="11">
        <v>1444538.92</v>
      </c>
      <c r="F19" s="11">
        <f>D19*E19</f>
        <v>1444538.92</v>
      </c>
      <c r="G19" s="19">
        <f>-F19</f>
        <v>-1444538.92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f>'evolucion certificaciones nuevo'!E28</f>
        <v>-8667.2335199999998</v>
      </c>
      <c r="AA19" s="20">
        <f>'evolucion certificaciones nuevo'!F28</f>
        <v>-23112.622719999999</v>
      </c>
      <c r="AB19" s="20">
        <f>'evolucion certificaciones nuevo'!G28</f>
        <v>-57781.556799999998</v>
      </c>
      <c r="AC19" s="20">
        <f>'evolucion certificaciones nuevo'!H28</f>
        <v>-54170.209499999997</v>
      </c>
      <c r="AD19" s="20">
        <f>'evolucion certificaciones nuevo'!I28</f>
        <v>-65004.251399999994</v>
      </c>
      <c r="AE19" s="20">
        <f>'evolucion certificaciones nuevo'!J28</f>
        <v>-136508.92793999999</v>
      </c>
      <c r="AF19" s="20">
        <f>'evolucion certificaciones nuevo'!K28</f>
        <v>-169733.32309999998</v>
      </c>
      <c r="AG19" s="20">
        <f>'evolucion certificaciones nuevo'!L28</f>
        <v>-115563.1136</v>
      </c>
      <c r="AH19" s="20">
        <f>'evolucion certificaciones nuevo'!M28</f>
        <v>-192123.67636000001</v>
      </c>
      <c r="AI19" s="20">
        <f>'evolucion certificaciones nuevo'!N28</f>
        <v>-171900.13147999998</v>
      </c>
      <c r="AJ19" s="20">
        <f>'evolucion certificaciones nuevo'!O28</f>
        <v>-214514.02961999999</v>
      </c>
      <c r="AK19" s="20">
        <f>'evolucion certificaciones nuevo'!P28</f>
        <v>-84505.526819999999</v>
      </c>
      <c r="AL19" s="20">
        <f>'evolucion certificaciones nuevo'!Q28</f>
        <v>-150954.31714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</row>
    <row r="20" spans="1:99" x14ac:dyDescent="0.25">
      <c r="A20" s="11" t="s">
        <v>4</v>
      </c>
      <c r="B20" s="11" t="s">
        <v>168</v>
      </c>
      <c r="C20" s="11" t="s">
        <v>11</v>
      </c>
      <c r="D20" s="37">
        <v>0.21</v>
      </c>
      <c r="E20" s="11">
        <f>F16</f>
        <v>0</v>
      </c>
      <c r="F20" s="11">
        <f>E20*D20</f>
        <v>0</v>
      </c>
      <c r="G20" s="19">
        <f>-F20</f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f>W16*0.21</f>
        <v>0</v>
      </c>
      <c r="X20" s="20">
        <f>X16*0.21</f>
        <v>0</v>
      </c>
      <c r="Y20" s="20">
        <f>Y16*0.21</f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</row>
    <row r="21" spans="1:99" x14ac:dyDescent="0.25">
      <c r="A21" s="11" t="s">
        <v>4</v>
      </c>
      <c r="B21" s="11" t="s">
        <v>168</v>
      </c>
      <c r="C21" s="11" t="s">
        <v>10</v>
      </c>
      <c r="D21" s="37">
        <v>0.1</v>
      </c>
      <c r="E21" s="11">
        <f>F18+F19</f>
        <v>1444538.92</v>
      </c>
      <c r="F21" s="11">
        <f>E21*D21</f>
        <v>144453.89199999999</v>
      </c>
      <c r="G21" s="19">
        <f>-F21</f>
        <v>-144453.89199999999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f>(Z18+Z19)*0.1</f>
        <v>-866.72335199999998</v>
      </c>
      <c r="AA21" s="20">
        <f>(AA18+AA19)*0.1</f>
        <v>-2311.2622719999999</v>
      </c>
      <c r="AB21" s="20">
        <f>(AB18+AB19)*0.1</f>
        <v>-5778.1556799999998</v>
      </c>
      <c r="AC21" s="20">
        <f>(AC18+AC19)*0.1</f>
        <v>-5417.0209500000001</v>
      </c>
      <c r="AD21" s="20">
        <f>(AD18+AD19)*0.1</f>
        <v>-6500.4251399999994</v>
      </c>
      <c r="AE21" s="20">
        <f>(AE18+AE19)*0.1</f>
        <v>-13650.892793999999</v>
      </c>
      <c r="AF21" s="20">
        <f>(AF18+AF19)*0.1</f>
        <v>-16973.332309999998</v>
      </c>
      <c r="AG21" s="20">
        <f>(AG18+AG19)*0.1</f>
        <v>-11556.31136</v>
      </c>
      <c r="AH21" s="20">
        <f>(AH18+AH19)*0.1</f>
        <v>-19212.367636000003</v>
      </c>
      <c r="AI21" s="20">
        <f>(AI18+AI19)*0.1</f>
        <v>-17190.013147999998</v>
      </c>
      <c r="AJ21" s="20">
        <f>(AJ18+AJ19)*0.1</f>
        <v>-21451.402962</v>
      </c>
      <c r="AK21" s="20">
        <f>(AK18+AK19)*0.1</f>
        <v>-8450.5526819999995</v>
      </c>
      <c r="AL21" s="20">
        <f>(AL18+AL19)*0.1</f>
        <v>-15095.431714</v>
      </c>
      <c r="AM21" s="20">
        <f>(AM18+AM19)*0.1</f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</row>
    <row r="22" spans="1:99" x14ac:dyDescent="0.25">
      <c r="A22" s="11" t="s">
        <v>4</v>
      </c>
      <c r="B22" s="11" t="s">
        <v>168</v>
      </c>
      <c r="C22" s="11" t="s">
        <v>21</v>
      </c>
      <c r="D22" s="37">
        <v>1</v>
      </c>
      <c r="E22" s="11">
        <v>700</v>
      </c>
      <c r="F22" s="11">
        <f>D22*E22</f>
        <v>700</v>
      </c>
      <c r="G22" s="19">
        <f>-F22</f>
        <v>-700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f>G22</f>
        <v>-700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37">
        <f>5%</f>
        <v>0.05</v>
      </c>
      <c r="E23" s="11">
        <f>(F18+F19)</f>
        <v>1444538.92</v>
      </c>
      <c r="F23" s="11">
        <f>D23*E23</f>
        <v>72226.945999999996</v>
      </c>
      <c r="G23" s="17">
        <f>-F23</f>
        <v>-72226.945999999996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f>G23*0.2</f>
        <v>-14445.3892</v>
      </c>
      <c r="R23" s="18">
        <v>0</v>
      </c>
      <c r="S23" s="18">
        <v>0</v>
      </c>
      <c r="T23" s="18">
        <f>G23*0.8</f>
        <v>-57781.556799999998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37">
        <f>5%</f>
        <v>0.05</v>
      </c>
      <c r="E24" s="11">
        <f>F16</f>
        <v>0</v>
      </c>
      <c r="F24" s="11">
        <f>D24*E24</f>
        <v>0</v>
      </c>
      <c r="G24" s="19">
        <f>-F24</f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>G24*0.2</f>
        <v>0</v>
      </c>
      <c r="O24" s="20">
        <v>0</v>
      </c>
      <c r="P24" s="20">
        <f>G24*0.8</f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</row>
    <row r="25" spans="1:99" x14ac:dyDescent="0.25">
      <c r="A25" s="11" t="s">
        <v>4</v>
      </c>
      <c r="B25" s="11" t="s">
        <v>0</v>
      </c>
      <c r="C25" s="11" t="s">
        <v>169</v>
      </c>
      <c r="D25" s="37">
        <v>2.9999999999999997E-4</v>
      </c>
      <c r="E25" s="11">
        <v>0</v>
      </c>
      <c r="F25" s="11">
        <f>D25*E25</f>
        <v>0</v>
      </c>
      <c r="G25" s="19">
        <f>-F25</f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f>G25</f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</row>
    <row r="26" spans="1:99" x14ac:dyDescent="0.25">
      <c r="A26" s="11" t="s">
        <v>4</v>
      </c>
      <c r="B26" s="11" t="s">
        <v>0</v>
      </c>
      <c r="C26" s="11" t="s">
        <v>170</v>
      </c>
      <c r="D26" s="37">
        <v>2.0000000000000001E-4</v>
      </c>
      <c r="E26" s="11">
        <v>0</v>
      </c>
      <c r="F26" s="11">
        <f>D26*E26</f>
        <v>0</v>
      </c>
      <c r="G26" s="19">
        <f>-F26</f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f>G26</f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</row>
    <row r="27" spans="1:99" x14ac:dyDescent="0.25">
      <c r="A27" s="11" t="s">
        <v>4</v>
      </c>
      <c r="B27" s="11" t="s">
        <v>0</v>
      </c>
      <c r="C27" s="11" t="s">
        <v>171</v>
      </c>
      <c r="D27" s="37">
        <v>1</v>
      </c>
      <c r="E27" s="11">
        <v>250</v>
      </c>
      <c r="F27" s="11">
        <f>D27*E27</f>
        <v>250</v>
      </c>
      <c r="G27" s="19">
        <f>-F27</f>
        <v>-250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f>G27</f>
        <v>-250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</row>
    <row r="28" spans="1:99" x14ac:dyDescent="0.25">
      <c r="A28" s="11" t="s">
        <v>4</v>
      </c>
      <c r="B28" s="11" t="s">
        <v>0</v>
      </c>
      <c r="C28" s="11" t="s">
        <v>172</v>
      </c>
      <c r="D28" s="37">
        <v>2.9999999999999997E-4</v>
      </c>
      <c r="E28" s="11">
        <v>0</v>
      </c>
      <c r="F28" s="11">
        <f>D28*E28</f>
        <v>0</v>
      </c>
      <c r="G28" s="19">
        <f>-F28</f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f>G28</f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</row>
    <row r="29" spans="1:99" x14ac:dyDescent="0.25">
      <c r="A29" s="11" t="s">
        <v>4</v>
      </c>
      <c r="B29" s="11" t="s">
        <v>0</v>
      </c>
      <c r="C29" s="11" t="s">
        <v>173</v>
      </c>
      <c r="D29" s="37">
        <v>2.0000000000000001E-4</v>
      </c>
      <c r="E29" s="11">
        <v>0</v>
      </c>
      <c r="F29" s="11">
        <f>D29*E29</f>
        <v>0</v>
      </c>
      <c r="G29" s="19">
        <f>-F29</f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f t="shared" ref="AN29:AN32" si="4">G29</f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</row>
    <row r="30" spans="1:99" x14ac:dyDescent="0.25">
      <c r="A30" s="11" t="s">
        <v>4</v>
      </c>
      <c r="B30" s="11" t="s">
        <v>0</v>
      </c>
      <c r="C30" s="11" t="s">
        <v>174</v>
      </c>
      <c r="D30" s="37">
        <v>1</v>
      </c>
      <c r="E30" s="11">
        <v>250</v>
      </c>
      <c r="F30" s="11">
        <f>D30*E30</f>
        <v>250</v>
      </c>
      <c r="G30" s="19">
        <f>-F30</f>
        <v>-250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f t="shared" si="4"/>
        <v>-250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37">
        <v>8.9999999999999993E-3</v>
      </c>
      <c r="E31" s="11">
        <f>F18+F19</f>
        <v>1444538.92</v>
      </c>
      <c r="F31" s="11">
        <f>D31*E31</f>
        <v>13000.850279999999</v>
      </c>
      <c r="G31" s="19">
        <f>-F31</f>
        <v>-13000.850279999999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f>$G$31/16</f>
        <v>-812.55314249999992</v>
      </c>
      <c r="Y31" s="20">
        <f t="shared" ref="Y31:AM31" si="5">$G$31/16</f>
        <v>-812.55314249999992</v>
      </c>
      <c r="Z31" s="20">
        <f t="shared" si="5"/>
        <v>-812.55314249999992</v>
      </c>
      <c r="AA31" s="20">
        <f t="shared" si="5"/>
        <v>-812.55314249999992</v>
      </c>
      <c r="AB31" s="20">
        <f t="shared" si="5"/>
        <v>-812.55314249999992</v>
      </c>
      <c r="AC31" s="20">
        <f t="shared" si="5"/>
        <v>-812.55314249999992</v>
      </c>
      <c r="AD31" s="20">
        <f t="shared" si="5"/>
        <v>-812.55314249999992</v>
      </c>
      <c r="AE31" s="20">
        <f t="shared" si="5"/>
        <v>-812.55314249999992</v>
      </c>
      <c r="AF31" s="20">
        <f t="shared" si="5"/>
        <v>-812.55314249999992</v>
      </c>
      <c r="AG31" s="20">
        <f t="shared" si="5"/>
        <v>-812.55314249999992</v>
      </c>
      <c r="AH31" s="20">
        <f t="shared" si="5"/>
        <v>-812.55314249999992</v>
      </c>
      <c r="AI31" s="20">
        <f t="shared" si="5"/>
        <v>-812.55314249999992</v>
      </c>
      <c r="AJ31" s="20">
        <f t="shared" si="5"/>
        <v>-812.55314249999992</v>
      </c>
      <c r="AK31" s="20">
        <f t="shared" si="5"/>
        <v>-812.55314249999992</v>
      </c>
      <c r="AL31" s="20">
        <f t="shared" si="5"/>
        <v>-812.55314249999992</v>
      </c>
      <c r="AM31" s="20">
        <f t="shared" si="5"/>
        <v>-812.55314249999992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</row>
    <row r="32" spans="1:99" x14ac:dyDescent="0.25">
      <c r="A32" s="11" t="s">
        <v>4</v>
      </c>
      <c r="B32" s="11" t="s">
        <v>0</v>
      </c>
      <c r="C32" s="11" t="s">
        <v>175</v>
      </c>
      <c r="D32" s="37">
        <v>2.5000000000000001E-3</v>
      </c>
      <c r="E32" s="11">
        <v>0</v>
      </c>
      <c r="F32" s="11">
        <f>D32*E32</f>
        <v>0</v>
      </c>
      <c r="G32" s="19">
        <f>-F32</f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f t="shared" si="4"/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0</v>
      </c>
      <c r="CS32" s="20">
        <v>0</v>
      </c>
      <c r="CT32" s="20">
        <v>0</v>
      </c>
      <c r="CU32" s="20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35">
        <v>1</v>
      </c>
      <c r="E33" s="21">
        <v>2500</v>
      </c>
      <c r="F33" s="21">
        <f>D33*E33</f>
        <v>2500</v>
      </c>
      <c r="G33" s="22">
        <f>-F33</f>
        <v>-2500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4">
        <f>G33</f>
        <v>-2500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</row>
    <row r="34" spans="1:99" x14ac:dyDescent="0.25">
      <c r="A34" s="11" t="s">
        <v>4</v>
      </c>
      <c r="B34" s="11" t="s">
        <v>24</v>
      </c>
      <c r="C34" s="11" t="s">
        <v>176</v>
      </c>
      <c r="D34" s="38">
        <v>2.5000000000000001E-3</v>
      </c>
      <c r="E34" s="21">
        <f>-0.8*SUM(G2:G32,G41:G42)</f>
        <v>1537834.8086644479</v>
      </c>
      <c r="F34" s="21">
        <f>D34*E34</f>
        <v>3844.5870216611197</v>
      </c>
      <c r="G34" s="19">
        <f>-F34</f>
        <v>-3844.5870216611197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f>G34</f>
        <v>-3844.5870216611197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35">
        <v>1</v>
      </c>
      <c r="E35" s="21">
        <v>250</v>
      </c>
      <c r="F35" s="21">
        <f>D35*E35</f>
        <v>250</v>
      </c>
      <c r="G35" s="19">
        <f>-F35</f>
        <v>-250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f>G35</f>
        <v>-250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38">
        <v>2.5000000000000001E-3</v>
      </c>
      <c r="E36" s="21">
        <f>-0.8*SUM(G2:G32,G41:G42)</f>
        <v>1537834.8086644479</v>
      </c>
      <c r="F36" s="21">
        <f>D36*E36</f>
        <v>3844.5870216611197</v>
      </c>
      <c r="G36" s="19">
        <f>-F36</f>
        <v>-3844.5870216611197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f>G36</f>
        <v>-3844.5870216611197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38">
        <v>1E-3</v>
      </c>
      <c r="E37" s="21">
        <f>-0.8*SUM(G2:G32,G41:G42)</f>
        <v>1537834.8086644479</v>
      </c>
      <c r="F37" s="21">
        <f>D37*E37</f>
        <v>1537.8348086644478</v>
      </c>
      <c r="G37" s="19">
        <f>-F37</f>
        <v>-1537.8348086644478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f>G37</f>
        <v>-1537.8348086644478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</row>
    <row r="38" spans="1:99" x14ac:dyDescent="0.25">
      <c r="A38" s="11" t="s">
        <v>4</v>
      </c>
      <c r="B38" s="11" t="s">
        <v>24</v>
      </c>
      <c r="C38" s="11" t="s">
        <v>96</v>
      </c>
      <c r="D38" s="38">
        <f>intereses!C5</f>
        <v>3.5000000000000003E-2</v>
      </c>
      <c r="E38" s="21">
        <f>0.8*(SUM(F2:F42)-F44-F45)</f>
        <v>788217.33336336631</v>
      </c>
      <c r="F38" s="21">
        <v>72125.59</v>
      </c>
      <c r="G38" s="19"/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-2298.9672125000002</v>
      </c>
      <c r="AO38" s="20">
        <v>-2263.8503083116771</v>
      </c>
      <c r="AP38" s="20">
        <v>-2228.6309798194716</v>
      </c>
      <c r="AQ38" s="20">
        <v>-2193.3089282858309</v>
      </c>
      <c r="AR38" s="20">
        <v>-2157.8838541018831</v>
      </c>
      <c r="AS38" s="20">
        <v>-2122.3554567848992</v>
      </c>
      <c r="AT38" s="20">
        <v>-2086.7234349757405</v>
      </c>
      <c r="AU38" s="20">
        <v>-2050.9874864363051</v>
      </c>
      <c r="AV38" s="20">
        <v>-2015.147308046963</v>
      </c>
      <c r="AW38" s="20">
        <v>-1979.2025958039856</v>
      </c>
      <c r="AX38" s="20">
        <v>-1943.1530448169656</v>
      </c>
      <c r="AY38" s="20">
        <v>-1906.9983493062341</v>
      </c>
      <c r="AZ38" s="20">
        <v>-1870.7382026002626</v>
      </c>
      <c r="BA38" s="20">
        <v>-1834.3722971330656</v>
      </c>
      <c r="BB38" s="20">
        <v>-1797.900324441589</v>
      </c>
      <c r="BC38" s="20">
        <v>-1761.3219751630954</v>
      </c>
      <c r="BD38" s="25">
        <v>-1724.6369390325399</v>
      </c>
      <c r="BE38" s="25">
        <v>-1687.8449048799371</v>
      </c>
      <c r="BF38" s="25">
        <v>-1650.9455606277222</v>
      </c>
      <c r="BG38" s="25">
        <v>-1613.9385932881053</v>
      </c>
      <c r="BH38" s="25">
        <v>-1576.8236889604138</v>
      </c>
      <c r="BI38" s="25">
        <v>-1539.6005328284339</v>
      </c>
      <c r="BJ38" s="25">
        <v>-1502.2688091577356</v>
      </c>
      <c r="BK38" s="25">
        <v>-1464.8282012929978</v>
      </c>
      <c r="BL38" s="25">
        <v>-1427.2783916553212</v>
      </c>
      <c r="BM38" s="25">
        <v>-1389.6190617395348</v>
      </c>
      <c r="BN38" s="25">
        <v>-1351.8498921114938</v>
      </c>
      <c r="BO38" s="25">
        <v>-1313.9705624053711</v>
      </c>
      <c r="BP38" s="25">
        <v>-1275.9807513209389</v>
      </c>
      <c r="BQ38" s="25">
        <v>-1237.8801366208436</v>
      </c>
      <c r="BR38" s="25">
        <v>-1199.6683951278731</v>
      </c>
      <c r="BS38" s="25">
        <v>-1161.3452027222147</v>
      </c>
      <c r="BT38" s="25">
        <v>-1122.9102343387067</v>
      </c>
      <c r="BU38" s="25">
        <v>-1084.3631639640801</v>
      </c>
      <c r="BV38" s="25">
        <v>-1045.703664634194</v>
      </c>
      <c r="BW38" s="25">
        <v>-1006.9314084312624</v>
      </c>
      <c r="BX38" s="25">
        <v>-968.04606648107233</v>
      </c>
      <c r="BY38" s="25">
        <v>-929.04730895019418</v>
      </c>
      <c r="BZ38" s="25">
        <v>-889.93480504318438</v>
      </c>
      <c r="CA38" s="25">
        <v>-850.70822299977897</v>
      </c>
      <c r="CB38" s="25">
        <v>-811.36723009208049</v>
      </c>
      <c r="CC38" s="25">
        <v>-771.91149262173451</v>
      </c>
      <c r="CD38" s="25">
        <v>-732.34067591709993</v>
      </c>
      <c r="CE38" s="25">
        <v>-692.65444433041023</v>
      </c>
      <c r="CF38" s="25">
        <v>-652.85246123492595</v>
      </c>
      <c r="CG38" s="25">
        <v>-612.93438902207981</v>
      </c>
      <c r="CH38" s="25">
        <v>-572.89988909861302</v>
      </c>
      <c r="CI38" s="25">
        <v>-532.74862188370264</v>
      </c>
      <c r="CJ38" s="25">
        <v>-492.48024680608228</v>
      </c>
      <c r="CK38" s="25">
        <v>-452.09442230115212</v>
      </c>
      <c r="CL38" s="25">
        <v>-411.59080580808262</v>
      </c>
      <c r="CM38" s="25">
        <v>-370.96905376690813</v>
      </c>
      <c r="CN38" s="25">
        <v>-330.22882161561375</v>
      </c>
      <c r="CO38" s="25">
        <v>-289.36976378721141</v>
      </c>
      <c r="CP38" s="25">
        <v>-248.3915337068095</v>
      </c>
      <c r="CQ38" s="25">
        <v>-207.29378378867307</v>
      </c>
      <c r="CR38" s="25">
        <v>-166.07616543327543</v>
      </c>
      <c r="CS38" s="25">
        <v>-124.73832902434125</v>
      </c>
      <c r="CT38" s="25">
        <v>-83.279923925880993</v>
      </c>
      <c r="CU38" s="25">
        <v>-41.700598479216872</v>
      </c>
    </row>
    <row r="39" spans="1:99" x14ac:dyDescent="0.25">
      <c r="A39" s="11" t="s">
        <v>4</v>
      </c>
      <c r="B39" s="11" t="s">
        <v>24</v>
      </c>
      <c r="C39" s="11" t="s">
        <v>39</v>
      </c>
      <c r="D39" s="38">
        <f>intereses!E5</f>
        <v>0.05</v>
      </c>
      <c r="E39" s="21">
        <f>-0.8*SUM(G2:G32,G41:G42)</f>
        <v>1537834.8086644479</v>
      </c>
      <c r="F39" s="21">
        <v>55030.97</v>
      </c>
      <c r="G39" s="19"/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-6407.6450416666667</v>
      </c>
      <c r="Y39" s="20">
        <v>-6019.5347304314191</v>
      </c>
      <c r="Z39" s="20">
        <v>-5629.8072928993588</v>
      </c>
      <c r="AA39" s="20">
        <v>-5238.4559910442467</v>
      </c>
      <c r="AB39" s="20">
        <v>-4845.4740587647384</v>
      </c>
      <c r="AC39" s="20">
        <v>-4450.8547017674</v>
      </c>
      <c r="AD39" s="20">
        <v>-4054.5910974492376</v>
      </c>
      <c r="AE39" s="20">
        <v>-3656.6763947797508</v>
      </c>
      <c r="AF39" s="20">
        <v>-3257.1037141824741</v>
      </c>
      <c r="AG39" s="20">
        <v>-2855.8661474160426</v>
      </c>
      <c r="AH39" s="20">
        <v>-2452.9567574547505</v>
      </c>
      <c r="AI39" s="20">
        <v>-2048.3685783686196</v>
      </c>
      <c r="AJ39" s="20">
        <v>-1642.0946152029635</v>
      </c>
      <c r="AK39" s="20">
        <v>-1234.1278438574504</v>
      </c>
      <c r="AL39" s="20">
        <v>-824.46121096466425</v>
      </c>
      <c r="AM39" s="20">
        <v>-413.08763376815818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38">
        <v>2.5000000000000001E-3</v>
      </c>
      <c r="E40" s="21">
        <f>-0.8*SUM(G2:G32,G41:G42)</f>
        <v>1537834.8086644479</v>
      </c>
      <c r="F40" s="21">
        <f>D40*E40</f>
        <v>3844.5870216611197</v>
      </c>
      <c r="G40" s="19">
        <f>-F40</f>
        <v>-3844.5870216611197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f>G40</f>
        <v>-3844.5870216611197</v>
      </c>
    </row>
    <row r="41" spans="1:99" x14ac:dyDescent="0.25">
      <c r="A41" s="11" t="s">
        <v>4</v>
      </c>
      <c r="B41" s="11" t="s">
        <v>1</v>
      </c>
      <c r="C41" s="11" t="s">
        <v>22</v>
      </c>
      <c r="D41" s="35">
        <v>0</v>
      </c>
      <c r="E41" s="11">
        <v>700</v>
      </c>
      <c r="F41" s="21">
        <f>D41*E41</f>
        <v>0</v>
      </c>
      <c r="G41" s="17">
        <f>-F41</f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f>$G$41/16</f>
        <v>0</v>
      </c>
      <c r="Y41" s="18">
        <f t="shared" ref="Y41:AM41" si="6">$G$41/16</f>
        <v>0</v>
      </c>
      <c r="Z41" s="18">
        <f t="shared" si="6"/>
        <v>0</v>
      </c>
      <c r="AA41" s="18">
        <f t="shared" si="6"/>
        <v>0</v>
      </c>
      <c r="AB41" s="18">
        <f t="shared" si="6"/>
        <v>0</v>
      </c>
      <c r="AC41" s="18">
        <f t="shared" si="6"/>
        <v>0</v>
      </c>
      <c r="AD41" s="18">
        <f t="shared" si="6"/>
        <v>0</v>
      </c>
      <c r="AE41" s="18">
        <f t="shared" si="6"/>
        <v>0</v>
      </c>
      <c r="AF41" s="18">
        <f t="shared" si="6"/>
        <v>0</v>
      </c>
      <c r="AG41" s="18">
        <f t="shared" si="6"/>
        <v>0</v>
      </c>
      <c r="AH41" s="18">
        <f t="shared" si="6"/>
        <v>0</v>
      </c>
      <c r="AI41" s="18">
        <f t="shared" si="6"/>
        <v>0</v>
      </c>
      <c r="AJ41" s="18">
        <f t="shared" si="6"/>
        <v>0</v>
      </c>
      <c r="AK41" s="18">
        <f t="shared" si="6"/>
        <v>0</v>
      </c>
      <c r="AL41" s="18">
        <f t="shared" si="6"/>
        <v>0</v>
      </c>
      <c r="AM41" s="18">
        <f t="shared" si="6"/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35">
        <v>0</v>
      </c>
      <c r="E42" s="11">
        <v>200</v>
      </c>
      <c r="F42" s="21">
        <f>D42*E42</f>
        <v>0</v>
      </c>
      <c r="G42" s="19">
        <f>-$F$42</f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f>$G$42/16</f>
        <v>0</v>
      </c>
      <c r="Y42" s="20">
        <f t="shared" ref="Y42:AM42" si="7">$G$42/16</f>
        <v>0</v>
      </c>
      <c r="Z42" s="20">
        <f t="shared" si="7"/>
        <v>0</v>
      </c>
      <c r="AA42" s="20">
        <f t="shared" si="7"/>
        <v>0</v>
      </c>
      <c r="AB42" s="20">
        <f t="shared" si="7"/>
        <v>0</v>
      </c>
      <c r="AC42" s="20">
        <f t="shared" si="7"/>
        <v>0</v>
      </c>
      <c r="AD42" s="20">
        <f t="shared" si="7"/>
        <v>0</v>
      </c>
      <c r="AE42" s="20">
        <f t="shared" si="7"/>
        <v>0</v>
      </c>
      <c r="AF42" s="20">
        <f t="shared" si="7"/>
        <v>0</v>
      </c>
      <c r="AG42" s="20">
        <f t="shared" si="7"/>
        <v>0</v>
      </c>
      <c r="AH42" s="20">
        <f t="shared" si="7"/>
        <v>0</v>
      </c>
      <c r="AI42" s="20">
        <f t="shared" si="7"/>
        <v>0</v>
      </c>
      <c r="AJ42" s="20">
        <f t="shared" si="7"/>
        <v>0</v>
      </c>
      <c r="AK42" s="20">
        <f t="shared" si="7"/>
        <v>0</v>
      </c>
      <c r="AL42" s="20">
        <f t="shared" si="7"/>
        <v>0</v>
      </c>
      <c r="AM42" s="20">
        <f t="shared" si="7"/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</row>
    <row r="43" spans="1:99" x14ac:dyDescent="0.25">
      <c r="A43" s="11" t="s">
        <v>5</v>
      </c>
      <c r="B43" s="11" t="s">
        <v>177</v>
      </c>
      <c r="C43" s="11" t="s">
        <v>145</v>
      </c>
      <c r="E43" s="11">
        <f>65*2183.04</f>
        <v>141897.60000000001</v>
      </c>
      <c r="F43" s="11">
        <f>D43*E43</f>
        <v>0</v>
      </c>
      <c r="G43" s="19">
        <f>F43</f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f>G43</f>
        <v>0</v>
      </c>
    </row>
    <row r="44" spans="1:99" x14ac:dyDescent="0.25">
      <c r="A44" s="11" t="s">
        <v>5</v>
      </c>
      <c r="B44" s="11" t="s">
        <v>178</v>
      </c>
      <c r="C44" s="11" t="s">
        <v>179</v>
      </c>
      <c r="D44" s="37">
        <v>40</v>
      </c>
      <c r="E44" s="16">
        <v>16000</v>
      </c>
      <c r="F44" s="11">
        <f>D44*E44</f>
        <v>640000</v>
      </c>
      <c r="G44" s="19">
        <f>F44</f>
        <v>640000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f>G44</f>
        <v>640000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</row>
    <row r="45" spans="1:99" x14ac:dyDescent="0.25">
      <c r="A45" s="11" t="s">
        <v>5</v>
      </c>
      <c r="B45" s="11" t="s">
        <v>178</v>
      </c>
      <c r="C45" s="11" t="s">
        <v>180</v>
      </c>
      <c r="D45" s="37">
        <v>40</v>
      </c>
      <c r="E45" s="11">
        <v>11000</v>
      </c>
      <c r="F45" s="11">
        <f>D45*E45</f>
        <v>440000</v>
      </c>
      <c r="G45" s="19">
        <f>F45</f>
        <v>440000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f>G45</f>
        <v>440000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  <c r="CT45" s="20">
        <v>0</v>
      </c>
      <c r="CU45" s="20">
        <v>0</v>
      </c>
    </row>
    <row r="46" spans="1:99" x14ac:dyDescent="0.25">
      <c r="A46" s="11" t="s">
        <v>5</v>
      </c>
      <c r="B46" s="11" t="s">
        <v>181</v>
      </c>
      <c r="C46" s="11" t="s">
        <v>182</v>
      </c>
      <c r="D46" s="37">
        <v>0</v>
      </c>
      <c r="E46" s="11">
        <v>450</v>
      </c>
      <c r="F46" s="21">
        <f>D46*E46</f>
        <v>0</v>
      </c>
      <c r="G46" s="19">
        <f>F46</f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f>($D$46*$E$46)/60</f>
        <v>0</v>
      </c>
      <c r="AO46" s="20">
        <f t="shared" ref="AO46:CU46" si="8">($D$46*$E$46)/60</f>
        <v>0</v>
      </c>
      <c r="AP46" s="20">
        <f t="shared" si="8"/>
        <v>0</v>
      </c>
      <c r="AQ46" s="20">
        <f t="shared" si="8"/>
        <v>0</v>
      </c>
      <c r="AR46" s="20">
        <f t="shared" si="8"/>
        <v>0</v>
      </c>
      <c r="AS46" s="20">
        <f t="shared" si="8"/>
        <v>0</v>
      </c>
      <c r="AT46" s="20">
        <f t="shared" si="8"/>
        <v>0</v>
      </c>
      <c r="AU46" s="20">
        <f t="shared" si="8"/>
        <v>0</v>
      </c>
      <c r="AV46" s="20">
        <f t="shared" si="8"/>
        <v>0</v>
      </c>
      <c r="AW46" s="20">
        <f t="shared" si="8"/>
        <v>0</v>
      </c>
      <c r="AX46" s="20">
        <f t="shared" si="8"/>
        <v>0</v>
      </c>
      <c r="AY46" s="20">
        <f t="shared" si="8"/>
        <v>0</v>
      </c>
      <c r="AZ46" s="20">
        <f t="shared" si="8"/>
        <v>0</v>
      </c>
      <c r="BA46" s="20">
        <f t="shared" si="8"/>
        <v>0</v>
      </c>
      <c r="BB46" s="20">
        <f t="shared" si="8"/>
        <v>0</v>
      </c>
      <c r="BC46" s="20">
        <f t="shared" si="8"/>
        <v>0</v>
      </c>
      <c r="BD46" s="20">
        <f t="shared" si="8"/>
        <v>0</v>
      </c>
      <c r="BE46" s="20">
        <f t="shared" si="8"/>
        <v>0</v>
      </c>
      <c r="BF46" s="20">
        <f t="shared" si="8"/>
        <v>0</v>
      </c>
      <c r="BG46" s="20">
        <f t="shared" si="8"/>
        <v>0</v>
      </c>
      <c r="BH46" s="20">
        <f t="shared" si="8"/>
        <v>0</v>
      </c>
      <c r="BI46" s="20">
        <f t="shared" si="8"/>
        <v>0</v>
      </c>
      <c r="BJ46" s="20">
        <f t="shared" si="8"/>
        <v>0</v>
      </c>
      <c r="BK46" s="20">
        <f t="shared" si="8"/>
        <v>0</v>
      </c>
      <c r="BL46" s="20">
        <f t="shared" si="8"/>
        <v>0</v>
      </c>
      <c r="BM46" s="20">
        <f t="shared" si="8"/>
        <v>0</v>
      </c>
      <c r="BN46" s="20">
        <f t="shared" si="8"/>
        <v>0</v>
      </c>
      <c r="BO46" s="20">
        <f t="shared" si="8"/>
        <v>0</v>
      </c>
      <c r="BP46" s="20">
        <f t="shared" si="8"/>
        <v>0</v>
      </c>
      <c r="BQ46" s="20">
        <f t="shared" si="8"/>
        <v>0</v>
      </c>
      <c r="BR46" s="20">
        <f t="shared" si="8"/>
        <v>0</v>
      </c>
      <c r="BS46" s="20">
        <f t="shared" si="8"/>
        <v>0</v>
      </c>
      <c r="BT46" s="20">
        <f t="shared" si="8"/>
        <v>0</v>
      </c>
      <c r="BU46" s="20">
        <f t="shared" si="8"/>
        <v>0</v>
      </c>
      <c r="BV46" s="20">
        <f t="shared" si="8"/>
        <v>0</v>
      </c>
      <c r="BW46" s="20">
        <f t="shared" si="8"/>
        <v>0</v>
      </c>
      <c r="BX46" s="20">
        <f t="shared" si="8"/>
        <v>0</v>
      </c>
      <c r="BY46" s="20">
        <f t="shared" si="8"/>
        <v>0</v>
      </c>
      <c r="BZ46" s="20">
        <f t="shared" si="8"/>
        <v>0</v>
      </c>
      <c r="CA46" s="20">
        <f t="shared" si="8"/>
        <v>0</v>
      </c>
      <c r="CB46" s="20">
        <f t="shared" si="8"/>
        <v>0</v>
      </c>
      <c r="CC46" s="20">
        <f t="shared" si="8"/>
        <v>0</v>
      </c>
      <c r="CD46" s="20">
        <f t="shared" si="8"/>
        <v>0</v>
      </c>
      <c r="CE46" s="20">
        <f t="shared" si="8"/>
        <v>0</v>
      </c>
      <c r="CF46" s="20">
        <f t="shared" si="8"/>
        <v>0</v>
      </c>
      <c r="CG46" s="20">
        <f t="shared" si="8"/>
        <v>0</v>
      </c>
      <c r="CH46" s="20">
        <f t="shared" si="8"/>
        <v>0</v>
      </c>
      <c r="CI46" s="20">
        <f t="shared" si="8"/>
        <v>0</v>
      </c>
      <c r="CJ46" s="20">
        <f t="shared" si="8"/>
        <v>0</v>
      </c>
      <c r="CK46" s="20">
        <f t="shared" si="8"/>
        <v>0</v>
      </c>
      <c r="CL46" s="20">
        <f t="shared" si="8"/>
        <v>0</v>
      </c>
      <c r="CM46" s="20">
        <f t="shared" si="8"/>
        <v>0</v>
      </c>
      <c r="CN46" s="20">
        <f t="shared" si="8"/>
        <v>0</v>
      </c>
      <c r="CO46" s="20">
        <f t="shared" si="8"/>
        <v>0</v>
      </c>
      <c r="CP46" s="20">
        <f t="shared" si="8"/>
        <v>0</v>
      </c>
      <c r="CQ46" s="20">
        <f t="shared" si="8"/>
        <v>0</v>
      </c>
      <c r="CR46" s="20">
        <f t="shared" si="8"/>
        <v>0</v>
      </c>
      <c r="CS46" s="20">
        <f t="shared" si="8"/>
        <v>0</v>
      </c>
      <c r="CT46" s="20">
        <f t="shared" si="8"/>
        <v>0</v>
      </c>
      <c r="CU46" s="20">
        <f t="shared" si="8"/>
        <v>0</v>
      </c>
    </row>
    <row r="47" spans="1:99" x14ac:dyDescent="0.25">
      <c r="A47" s="11" t="s">
        <v>5</v>
      </c>
      <c r="B47" s="11" t="s">
        <v>183</v>
      </c>
      <c r="C47" s="11" t="s">
        <v>157</v>
      </c>
      <c r="D47" s="37">
        <f>40*60</f>
        <v>2400</v>
      </c>
      <c r="E47" s="11">
        <v>50</v>
      </c>
      <c r="F47" s="21">
        <f>D47*E47</f>
        <v>120000</v>
      </c>
      <c r="G47" s="42">
        <f>F47</f>
        <v>120000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f>($D$47*$E$47)/60</f>
        <v>2000</v>
      </c>
      <c r="AO47" s="20">
        <f t="shared" ref="AO47:CU47" si="9">($D$47*$E$47)/60</f>
        <v>2000</v>
      </c>
      <c r="AP47" s="20">
        <f t="shared" si="9"/>
        <v>2000</v>
      </c>
      <c r="AQ47" s="20">
        <f t="shared" si="9"/>
        <v>2000</v>
      </c>
      <c r="AR47" s="20">
        <f t="shared" si="9"/>
        <v>2000</v>
      </c>
      <c r="AS47" s="20">
        <f t="shared" si="9"/>
        <v>2000</v>
      </c>
      <c r="AT47" s="20">
        <f t="shared" si="9"/>
        <v>2000</v>
      </c>
      <c r="AU47" s="20">
        <f t="shared" si="9"/>
        <v>2000</v>
      </c>
      <c r="AV47" s="20">
        <f t="shared" si="9"/>
        <v>2000</v>
      </c>
      <c r="AW47" s="20">
        <f t="shared" si="9"/>
        <v>2000</v>
      </c>
      <c r="AX47" s="20">
        <f t="shared" si="9"/>
        <v>2000</v>
      </c>
      <c r="AY47" s="20">
        <f t="shared" si="9"/>
        <v>2000</v>
      </c>
      <c r="AZ47" s="20">
        <f t="shared" si="9"/>
        <v>2000</v>
      </c>
      <c r="BA47" s="20">
        <f t="shared" si="9"/>
        <v>2000</v>
      </c>
      <c r="BB47" s="20">
        <f t="shared" si="9"/>
        <v>2000</v>
      </c>
      <c r="BC47" s="20">
        <f t="shared" si="9"/>
        <v>2000</v>
      </c>
      <c r="BD47" s="20">
        <f t="shared" si="9"/>
        <v>2000</v>
      </c>
      <c r="BE47" s="20">
        <f t="shared" si="9"/>
        <v>2000</v>
      </c>
      <c r="BF47" s="20">
        <f t="shared" si="9"/>
        <v>2000</v>
      </c>
      <c r="BG47" s="20">
        <f t="shared" si="9"/>
        <v>2000</v>
      </c>
      <c r="BH47" s="20">
        <f t="shared" si="9"/>
        <v>2000</v>
      </c>
      <c r="BI47" s="20">
        <f t="shared" si="9"/>
        <v>2000</v>
      </c>
      <c r="BJ47" s="20">
        <f t="shared" si="9"/>
        <v>2000</v>
      </c>
      <c r="BK47" s="20">
        <f t="shared" si="9"/>
        <v>2000</v>
      </c>
      <c r="BL47" s="20">
        <f t="shared" si="9"/>
        <v>2000</v>
      </c>
      <c r="BM47" s="20">
        <f t="shared" si="9"/>
        <v>2000</v>
      </c>
      <c r="BN47" s="20">
        <f t="shared" si="9"/>
        <v>2000</v>
      </c>
      <c r="BO47" s="20">
        <f t="shared" si="9"/>
        <v>2000</v>
      </c>
      <c r="BP47" s="20">
        <f t="shared" si="9"/>
        <v>2000</v>
      </c>
      <c r="BQ47" s="20">
        <f t="shared" si="9"/>
        <v>2000</v>
      </c>
      <c r="BR47" s="20">
        <f t="shared" si="9"/>
        <v>2000</v>
      </c>
      <c r="BS47" s="20">
        <f t="shared" si="9"/>
        <v>2000</v>
      </c>
      <c r="BT47" s="20">
        <f t="shared" si="9"/>
        <v>2000</v>
      </c>
      <c r="BU47" s="20">
        <f t="shared" si="9"/>
        <v>2000</v>
      </c>
      <c r="BV47" s="20">
        <f t="shared" si="9"/>
        <v>2000</v>
      </c>
      <c r="BW47" s="20">
        <f t="shared" si="9"/>
        <v>2000</v>
      </c>
      <c r="BX47" s="20">
        <f t="shared" si="9"/>
        <v>2000</v>
      </c>
      <c r="BY47" s="20">
        <f t="shared" si="9"/>
        <v>2000</v>
      </c>
      <c r="BZ47" s="20">
        <f t="shared" si="9"/>
        <v>2000</v>
      </c>
      <c r="CA47" s="20">
        <f t="shared" si="9"/>
        <v>2000</v>
      </c>
      <c r="CB47" s="20">
        <f t="shared" si="9"/>
        <v>2000</v>
      </c>
      <c r="CC47" s="20">
        <f t="shared" si="9"/>
        <v>2000</v>
      </c>
      <c r="CD47" s="20">
        <f t="shared" si="9"/>
        <v>2000</v>
      </c>
      <c r="CE47" s="20">
        <f t="shared" si="9"/>
        <v>2000</v>
      </c>
      <c r="CF47" s="20">
        <f t="shared" si="9"/>
        <v>2000</v>
      </c>
      <c r="CG47" s="20">
        <f t="shared" si="9"/>
        <v>2000</v>
      </c>
      <c r="CH47" s="20">
        <f t="shared" si="9"/>
        <v>2000</v>
      </c>
      <c r="CI47" s="20">
        <f t="shared" si="9"/>
        <v>2000</v>
      </c>
      <c r="CJ47" s="20">
        <f t="shared" si="9"/>
        <v>2000</v>
      </c>
      <c r="CK47" s="20">
        <f t="shared" si="9"/>
        <v>2000</v>
      </c>
      <c r="CL47" s="20">
        <f t="shared" si="9"/>
        <v>2000</v>
      </c>
      <c r="CM47" s="20">
        <f t="shared" si="9"/>
        <v>2000</v>
      </c>
      <c r="CN47" s="20">
        <f t="shared" si="9"/>
        <v>2000</v>
      </c>
      <c r="CO47" s="20">
        <f t="shared" si="9"/>
        <v>2000</v>
      </c>
      <c r="CP47" s="20">
        <f t="shared" si="9"/>
        <v>2000</v>
      </c>
      <c r="CQ47" s="20">
        <f t="shared" si="9"/>
        <v>2000</v>
      </c>
      <c r="CR47" s="20">
        <f t="shared" si="9"/>
        <v>2000</v>
      </c>
      <c r="CS47" s="20">
        <f t="shared" si="9"/>
        <v>2000</v>
      </c>
      <c r="CT47" s="20">
        <f t="shared" si="9"/>
        <v>2000</v>
      </c>
      <c r="CU47" s="20">
        <f t="shared" si="9"/>
        <v>2000</v>
      </c>
    </row>
    <row r="48" spans="1:99" x14ac:dyDescent="0.25">
      <c r="A48" s="11" t="s">
        <v>184</v>
      </c>
      <c r="B48" s="11" t="s">
        <v>185</v>
      </c>
      <c r="C48" s="11" t="s">
        <v>5</v>
      </c>
      <c r="F48" s="43"/>
      <c r="G48" s="45">
        <f>SUM(F43:F47)</f>
        <v>1200000</v>
      </c>
      <c r="H48" s="3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spans="1:99" x14ac:dyDescent="0.25">
      <c r="A49" s="11" t="s">
        <v>184</v>
      </c>
      <c r="B49" s="11" t="s">
        <v>185</v>
      </c>
      <c r="C49" s="11" t="s">
        <v>90</v>
      </c>
      <c r="F49" s="43"/>
      <c r="G49" s="45">
        <f>-SUM(F2:F42)</f>
        <v>-2065271.6667042079</v>
      </c>
      <c r="H49" s="39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spans="1:99" x14ac:dyDescent="0.25">
      <c r="A50" s="11" t="s">
        <v>184</v>
      </c>
      <c r="B50" s="11" t="s">
        <v>185</v>
      </c>
      <c r="C50" s="11" t="s">
        <v>186</v>
      </c>
      <c r="F50" s="43"/>
      <c r="G50" s="45">
        <f>SUM(G48:G49)</f>
        <v>-865271.66670420789</v>
      </c>
      <c r="H50" s="39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spans="1:99" x14ac:dyDescent="0.25">
      <c r="A51" s="11" t="s">
        <v>184</v>
      </c>
      <c r="B51" s="11" t="s">
        <v>185</v>
      </c>
      <c r="C51" s="11" t="s">
        <v>187</v>
      </c>
      <c r="F51" s="43"/>
      <c r="G51" s="46">
        <f>G50/-G49</f>
        <v>-0.41896263850122034</v>
      </c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spans="1:99" x14ac:dyDescent="0.25">
      <c r="A52" s="11" t="s">
        <v>184</v>
      </c>
      <c r="B52" s="11" t="s">
        <v>188</v>
      </c>
      <c r="C52" s="11" t="s">
        <v>189</v>
      </c>
      <c r="F52" s="43"/>
      <c r="G52" s="47"/>
      <c r="H52" s="40">
        <f>SUM(H2:H47)</f>
        <v>0</v>
      </c>
      <c r="I52" s="25">
        <f>SUM(I2:I47)</f>
        <v>-7018</v>
      </c>
      <c r="J52" s="25">
        <f>SUM(J2:J47)</f>
        <v>0</v>
      </c>
      <c r="K52" s="25">
        <f>SUM(K2:K47)</f>
        <v>-8644.8920931999983</v>
      </c>
      <c r="L52" s="25">
        <f>SUM(L2:L47)</f>
        <v>0</v>
      </c>
      <c r="M52" s="25">
        <f>SUM(M2:M47)</f>
        <v>-39222.698571408</v>
      </c>
      <c r="N52" s="25">
        <f>SUM(N2:N47)</f>
        <v>0</v>
      </c>
      <c r="O52" s="25">
        <f>SUM(O2:O47)</f>
        <v>0</v>
      </c>
      <c r="P52" s="25">
        <f>SUM(P2:P47)</f>
        <v>-64077.724136711993</v>
      </c>
      <c r="Q52" s="25">
        <f>SUM(Q2:Q47)</f>
        <v>-14445.3892</v>
      </c>
      <c r="R52" s="25">
        <f>SUM(R2:R47)</f>
        <v>-1747.8920931999999</v>
      </c>
      <c r="S52" s="25">
        <f>SUM(S2:S47)</f>
        <v>0</v>
      </c>
      <c r="T52" s="25">
        <f>SUM(T2:T47)</f>
        <v>-57781.556799999998</v>
      </c>
      <c r="U52" s="25">
        <f>SUM(U2:U47)</f>
        <v>0</v>
      </c>
      <c r="V52" s="25">
        <f>SUM(V2:V47)</f>
        <v>0</v>
      </c>
      <c r="W52" s="25">
        <f>SUM(W2:W47)</f>
        <v>-11977.008851986688</v>
      </c>
      <c r="X52" s="25">
        <f>SUM(X2:X47)</f>
        <v>-8618.5118587266661</v>
      </c>
      <c r="Y52" s="25">
        <f>SUM(Y2:Y47)</f>
        <v>-8230.4015474914195</v>
      </c>
      <c r="Z52" s="25">
        <f>SUM(Z2:Z47)</f>
        <v>-24513.439143247931</v>
      </c>
      <c r="AA52" s="25">
        <f>SUM(AA2:AA47)</f>
        <v>-40012.015961392819</v>
      </c>
      <c r="AB52" s="25">
        <f>SUM(AB2:AB47)</f>
        <v>-77754.861517113299</v>
      </c>
      <c r="AC52" s="25">
        <f>SUM(AC2:AC47)</f>
        <v>-73387.760130115959</v>
      </c>
      <c r="AD52" s="25">
        <f>SUM(AD2:AD47)</f>
        <v>-84908.942615797801</v>
      </c>
      <c r="AE52" s="25">
        <f>SUM(AE2:AE47)</f>
        <v>-163166.17210712831</v>
      </c>
      <c r="AF52" s="25">
        <f>SUM(AF2:AF47)</f>
        <v>-199313.43410253103</v>
      </c>
      <c r="AG52" s="25">
        <f>SUM(AG2:AG47)</f>
        <v>-139324.96608576458</v>
      </c>
      <c r="AH52" s="25">
        <f>SUM(AH2:AH47)</f>
        <v>-223138.67573180335</v>
      </c>
      <c r="AI52" s="25">
        <f>SUM(AI2:AI47)</f>
        <v>-200488.18818471718</v>
      </c>
      <c r="AJ52" s="25">
        <f>SUM(AJ2:AJ47)</f>
        <v>-246957.2021755515</v>
      </c>
      <c r="AK52" s="25">
        <f>SUM(AK2:AK47)</f>
        <v>-103539.88232420602</v>
      </c>
      <c r="AL52" s="25">
        <f>SUM(AL2:AL47)</f>
        <v>-176223.88504331323</v>
      </c>
      <c r="AM52" s="25">
        <f>SUM(AM2:AM47)</f>
        <v>-10462.76261211673</v>
      </c>
      <c r="AN52" s="25">
        <f>SUM(AN2:AN47)</f>
        <v>1075355.67018246</v>
      </c>
      <c r="AO52" s="25">
        <f>SUM(AO2:AO47)</f>
        <v>-263.85030831167705</v>
      </c>
      <c r="AP52" s="25">
        <f>SUM(AP2:AP47)</f>
        <v>-228.63097981947158</v>
      </c>
      <c r="AQ52" s="25">
        <f>SUM(AQ2:AQ47)</f>
        <v>-193.30892828583092</v>
      </c>
      <c r="AR52" s="25">
        <f>SUM(AR2:AR47)</f>
        <v>-157.88385410188312</v>
      </c>
      <c r="AS52" s="25">
        <f>SUM(AS2:AS47)</f>
        <v>-122.35545678489916</v>
      </c>
      <c r="AT52" s="25">
        <f>SUM(AT2:AT47)</f>
        <v>-86.723434975740474</v>
      </c>
      <c r="AU52" s="25">
        <f>SUM(AU2:AU47)</f>
        <v>-50.987486436305062</v>
      </c>
      <c r="AV52" s="25">
        <f>SUM(AV2:AV47)</f>
        <v>-15.147308046962962</v>
      </c>
      <c r="AW52" s="25">
        <f>SUM(AW2:AW47)</f>
        <v>20.79740419601444</v>
      </c>
      <c r="AX52" s="25">
        <f>SUM(AX2:AX47)</f>
        <v>56.846955183034424</v>
      </c>
      <c r="AY52" s="25">
        <f>SUM(AY2:AY47)</f>
        <v>93.001650693765896</v>
      </c>
      <c r="AZ52" s="25">
        <f>SUM(AZ2:AZ47)</f>
        <v>129.26179739973736</v>
      </c>
      <c r="BA52" s="25">
        <f>SUM(BA2:BA47)</f>
        <v>165.62770286693444</v>
      </c>
      <c r="BB52" s="25">
        <f>SUM(BB2:BB47)</f>
        <v>202.09967555841104</v>
      </c>
      <c r="BC52" s="25">
        <f>SUM(BC2:BC47)</f>
        <v>238.67802483690457</v>
      </c>
      <c r="BD52" s="25">
        <f>SUM(BD2:BD47)</f>
        <v>275.36306096746011</v>
      </c>
      <c r="BE52" s="25">
        <f>SUM(BE2:BE47)</f>
        <v>312.15509512006292</v>
      </c>
      <c r="BF52" s="25">
        <f>SUM(BF2:BF47)</f>
        <v>349.05443937227778</v>
      </c>
      <c r="BG52" s="25">
        <f>SUM(BG2:BG47)</f>
        <v>386.06140671189473</v>
      </c>
      <c r="BH52" s="25">
        <f>SUM(BH2:BH47)</f>
        <v>423.17631103958615</v>
      </c>
      <c r="BI52" s="25">
        <f>SUM(BI2:BI47)</f>
        <v>460.39946717156613</v>
      </c>
      <c r="BJ52" s="25">
        <f>SUM(BJ2:BJ47)</f>
        <v>497.73119084226437</v>
      </c>
      <c r="BK52" s="25">
        <f>SUM(BK2:BK47)</f>
        <v>535.17179870700215</v>
      </c>
      <c r="BL52" s="25">
        <f>SUM(BL2:BL47)</f>
        <v>572.72160834467877</v>
      </c>
      <c r="BM52" s="25">
        <f>SUM(BM2:BM47)</f>
        <v>610.3809382604652</v>
      </c>
      <c r="BN52" s="25">
        <f>SUM(BN2:BN47)</f>
        <v>648.15010788850623</v>
      </c>
      <c r="BO52" s="25">
        <f>SUM(BO2:BO47)</f>
        <v>686.02943759462892</v>
      </c>
      <c r="BP52" s="25">
        <f>SUM(BP2:BP47)</f>
        <v>724.01924867906109</v>
      </c>
      <c r="BQ52" s="25">
        <f>SUM(BQ2:BQ47)</f>
        <v>762.11986337915641</v>
      </c>
      <c r="BR52" s="25">
        <f>SUM(BR2:BR47)</f>
        <v>800.33160487212695</v>
      </c>
      <c r="BS52" s="25">
        <f>SUM(BS2:BS47)</f>
        <v>838.65479727778529</v>
      </c>
      <c r="BT52" s="25">
        <f>SUM(BT2:BT47)</f>
        <v>877.08976566129331</v>
      </c>
      <c r="BU52" s="25">
        <f>SUM(BU2:BU47)</f>
        <v>915.63683603591994</v>
      </c>
      <c r="BV52" s="25">
        <f>SUM(BV2:BV47)</f>
        <v>954.29633536580604</v>
      </c>
      <c r="BW52" s="25">
        <f>SUM(BW2:BW47)</f>
        <v>993.06859156873759</v>
      </c>
      <c r="BX52" s="25">
        <f>SUM(BX2:BX47)</f>
        <v>1031.9539335189277</v>
      </c>
      <c r="BY52" s="25">
        <f>SUM(BY2:BY47)</f>
        <v>1070.9526910498057</v>
      </c>
      <c r="BZ52" s="25">
        <f>SUM(BZ2:BZ47)</f>
        <v>1110.0651949568155</v>
      </c>
      <c r="CA52" s="25">
        <f>SUM(CA2:CA47)</f>
        <v>1149.2917770002209</v>
      </c>
      <c r="CB52" s="25">
        <f>SUM(CB2:CB47)</f>
        <v>1188.6327699079195</v>
      </c>
      <c r="CC52" s="25">
        <f>SUM(CC2:CC47)</f>
        <v>1228.0885073782656</v>
      </c>
      <c r="CD52" s="25">
        <f>SUM(CD2:CD47)</f>
        <v>1267.6593240829002</v>
      </c>
      <c r="CE52" s="25">
        <f>SUM(CE2:CE47)</f>
        <v>1307.3455556695899</v>
      </c>
      <c r="CF52" s="25">
        <f>SUM(CF2:CF47)</f>
        <v>1347.1475387650739</v>
      </c>
      <c r="CG52" s="25">
        <f>SUM(CG2:CG47)</f>
        <v>1387.0656109779202</v>
      </c>
      <c r="CH52" s="25">
        <f>SUM(CH2:CH47)</f>
        <v>1427.1001109013869</v>
      </c>
      <c r="CI52" s="25">
        <f>SUM(CI2:CI47)</f>
        <v>1467.2513781162975</v>
      </c>
      <c r="CJ52" s="25">
        <f>SUM(CJ2:CJ47)</f>
        <v>1507.5197531939177</v>
      </c>
      <c r="CK52" s="25">
        <f>SUM(CK2:CK47)</f>
        <v>1547.905577698848</v>
      </c>
      <c r="CL52" s="25">
        <f>SUM(CL2:CL47)</f>
        <v>1588.4091941919173</v>
      </c>
      <c r="CM52" s="25">
        <f>SUM(CM2:CM47)</f>
        <v>1629.030946233092</v>
      </c>
      <c r="CN52" s="25">
        <f>SUM(CN2:CN47)</f>
        <v>1669.7711783843863</v>
      </c>
      <c r="CO52" s="25">
        <f>SUM(CO2:CO47)</f>
        <v>1710.6302362127885</v>
      </c>
      <c r="CP52" s="25">
        <f>SUM(CP2:CP47)</f>
        <v>1751.6084662931905</v>
      </c>
      <c r="CQ52" s="25">
        <f>SUM(CQ2:CQ47)</f>
        <v>1792.706216211327</v>
      </c>
      <c r="CR52" s="25">
        <f>SUM(CR2:CR47)</f>
        <v>1833.9238345667245</v>
      </c>
      <c r="CS52" s="25">
        <f>SUM(CS2:CS47)</f>
        <v>1875.2616709756587</v>
      </c>
      <c r="CT52" s="25">
        <f>SUM(CT2:CT47)</f>
        <v>1916.7200760741191</v>
      </c>
      <c r="CU52" s="25">
        <f>SUM(CU2:CU47)</f>
        <v>-1886.2876201403365</v>
      </c>
    </row>
    <row r="53" spans="1:99" x14ac:dyDescent="0.25">
      <c r="A53" s="11" t="s">
        <v>184</v>
      </c>
      <c r="B53" s="11" t="s">
        <v>188</v>
      </c>
      <c r="C53" s="11" t="s">
        <v>190</v>
      </c>
      <c r="F53" s="43"/>
      <c r="G53" s="46">
        <f>SUM(H52:CU52)</f>
        <v>-865271.80142401159</v>
      </c>
      <c r="H53" s="28">
        <f>SUM(H52:R52)</f>
        <v>-135156.59609452001</v>
      </c>
      <c r="I53" s="28"/>
      <c r="J53" s="28"/>
      <c r="K53" s="28"/>
      <c r="L53" s="28"/>
      <c r="M53" s="28"/>
      <c r="N53" s="28"/>
      <c r="O53" s="28"/>
      <c r="P53" s="28"/>
      <c r="Q53" s="28"/>
      <c r="R53" s="29"/>
      <c r="S53" s="27">
        <f>SUM(S52:AD52)</f>
        <v>-387184.49842587259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9"/>
      <c r="AE53" s="27">
        <f>SUM(AE52:AP52)</f>
        <v>-387751.97947280324</v>
      </c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27">
        <f>SUM(AQ52:BB52)</f>
        <v>41.228717266275908</v>
      </c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9"/>
      <c r="BC53" s="27">
        <f>SUM(BC52:BN52)</f>
        <v>5309.04344926267</v>
      </c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9"/>
      <c r="BO53" s="27">
        <f>SUM(BO52:BZ52)</f>
        <v>10764.218299960066</v>
      </c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9"/>
      <c r="CA53" s="27">
        <f>SUM(CA52:CL52)</f>
        <v>16413.417097884259</v>
      </c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9"/>
      <c r="CM53" s="27">
        <f>SUM(CM52:CU52)</f>
        <v>12293.365004810952</v>
      </c>
      <c r="CN53" s="28"/>
      <c r="CO53" s="28"/>
      <c r="CP53" s="28"/>
      <c r="CQ53" s="28"/>
      <c r="CR53" s="28"/>
      <c r="CS53" s="28"/>
      <c r="CT53" s="28"/>
      <c r="CU53" s="29"/>
    </row>
    <row r="54" spans="1:99" x14ac:dyDescent="0.25">
      <c r="A54" s="11" t="s">
        <v>184</v>
      </c>
      <c r="B54" s="11" t="s">
        <v>191</v>
      </c>
      <c r="C54" s="11" t="s">
        <v>192</v>
      </c>
      <c r="F54" s="43"/>
      <c r="G54" s="45">
        <v>0.06</v>
      </c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spans="1:99" x14ac:dyDescent="0.25">
      <c r="A55" s="11" t="s">
        <v>184</v>
      </c>
      <c r="B55" s="11" t="s">
        <v>191</v>
      </c>
      <c r="C55" s="11" t="s">
        <v>91</v>
      </c>
      <c r="F55" s="43"/>
      <c r="G55" s="45">
        <f xml:space="preserve"> (1+G54)^(1/12)-1</f>
        <v>4.8675505653430484E-3</v>
      </c>
      <c r="H55" s="39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spans="1:99" x14ac:dyDescent="0.25">
      <c r="A56" s="11" t="s">
        <v>184</v>
      </c>
      <c r="B56" s="11" t="s">
        <v>191</v>
      </c>
      <c r="C56" s="11" t="s">
        <v>92</v>
      </c>
      <c r="F56" s="43"/>
      <c r="G56" s="45">
        <v>5.0000000000000001E-4</v>
      </c>
      <c r="H56" s="39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spans="1:99" x14ac:dyDescent="0.25">
      <c r="A57" s="11" t="s">
        <v>184</v>
      </c>
      <c r="B57" s="11" t="s">
        <v>193</v>
      </c>
      <c r="C57" s="11" t="s">
        <v>93</v>
      </c>
      <c r="F57" s="43"/>
      <c r="G57" s="45">
        <f>NPV(G55,Q52:CU52)+SUM(H52:P52)</f>
        <v>-850134.52911956573</v>
      </c>
      <c r="H57" s="4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</row>
    <row r="58" spans="1:99" x14ac:dyDescent="0.25">
      <c r="A58" s="11" t="s">
        <v>184</v>
      </c>
      <c r="B58" s="11" t="s">
        <v>193</v>
      </c>
      <c r="C58" s="11" t="s">
        <v>94</v>
      </c>
      <c r="F58" s="43"/>
      <c r="G58" s="45">
        <f>CU58</f>
        <v>-3.0808333937035748E-3</v>
      </c>
      <c r="H58" s="40"/>
      <c r="I58" s="25">
        <f>MIRR(H52:I52,G56,G55)</f>
        <v>-1</v>
      </c>
      <c r="J58" s="25">
        <f>MIRR($H$52:J52,$G$56,$G$55)</f>
        <v>-1</v>
      </c>
      <c r="K58" s="25">
        <f>MIRR($H$52:K52,$G$56,$G$55)</f>
        <v>-1</v>
      </c>
      <c r="L58" s="25">
        <f>MIRR($H$52:L52,$G$56,$G$55)</f>
        <v>-1</v>
      </c>
      <c r="M58" s="25">
        <f>MIRR($H$52:M52,$G$56,$G$55)</f>
        <v>-1</v>
      </c>
      <c r="N58" s="25">
        <f>MIRR($H$52:N52,$G$56,$G$55)</f>
        <v>-1</v>
      </c>
      <c r="O58" s="25">
        <f>MIRR($H$52:O52,$G$56,$G$55)</f>
        <v>-1</v>
      </c>
      <c r="P58" s="25">
        <f>MIRR($H$52:P52,$G$56,$G$55)</f>
        <v>-1</v>
      </c>
      <c r="Q58" s="25">
        <f>MIRR($H$52:Q52,$G$56,$G$55)</f>
        <v>-1</v>
      </c>
      <c r="R58" s="25">
        <f>MIRR($H$52:R52,$G$56,$G$55)</f>
        <v>-1</v>
      </c>
      <c r="S58" s="25">
        <f>MIRR($H$52:S52,$G$56,$G$55)</f>
        <v>-1</v>
      </c>
      <c r="T58" s="25">
        <f>MIRR($H$52:T52,$G$56,$G$55)</f>
        <v>-1</v>
      </c>
      <c r="U58" s="25">
        <f>MIRR($H$52:U52,$G$56,$G$55)</f>
        <v>-1</v>
      </c>
      <c r="V58" s="25">
        <f>MIRR($H$52:V52,$G$56,$G$55)</f>
        <v>-1</v>
      </c>
      <c r="W58" s="25">
        <f>MIRR($H$52:W52,$G$56,$G$55)</f>
        <v>-1</v>
      </c>
      <c r="X58" s="25">
        <f>MIRR($H$52:X52,$G$56,$G$55)</f>
        <v>-1</v>
      </c>
      <c r="Y58" s="25">
        <f>MIRR($H$52:Y52,$G$56,$G$55)</f>
        <v>-1</v>
      </c>
      <c r="Z58" s="25">
        <f>MIRR($H$52:Z52,$G$56,$G$55)</f>
        <v>-1</v>
      </c>
      <c r="AA58" s="25">
        <f>MIRR($H$52:AA52,$G$56,$G$55)</f>
        <v>-1</v>
      </c>
      <c r="AB58" s="25">
        <f>MIRR($H$52:AB52,$G$56,$G$55)</f>
        <v>-1</v>
      </c>
      <c r="AC58" s="25">
        <f>MIRR($H$52:AC52,$G$56,$G$55)</f>
        <v>-1</v>
      </c>
      <c r="AD58" s="25">
        <f>MIRR($H$52:AD52,$G$56,$G$55)</f>
        <v>-1</v>
      </c>
      <c r="AE58" s="25">
        <f>MIRR($H$52:AE52,$G$56,$G$55)</f>
        <v>-1</v>
      </c>
      <c r="AF58" s="25">
        <f>MIRR($H$52:AF52,$G$56,$G$55)</f>
        <v>-1</v>
      </c>
      <c r="AG58" s="25">
        <f>MIRR($H$52:AG52,$G$56,$G$55)</f>
        <v>-1</v>
      </c>
      <c r="AH58" s="25">
        <f>MIRR($H$52:AH52,$G$56,$G$55)</f>
        <v>-1</v>
      </c>
      <c r="AI58" s="25">
        <f>MIRR($H$52:AI52,$G$56,$G$55)</f>
        <v>-1</v>
      </c>
      <c r="AJ58" s="25">
        <f>MIRR($H$52:AJ52,$G$56,$G$55)</f>
        <v>-1</v>
      </c>
      <c r="AK58" s="25">
        <f>MIRR($H$52:AK52,$G$56,$G$55)</f>
        <v>-1</v>
      </c>
      <c r="AL58" s="25">
        <f>MIRR($H$52:AL52,$G$56,$G$55)</f>
        <v>-1</v>
      </c>
      <c r="AM58" s="25">
        <f>MIRR($H$52:AM52,$G$56,$G$55)</f>
        <v>-1</v>
      </c>
      <c r="AN58" s="25">
        <f>MIRR($H$52:AN52,$G$56,$G$55)</f>
        <v>-1.8609717002323722E-2</v>
      </c>
      <c r="AO58" s="25">
        <f>MIRR($H$52:AO52,$G$56,$G$55)</f>
        <v>-1.7910346236315156E-2</v>
      </c>
      <c r="AP58" s="25">
        <f>MIRR($H$52:AP52,$G$56,$G$55)</f>
        <v>-1.7251147158543367E-2</v>
      </c>
      <c r="AQ58" s="25">
        <f>MIRR($H$52:AQ52,$G$56,$G$55)</f>
        <v>-1.6628712395426071E-2</v>
      </c>
      <c r="AR58" s="25">
        <f>MIRR($H$52:AR52,$G$56,$G$55)</f>
        <v>-1.6040009203776462E-2</v>
      </c>
      <c r="AS58" s="25">
        <f>MIRR($H$52:AS52,$G$56,$G$55)</f>
        <v>-1.5482329359258418E-2</v>
      </c>
      <c r="AT58" s="25">
        <f>MIRR($H$52:AT52,$G$56,$G$55)</f>
        <v>-1.4953246878631976E-2</v>
      </c>
      <c r="AU58" s="25">
        <f>MIRR($H$52:AU52,$G$56,$G$55)</f>
        <v>-1.4450582183373917E-2</v>
      </c>
      <c r="AV58" s="25">
        <f>MIRR($H$52:AV52,$G$56,$G$55)</f>
        <v>-1.3972371588095611E-2</v>
      </c>
      <c r="AW58" s="25">
        <f>MIRR($H$52:AW52,$G$56,$G$55)</f>
        <v>-1.351664556272314E-2</v>
      </c>
      <c r="AX58" s="25">
        <f>MIRR($H$52:AX52,$G$56,$G$55)</f>
        <v>-1.3081676712616064E-2</v>
      </c>
      <c r="AY58" s="25">
        <f>MIRR($H$52:AY52,$G$56,$G$55)</f>
        <v>-1.2666034281965999E-2</v>
      </c>
      <c r="AZ58" s="25">
        <f>MIRR($H$52:AZ52,$G$56,$G$55)</f>
        <v>-1.2268416539327531E-2</v>
      </c>
      <c r="BA58" s="25">
        <f>MIRR($H$52:BA52,$G$56,$G$55)</f>
        <v>-1.1887636557433412E-2</v>
      </c>
      <c r="BB58" s="25">
        <f>MIRR($H$52:BB52,$G$56,$G$55)</f>
        <v>-1.1522609832935515E-2</v>
      </c>
      <c r="BC58" s="25">
        <f>MIRR($H$52:BC52,$G$56,$G$55)</f>
        <v>-1.1172343474196378E-2</v>
      </c>
      <c r="BD58" s="25">
        <f>MIRR($H$52:BD52,$G$56,$G$55)</f>
        <v>-1.0835926730222378E-2</v>
      </c>
      <c r="BE58" s="25">
        <f>MIRR($H$52:BE52,$G$56,$G$55)</f>
        <v>-1.051252267059366E-2</v>
      </c>
      <c r="BF58" s="25">
        <f>MIRR($H$52:BF52,$G$56,$G$55)</f>
        <v>-1.0201360856444186E-2</v>
      </c>
      <c r="BG58" s="25">
        <f>MIRR($H$52:BG52,$G$56,$G$55)</f>
        <v>-9.901730867451719E-3</v>
      </c>
      <c r="BH58" s="25">
        <f>MIRR($H$52:BH52,$G$56,$G$55)</f>
        <v>-9.6129765704247028E-3</v>
      </c>
      <c r="BI58" s="25">
        <f>MIRR($H$52:BI52,$G$56,$G$55)</f>
        <v>-9.3344910322240571E-3</v>
      </c>
      <c r="BJ58" s="25">
        <f>MIRR($H$52:BJ52,$G$56,$G$55)</f>
        <v>-9.065711994066028E-3</v>
      </c>
      <c r="BK58" s="25">
        <f>MIRR($H$52:BK52,$G$56,$G$55)</f>
        <v>-8.8061178362368597E-3</v>
      </c>
      <c r="BL58" s="25">
        <f>MIRR($H$52:BL52,$G$56,$G$55)</f>
        <v>-8.555223972324999E-3</v>
      </c>
      <c r="BM58" s="25">
        <f>MIRR($H$52:BM52,$G$56,$G$55)</f>
        <v>-8.3125796205621993E-3</v>
      </c>
      <c r="BN58" s="25">
        <f>MIRR($H$52:BN52,$G$56,$G$55)</f>
        <v>-8.077764907052587E-3</v>
      </c>
      <c r="BO58" s="25">
        <f>MIRR($H$52:BO52,$G$56,$G$55)</f>
        <v>-7.8503882617586562E-3</v>
      </c>
      <c r="BP58" s="25">
        <f>MIRR($H$52:BP52,$G$56,$G$55)</f>
        <v>-7.6300840732997921E-3</v>
      </c>
      <c r="BQ58" s="25">
        <f>MIRR($H$52:BQ52,$G$56,$G$55)</f>
        <v>-7.4165105730438219E-3</v>
      </c>
      <c r="BR58" s="25">
        <f>MIRR($H$52:BR52,$G$56,$G$55)</f>
        <v>-7.2093479227572921E-3</v>
      </c>
      <c r="BS58" s="25">
        <f>MIRR($H$52:BS52,$G$56,$G$55)</f>
        <v>-7.0082964833299011E-3</v>
      </c>
      <c r="BT58" s="25">
        <f>MIRR($H$52:BT52,$G$56,$G$55)</f>
        <v>-6.8130752448831711E-3</v>
      </c>
      <c r="BU58" s="25">
        <f>MIRR($H$52:BU52,$G$56,$G$55)</f>
        <v>-6.6234204009807396E-3</v>
      </c>
      <c r="BV58" s="25">
        <f>MIRR($H$52:BV52,$G$56,$G$55)</f>
        <v>-6.4390840517437598E-3</v>
      </c>
      <c r="BW58" s="25">
        <f>MIRR($H$52:BW52,$G$56,$G$55)</f>
        <v>-6.2598330224771237E-3</v>
      </c>
      <c r="BX58" s="25">
        <f>MIRR($H$52:BX52,$G$56,$G$55)</f>
        <v>-6.0854477859814127E-3</v>
      </c>
      <c r="BY58" s="25">
        <f>MIRR($H$52:BY52,$G$56,$G$55)</f>
        <v>-5.9157214780869438E-3</v>
      </c>
      <c r="BZ58" s="25">
        <f>MIRR($H$52:BZ52,$G$56,$G$55)</f>
        <v>-5.75045899713722E-3</v>
      </c>
      <c r="CA58" s="25">
        <f>MIRR($H$52:CA52,$G$56,$G$55)</f>
        <v>-5.5894761791888126E-3</v>
      </c>
      <c r="CB58" s="25">
        <f>MIRR($H$52:CB52,$G$56,$G$55)</f>
        <v>-5.4325990416040915E-3</v>
      </c>
      <c r="CC58" s="25">
        <f>MIRR($H$52:CC52,$G$56,$G$55)</f>
        <v>-5.2796630885103557E-3</v>
      </c>
      <c r="CD58" s="25">
        <f>MIRR($H$52:CD52,$G$56,$G$55)</f>
        <v>-5.1305126723046879E-3</v>
      </c>
      <c r="CE58" s="25">
        <f>MIRR($H$52:CE52,$G$56,$G$55)</f>
        <v>-4.9850004059980302E-3</v>
      </c>
      <c r="CF58" s="25">
        <f>MIRR($H$52:CF52,$G$56,$G$55)</f>
        <v>-4.8429866217385431E-3</v>
      </c>
      <c r="CG58" s="25">
        <f>MIRR($H$52:CG52,$G$56,$G$55)</f>
        <v>-4.7043388713368106E-3</v>
      </c>
      <c r="CH58" s="25">
        <f>MIRR($H$52:CH52,$G$56,$G$55)</f>
        <v>-4.5689314650420032E-3</v>
      </c>
      <c r="CI58" s="25">
        <f>MIRR($H$52:CI52,$G$56,$G$55)</f>
        <v>-4.436645045194032E-3</v>
      </c>
      <c r="CJ58" s="25">
        <f>MIRR($H$52:CJ52,$G$56,$G$55)</f>
        <v>-4.3073661917151229E-3</v>
      </c>
      <c r="CK58" s="25">
        <f>MIRR($H$52:CK52,$G$56,$G$55)</f>
        <v>-4.1809870567025564E-3</v>
      </c>
      <c r="CL58" s="25">
        <f>MIRR($H$52:CL52,$G$56,$G$55)</f>
        <v>-4.0574050256472205E-3</v>
      </c>
      <c r="CM58" s="25">
        <f>MIRR($H$52:CM52,$G$56,$G$55)</f>
        <v>-3.9365224030450952E-3</v>
      </c>
      <c r="CN58" s="25">
        <f>MIRR($H$52:CN52,$G$56,$G$55)</f>
        <v>-3.8182461203765117E-3</v>
      </c>
      <c r="CO58" s="25">
        <f>MIRR($H$52:CO52,$G$56,$G$55)</f>
        <v>-3.7024874646185424E-3</v>
      </c>
      <c r="CP58" s="25">
        <f>MIRR($H$52:CP52,$G$56,$G$55)</f>
        <v>-3.5891618256278512E-3</v>
      </c>
      <c r="CQ58" s="25">
        <f>MIRR($H$52:CQ52,$G$56,$G$55)</f>
        <v>-3.4781884608816593E-3</v>
      </c>
      <c r="CR58" s="25">
        <f>MIRR($H$52:CR52,$G$56,$G$55)</f>
        <v>-3.369490276200815E-3</v>
      </c>
      <c r="CS58" s="25">
        <f>MIRR($H$52:CS52,$G$56,$G$55)</f>
        <v>-3.2629936212048571E-3</v>
      </c>
      <c r="CT58" s="25">
        <f>MIRR($H$52:CT52,$G$56,$G$55)</f>
        <v>-3.1586280983560977E-3</v>
      </c>
      <c r="CU58" s="25">
        <f>MIRR($H$52:CU52,$G$56,$G$55)</f>
        <v>-3.0808333937035748E-3</v>
      </c>
    </row>
    <row r="59" spans="1:99" x14ac:dyDescent="0.25">
      <c r="F59" s="44"/>
      <c r="G59" s="45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100" priority="9" stopIfTrue="1" operator="equal">
      <formula>#REF!</formula>
    </cfRule>
  </conditionalFormatting>
  <conditionalFormatting sqref="Y19:AF19 Y22:AF22 AH19:AI19 AH22:AI22 AK19:AL19 AK22:AL22 AN22:AO22 H33:V39 W33:CU36 W38:BC38 W39:CU39 N24:R24 H23:M24 N23:CU23 H16:W17 Y16:CU16 X17:CU17 H6:W12 Y7:AM7 X8:AM8 X6:AM6 Z9:AM9 AN6:CU9 X9:Y12 Z10:CU12 H2:CU5 H13:CU15 H18:H22 AQ22:CU22 H25:CU32 K22:R22 K18:K21 Z18:AM18 Z21:AM21 W20:AM20 AT18:CU21 H40:CU46">
    <cfRule type="cellIs" dxfId="99" priority="11" stopIfTrue="1" operator="equal">
      <formula>#REF!</formula>
    </cfRule>
  </conditionalFormatting>
  <conditionalFormatting sqref="X7 X16 W19:X19 S22:X22 W37:CU37 S24:CU24">
    <cfRule type="cellIs" dxfId="98" priority="10" stopIfTrue="1" operator="equal">
      <formula>#REF!</formula>
    </cfRule>
  </conditionalFormatting>
  <conditionalFormatting sqref="H47:CU47">
    <cfRule type="cellIs" dxfId="97" priority="8" stopIfTrue="1" operator="equal">
      <formula>#REF!</formula>
    </cfRule>
  </conditionalFormatting>
  <conditionalFormatting sqref="I18:J22">
    <cfRule type="cellIs" dxfId="96" priority="7" stopIfTrue="1" operator="equal">
      <formula>#REF!</formula>
    </cfRule>
  </conditionalFormatting>
  <conditionalFormatting sqref="L18:P21">
    <cfRule type="cellIs" dxfId="95" priority="6" stopIfTrue="1" operator="equal">
      <formula>#REF!</formula>
    </cfRule>
  </conditionalFormatting>
  <conditionalFormatting sqref="Q18:V21">
    <cfRule type="cellIs" dxfId="94" priority="5" stopIfTrue="1" operator="equal">
      <formula>#REF!</formula>
    </cfRule>
  </conditionalFormatting>
  <conditionalFormatting sqref="W18:Y18">
    <cfRule type="cellIs" dxfId="93" priority="4" stopIfTrue="1" operator="equal">
      <formula>#REF!</formula>
    </cfRule>
  </conditionalFormatting>
  <conditionalFormatting sqref="W21">
    <cfRule type="cellIs" dxfId="92" priority="3" stopIfTrue="1" operator="equal">
      <formula>#REF!</formula>
    </cfRule>
  </conditionalFormatting>
  <conditionalFormatting sqref="X21:Y21">
    <cfRule type="cellIs" dxfId="91" priority="2" stopIfTrue="1" operator="equal">
      <formula>#REF!</formula>
    </cfRule>
  </conditionalFormatting>
  <conditionalFormatting sqref="AN18:AS21">
    <cfRule type="cellIs" dxfId="90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22B0-6B86-48D9-9231-67655365F77B}">
  <sheetPr codeName="Hoja7"/>
  <dimension ref="A2:T43"/>
  <sheetViews>
    <sheetView topLeftCell="D1" workbookViewId="0">
      <selection activeCell="H4" sqref="H4:BO4"/>
    </sheetView>
  </sheetViews>
  <sheetFormatPr baseColWidth="10" defaultRowHeight="15" x14ac:dyDescent="0.25"/>
  <cols>
    <col min="1" max="1" width="12.7109375" bestFit="1" customWidth="1"/>
    <col min="3" max="3" width="17" bestFit="1" customWidth="1"/>
    <col min="4" max="4" width="12.42578125" bestFit="1" customWidth="1"/>
  </cols>
  <sheetData>
    <row r="2" spans="1:20" x14ac:dyDescent="0.25">
      <c r="A2" s="1"/>
    </row>
    <row r="3" spans="1:20" x14ac:dyDescent="0.25">
      <c r="A3" s="1"/>
      <c r="D3" s="3" t="s">
        <v>143</v>
      </c>
      <c r="E3" s="3"/>
      <c r="F3" s="3"/>
      <c r="G3" s="3"/>
      <c r="H3" s="3"/>
      <c r="I3" s="3"/>
      <c r="J3" s="3"/>
    </row>
    <row r="4" spans="1:20" x14ac:dyDescent="0.25">
      <c r="A4" s="1"/>
    </row>
    <row r="5" spans="1:20" x14ac:dyDescent="0.25">
      <c r="A5" s="1"/>
      <c r="E5">
        <v>19</v>
      </c>
      <c r="F5">
        <v>20</v>
      </c>
      <c r="G5">
        <v>21</v>
      </c>
      <c r="H5">
        <v>22</v>
      </c>
      <c r="I5">
        <v>23</v>
      </c>
      <c r="J5">
        <v>24</v>
      </c>
      <c r="K5">
        <v>25</v>
      </c>
      <c r="L5">
        <v>26</v>
      </c>
      <c r="M5">
        <v>27</v>
      </c>
      <c r="N5">
        <v>28</v>
      </c>
      <c r="O5">
        <v>29</v>
      </c>
      <c r="P5">
        <v>30</v>
      </c>
      <c r="Q5">
        <v>31</v>
      </c>
      <c r="R5">
        <v>32</v>
      </c>
    </row>
    <row r="6" spans="1:20" x14ac:dyDescent="0.25">
      <c r="A6" s="1"/>
      <c r="E6" s="2">
        <v>0.01</v>
      </c>
      <c r="F6" s="2">
        <v>2.5000000000000001E-2</v>
      </c>
      <c r="G6" s="2">
        <v>3.6999999999999998E-2</v>
      </c>
      <c r="H6" s="2">
        <v>5.8000000000000003E-2</v>
      </c>
      <c r="I6" s="2">
        <v>6.2E-2</v>
      </c>
      <c r="J6" s="2">
        <v>6.2E-2</v>
      </c>
      <c r="K6" s="2">
        <v>0.06</v>
      </c>
      <c r="L6" s="2">
        <v>6.0999999999999999E-2</v>
      </c>
      <c r="M6" s="2">
        <v>7.2999999999999995E-2</v>
      </c>
      <c r="N6" s="2">
        <v>0.125</v>
      </c>
      <c r="O6" s="2">
        <v>0.16500000000000001</v>
      </c>
      <c r="P6" s="2">
        <v>0.121</v>
      </c>
      <c r="Q6" s="2">
        <v>8.2000000000000003E-2</v>
      </c>
      <c r="R6" s="2">
        <v>5.8999999999999997E-2</v>
      </c>
      <c r="S6" s="2"/>
      <c r="T6" s="2"/>
    </row>
    <row r="7" spans="1:20" x14ac:dyDescent="0.25">
      <c r="A7" s="1"/>
      <c r="B7">
        <v>-2830260.42</v>
      </c>
      <c r="C7" t="s">
        <v>10</v>
      </c>
      <c r="D7" s="1">
        <v>-2830260.42</v>
      </c>
      <c r="E7" s="1">
        <f>$D$7*E6</f>
        <v>-28302.604200000002</v>
      </c>
      <c r="F7" s="1">
        <f t="shared" ref="F7:R7" si="0">$D$7*F6</f>
        <v>-70756.510500000004</v>
      </c>
      <c r="G7" s="1">
        <f t="shared" si="0"/>
        <v>-104719.63553999999</v>
      </c>
      <c r="H7" s="1">
        <f t="shared" si="0"/>
        <v>-164155.10436</v>
      </c>
      <c r="I7" s="1">
        <f t="shared" si="0"/>
        <v>-175476.14603999999</v>
      </c>
      <c r="J7" s="1">
        <f t="shared" si="0"/>
        <v>-175476.14603999999</v>
      </c>
      <c r="K7" s="1">
        <f t="shared" si="0"/>
        <v>-169815.62519999998</v>
      </c>
      <c r="L7" s="1">
        <f t="shared" si="0"/>
        <v>-172645.88561999999</v>
      </c>
      <c r="M7" s="1">
        <f t="shared" si="0"/>
        <v>-206609.01065999997</v>
      </c>
      <c r="N7" s="1">
        <f t="shared" si="0"/>
        <v>-353782.55249999999</v>
      </c>
      <c r="O7" s="1">
        <f t="shared" si="0"/>
        <v>-466992.9693</v>
      </c>
      <c r="P7" s="1">
        <f t="shared" si="0"/>
        <v>-342461.51081999997</v>
      </c>
      <c r="Q7" s="1">
        <f t="shared" si="0"/>
        <v>-232081.35444</v>
      </c>
      <c r="R7" s="1">
        <f t="shared" si="0"/>
        <v>-166985.36477999997</v>
      </c>
    </row>
    <row r="8" spans="1:20" x14ac:dyDescent="0.25">
      <c r="A8" s="1"/>
      <c r="D8" s="1"/>
      <c r="E8" s="2">
        <v>0.02</v>
      </c>
      <c r="F8" s="2">
        <v>9.5000000000000001E-2</v>
      </c>
      <c r="G8" s="2">
        <v>0.30499999999999999</v>
      </c>
      <c r="H8" s="2">
        <v>0.45500000000000002</v>
      </c>
      <c r="I8" s="2">
        <v>0.125</v>
      </c>
      <c r="J8" s="1"/>
      <c r="K8" s="1"/>
      <c r="L8" s="1"/>
      <c r="M8" s="1"/>
      <c r="N8" s="1"/>
      <c r="O8" s="1"/>
      <c r="P8" s="1"/>
      <c r="Q8" s="1"/>
      <c r="R8" s="1"/>
    </row>
    <row r="9" spans="1:20" x14ac:dyDescent="0.25">
      <c r="A9" s="9"/>
      <c r="B9">
        <v>-191381.81025600003</v>
      </c>
      <c r="C9" t="s">
        <v>3</v>
      </c>
      <c r="D9" s="1">
        <v>-191381.81025600003</v>
      </c>
      <c r="E9" s="1">
        <f>$D$9*E8</f>
        <v>-3827.6362051200008</v>
      </c>
      <c r="F9" s="1">
        <f t="shared" ref="F9:I9" si="1">$D$9*F8</f>
        <v>-18181.271974320003</v>
      </c>
      <c r="G9" s="1">
        <f t="shared" si="1"/>
        <v>-58371.452128080004</v>
      </c>
      <c r="H9" s="1">
        <f t="shared" si="1"/>
        <v>-87078.723666480015</v>
      </c>
      <c r="I9" s="1">
        <f t="shared" si="1"/>
        <v>-23922.726282000003</v>
      </c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1"/>
      <c r="B10">
        <f>D10/C10</f>
        <v>-686.37496371367831</v>
      </c>
      <c r="C10" s="1">
        <f>' Viabilidad 40 NE ampliando 1pl'!D18</f>
        <v>4402.32</v>
      </c>
      <c r="D10" s="1">
        <f>D9+D7</f>
        <v>-3021642.2302560001</v>
      </c>
      <c r="E10" s="1">
        <f>E9+E7</f>
        <v>-32130.240405120003</v>
      </c>
      <c r="F10" s="1">
        <f t="shared" ref="F10:R10" si="2">F9+F7</f>
        <v>-88937.782474320004</v>
      </c>
      <c r="G10" s="1">
        <f t="shared" si="2"/>
        <v>-163091.08766808</v>
      </c>
      <c r="H10" s="1">
        <f t="shared" si="2"/>
        <v>-251233.82802648001</v>
      </c>
      <c r="I10" s="1">
        <f t="shared" si="2"/>
        <v>-199398.87232199998</v>
      </c>
      <c r="J10" s="1">
        <f t="shared" si="2"/>
        <v>-175476.14603999999</v>
      </c>
      <c r="K10" s="1">
        <f t="shared" si="2"/>
        <v>-169815.62519999998</v>
      </c>
      <c r="L10" s="1">
        <f t="shared" si="2"/>
        <v>-172645.88561999999</v>
      </c>
      <c r="M10" s="1">
        <f t="shared" si="2"/>
        <v>-206609.01065999997</v>
      </c>
      <c r="N10" s="1">
        <f t="shared" si="2"/>
        <v>-353782.55249999999</v>
      </c>
      <c r="O10" s="1">
        <f t="shared" si="2"/>
        <v>-466992.9693</v>
      </c>
      <c r="P10" s="1">
        <f t="shared" si="2"/>
        <v>-342461.51081999997</v>
      </c>
      <c r="Q10" s="1">
        <f t="shared" si="2"/>
        <v>-232081.35444</v>
      </c>
      <c r="R10" s="1">
        <f t="shared" si="2"/>
        <v>-166985.36477999997</v>
      </c>
    </row>
    <row r="11" spans="1:20" x14ac:dyDescent="0.25">
      <c r="A11" s="1"/>
      <c r="D11" s="3" t="s">
        <v>144</v>
      </c>
    </row>
    <row r="12" spans="1:20" x14ac:dyDescent="0.25">
      <c r="A12" s="1"/>
      <c r="E12">
        <v>19</v>
      </c>
      <c r="F12">
        <v>20</v>
      </c>
      <c r="G12">
        <v>21</v>
      </c>
      <c r="H12">
        <v>22</v>
      </c>
      <c r="I12">
        <v>23</v>
      </c>
      <c r="J12">
        <v>24</v>
      </c>
      <c r="K12">
        <v>25</v>
      </c>
      <c r="L12">
        <v>26</v>
      </c>
      <c r="M12">
        <v>27</v>
      </c>
      <c r="N12">
        <v>28</v>
      </c>
      <c r="O12">
        <v>29</v>
      </c>
      <c r="P12">
        <v>30</v>
      </c>
      <c r="Q12">
        <v>31</v>
      </c>
      <c r="R12">
        <v>32</v>
      </c>
    </row>
    <row r="13" spans="1:20" x14ac:dyDescent="0.25">
      <c r="A13" s="1"/>
      <c r="E13" s="2">
        <v>0.01</v>
      </c>
      <c r="F13" s="2">
        <v>2.5000000000000001E-2</v>
      </c>
      <c r="G13" s="2">
        <v>3.6999999999999998E-2</v>
      </c>
      <c r="H13" s="2">
        <v>5.8000000000000003E-2</v>
      </c>
      <c r="I13" s="2">
        <v>6.2E-2</v>
      </c>
      <c r="J13" s="2">
        <v>6.2E-2</v>
      </c>
      <c r="K13" s="2">
        <v>0.06</v>
      </c>
      <c r="L13" s="2">
        <v>6.0999999999999999E-2</v>
      </c>
      <c r="M13" s="2">
        <v>7.2999999999999995E-2</v>
      </c>
      <c r="N13" s="2">
        <v>0.125</v>
      </c>
      <c r="O13" s="2">
        <v>0.16500000000000001</v>
      </c>
      <c r="P13" s="2">
        <v>0.121</v>
      </c>
      <c r="Q13" s="2">
        <v>8.2000000000000003E-2</v>
      </c>
      <c r="R13" s="2">
        <v>5.8999999999999997E-2</v>
      </c>
    </row>
    <row r="14" spans="1:20" x14ac:dyDescent="0.25">
      <c r="A14" s="1"/>
      <c r="B14">
        <v>-3396312.5040000002</v>
      </c>
      <c r="C14" t="s">
        <v>10</v>
      </c>
      <c r="D14" s="1">
        <v>-3396312.5040000002</v>
      </c>
      <c r="E14" s="1">
        <f>$D$14*E13</f>
        <v>-33963.125039999999</v>
      </c>
      <c r="F14" s="1">
        <f t="shared" ref="F14:R14" si="3">$D$14*F13</f>
        <v>-84907.812600000005</v>
      </c>
      <c r="G14" s="1">
        <f t="shared" si="3"/>
        <v>-125663.56264800001</v>
      </c>
      <c r="H14" s="1">
        <f t="shared" si="3"/>
        <v>-196986.12523200002</v>
      </c>
      <c r="I14" s="1">
        <f t="shared" si="3"/>
        <v>-210571.375248</v>
      </c>
      <c r="J14" s="1">
        <f t="shared" si="3"/>
        <v>-210571.375248</v>
      </c>
      <c r="K14" s="1">
        <f t="shared" si="3"/>
        <v>-203778.75023999999</v>
      </c>
      <c r="L14" s="1">
        <f t="shared" si="3"/>
        <v>-207175.062744</v>
      </c>
      <c r="M14" s="1">
        <f t="shared" si="3"/>
        <v>-247930.81279200001</v>
      </c>
      <c r="N14" s="1">
        <f t="shared" si="3"/>
        <v>-424539.06300000002</v>
      </c>
      <c r="O14" s="1">
        <f t="shared" si="3"/>
        <v>-560391.56316000002</v>
      </c>
      <c r="P14" s="1">
        <f t="shared" si="3"/>
        <v>-410953.81298400002</v>
      </c>
      <c r="Q14" s="1">
        <f t="shared" si="3"/>
        <v>-278497.62532800005</v>
      </c>
      <c r="R14" s="1">
        <f t="shared" si="3"/>
        <v>-200382.43773599999</v>
      </c>
    </row>
    <row r="15" spans="1:20" x14ac:dyDescent="0.25">
      <c r="A15" s="1"/>
      <c r="E15" s="2">
        <v>0.02</v>
      </c>
      <c r="F15" s="2">
        <v>9.5000000000000001E-2</v>
      </c>
      <c r="G15" s="2">
        <v>0.30499999999999999</v>
      </c>
      <c r="H15" s="2">
        <v>0.45500000000000002</v>
      </c>
      <c r="I15" s="2">
        <v>0.125</v>
      </c>
    </row>
    <row r="16" spans="1:20" x14ac:dyDescent="0.25">
      <c r="A16" s="1"/>
      <c r="B16">
        <v>-191381.81025600003</v>
      </c>
      <c r="C16" t="s">
        <v>3</v>
      </c>
      <c r="D16" s="1">
        <v>-191381.81025600003</v>
      </c>
      <c r="E16" s="1">
        <f>$D$16*E15</f>
        <v>-3827.6362051200008</v>
      </c>
      <c r="F16" s="1">
        <f t="shared" ref="F16:I16" si="4">$D$16*F15</f>
        <v>-18181.271974320003</v>
      </c>
      <c r="G16" s="1">
        <f t="shared" si="4"/>
        <v>-58371.452128080004</v>
      </c>
      <c r="H16" s="1">
        <f t="shared" si="4"/>
        <v>-87078.723666480015</v>
      </c>
      <c r="I16" s="1">
        <f t="shared" si="4"/>
        <v>-23922.726282000003</v>
      </c>
    </row>
    <row r="17" spans="1:18" x14ac:dyDescent="0.25">
      <c r="A17" s="1"/>
      <c r="B17">
        <f>D17/C17</f>
        <v>-692.29501733895256</v>
      </c>
      <c r="C17" s="1">
        <f>' Viabilidad 40 NE ampliando 2pl'!D18</f>
        <v>5182.32</v>
      </c>
      <c r="D17" s="1">
        <f>D14+D16</f>
        <v>-3587694.3142560003</v>
      </c>
      <c r="E17" s="1">
        <f>E14+E16</f>
        <v>-37790.761245119997</v>
      </c>
      <c r="F17" s="1">
        <f t="shared" ref="F17:R17" si="5">F14+F16</f>
        <v>-103089.08457432</v>
      </c>
      <c r="G17" s="1">
        <f t="shared" si="5"/>
        <v>-184035.01477608</v>
      </c>
      <c r="H17" s="1">
        <f t="shared" si="5"/>
        <v>-284064.84889848006</v>
      </c>
      <c r="I17" s="1">
        <f t="shared" si="5"/>
        <v>-234494.10152999999</v>
      </c>
      <c r="J17" s="1">
        <f t="shared" si="5"/>
        <v>-210571.375248</v>
      </c>
      <c r="K17" s="1">
        <f t="shared" si="5"/>
        <v>-203778.75023999999</v>
      </c>
      <c r="L17" s="1">
        <f t="shared" si="5"/>
        <v>-207175.062744</v>
      </c>
      <c r="M17" s="1">
        <f t="shared" si="5"/>
        <v>-247930.81279200001</v>
      </c>
      <c r="N17" s="1">
        <f t="shared" si="5"/>
        <v>-424539.06300000002</v>
      </c>
      <c r="O17" s="1">
        <f t="shared" si="5"/>
        <v>-560391.56316000002</v>
      </c>
      <c r="P17" s="1">
        <f t="shared" si="5"/>
        <v>-410953.81298400002</v>
      </c>
      <c r="Q17" s="1">
        <f t="shared" si="5"/>
        <v>-278497.62532800005</v>
      </c>
      <c r="R17" s="1">
        <f t="shared" si="5"/>
        <v>-200382.43773599999</v>
      </c>
    </row>
    <row r="18" spans="1:18" x14ac:dyDescent="0.25">
      <c r="A18" s="1"/>
      <c r="D18" s="3" t="s">
        <v>151</v>
      </c>
    </row>
    <row r="19" spans="1:18" x14ac:dyDescent="0.25">
      <c r="A19" s="1"/>
      <c r="E19">
        <v>19</v>
      </c>
      <c r="F19">
        <v>20</v>
      </c>
      <c r="G19">
        <v>21</v>
      </c>
      <c r="H19">
        <v>22</v>
      </c>
      <c r="I19">
        <v>23</v>
      </c>
      <c r="J19">
        <v>24</v>
      </c>
      <c r="K19">
        <v>25</v>
      </c>
      <c r="L19">
        <v>26</v>
      </c>
      <c r="M19">
        <v>27</v>
      </c>
      <c r="N19">
        <v>28</v>
      </c>
      <c r="O19">
        <v>29</v>
      </c>
      <c r="P19">
        <v>30</v>
      </c>
      <c r="Q19">
        <v>31</v>
      </c>
      <c r="R19">
        <v>32</v>
      </c>
    </row>
    <row r="20" spans="1:18" x14ac:dyDescent="0.25">
      <c r="A20" s="1"/>
      <c r="E20" s="2">
        <v>0.01</v>
      </c>
      <c r="F20" s="2">
        <v>2.5000000000000001E-2</v>
      </c>
      <c r="G20" s="2">
        <v>3.6999999999999998E-2</v>
      </c>
      <c r="H20" s="2">
        <v>5.8000000000000003E-2</v>
      </c>
      <c r="I20" s="2">
        <v>6.2E-2</v>
      </c>
      <c r="J20" s="2">
        <v>6.2E-2</v>
      </c>
      <c r="K20" s="2">
        <v>0.06</v>
      </c>
      <c r="L20" s="2">
        <v>6.0999999999999999E-2</v>
      </c>
      <c r="M20" s="2">
        <v>7.2999999999999995E-2</v>
      </c>
      <c r="N20" s="2">
        <v>0.125</v>
      </c>
      <c r="O20" s="2">
        <v>0.16500000000000001</v>
      </c>
      <c r="P20" s="2">
        <v>0.121</v>
      </c>
      <c r="Q20" s="2">
        <v>8.2000000000000003E-2</v>
      </c>
      <c r="R20" s="2">
        <v>5.8999999999999997E-2</v>
      </c>
    </row>
    <row r="21" spans="1:18" x14ac:dyDescent="0.25">
      <c r="A21" s="1"/>
      <c r="C21" t="s">
        <v>10</v>
      </c>
      <c r="D21" s="1">
        <f>' Viabilidad 40 NE'!G18</f>
        <v>-2264208.3360000001</v>
      </c>
      <c r="E21" s="1">
        <f>$D$21*E20</f>
        <v>-22642.083360000001</v>
      </c>
      <c r="F21" s="1">
        <f t="shared" ref="F21:R21" si="6">$D$21*F20</f>
        <v>-56605.208400000003</v>
      </c>
      <c r="G21" s="1">
        <f t="shared" si="6"/>
        <v>-83775.708431999999</v>
      </c>
      <c r="H21" s="1">
        <f t="shared" si="6"/>
        <v>-131324.083488</v>
      </c>
      <c r="I21" s="1">
        <f t="shared" si="6"/>
        <v>-140380.91683200002</v>
      </c>
      <c r="J21" s="1">
        <f t="shared" si="6"/>
        <v>-140380.91683200002</v>
      </c>
      <c r="K21" s="1">
        <f t="shared" si="6"/>
        <v>-135852.50016</v>
      </c>
      <c r="L21" s="1">
        <f t="shared" si="6"/>
        <v>-138116.70849600001</v>
      </c>
      <c r="M21" s="1">
        <f t="shared" si="6"/>
        <v>-165287.20852799999</v>
      </c>
      <c r="N21" s="1">
        <f t="shared" si="6"/>
        <v>-283026.04200000002</v>
      </c>
      <c r="O21" s="1">
        <f t="shared" si="6"/>
        <v>-373594.37544000003</v>
      </c>
      <c r="P21" s="1">
        <f t="shared" si="6"/>
        <v>-273969.20865600003</v>
      </c>
      <c r="Q21" s="1">
        <f t="shared" si="6"/>
        <v>-185665.08355200003</v>
      </c>
      <c r="R21" s="1">
        <f t="shared" si="6"/>
        <v>-133588.29182400001</v>
      </c>
    </row>
    <row r="22" spans="1:18" x14ac:dyDescent="0.25">
      <c r="A22" s="1"/>
    </row>
    <row r="23" spans="1:18" x14ac:dyDescent="0.25">
      <c r="A23" s="1"/>
      <c r="D23" s="3" t="s">
        <v>153</v>
      </c>
    </row>
    <row r="24" spans="1:18" x14ac:dyDescent="0.25">
      <c r="A24" s="1"/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K24">
        <v>25</v>
      </c>
      <c r="L24">
        <v>26</v>
      </c>
      <c r="M24">
        <v>27</v>
      </c>
      <c r="N24">
        <v>28</v>
      </c>
      <c r="O24">
        <v>29</v>
      </c>
      <c r="P24">
        <v>30</v>
      </c>
      <c r="Q24">
        <v>31</v>
      </c>
      <c r="R24">
        <v>32</v>
      </c>
    </row>
    <row r="25" spans="1:18" x14ac:dyDescent="0.25">
      <c r="A25" s="1"/>
      <c r="E25" s="2"/>
      <c r="F25" s="2"/>
      <c r="G25" s="2"/>
      <c r="H25" s="2"/>
      <c r="I25" s="2"/>
      <c r="J25" s="2">
        <v>0.03</v>
      </c>
      <c r="K25" s="2">
        <v>0.04</v>
      </c>
      <c r="L25" s="2">
        <v>9.2999999999999999E-2</v>
      </c>
      <c r="M25" s="2">
        <v>0.105</v>
      </c>
      <c r="N25" s="2">
        <v>0.16500000000000001</v>
      </c>
      <c r="O25" s="2">
        <v>0.20499999999999999</v>
      </c>
      <c r="P25" s="2">
        <v>0.20799999999999999</v>
      </c>
      <c r="Q25" s="2">
        <v>8.2000000000000003E-2</v>
      </c>
      <c r="R25" s="2">
        <v>7.1999999999999995E-2</v>
      </c>
    </row>
    <row r="26" spans="1:18" x14ac:dyDescent="0.25">
      <c r="A26" s="1"/>
      <c r="C26" t="s">
        <v>10</v>
      </c>
      <c r="D26" s="1">
        <f>' Viabilidad 40 manteniendo+1pl'!G18</f>
        <v>-566052.08400000003</v>
      </c>
      <c r="E26" s="1"/>
      <c r="F26" s="1"/>
      <c r="G26" s="1"/>
      <c r="H26" s="1"/>
      <c r="I26" s="1"/>
      <c r="J26" s="1">
        <f>$D$26*J25</f>
        <v>-16981.562519999999</v>
      </c>
      <c r="K26" s="1">
        <f t="shared" ref="K26:R26" si="7">$D$26*K25</f>
        <v>-22642.083360000001</v>
      </c>
      <c r="L26" s="1">
        <f t="shared" si="7"/>
        <v>-52642.843811999999</v>
      </c>
      <c r="M26" s="1">
        <f t="shared" si="7"/>
        <v>-59435.468820000002</v>
      </c>
      <c r="N26" s="1">
        <f t="shared" si="7"/>
        <v>-93398.593860000008</v>
      </c>
      <c r="O26" s="1">
        <f t="shared" si="7"/>
        <v>-116040.67722</v>
      </c>
      <c r="P26" s="1">
        <f t="shared" si="7"/>
        <v>-117738.833472</v>
      </c>
      <c r="Q26" s="1">
        <f t="shared" si="7"/>
        <v>-46416.270888000006</v>
      </c>
      <c r="R26" s="1">
        <f t="shared" si="7"/>
        <v>-40755.750048000002</v>
      </c>
    </row>
    <row r="27" spans="1:18" x14ac:dyDescent="0.25">
      <c r="A27" s="1"/>
      <c r="D27" s="1"/>
      <c r="E27" s="2">
        <v>6.0000000000000001E-3</v>
      </c>
      <c r="F27" s="2">
        <v>1.6E-2</v>
      </c>
      <c r="G27" s="2">
        <v>0.04</v>
      </c>
      <c r="H27" s="2">
        <v>3.7499999999999999E-2</v>
      </c>
      <c r="I27" s="2">
        <v>4.4999999999999998E-2</v>
      </c>
      <c r="J27" s="2">
        <v>9.4500000000000001E-2</v>
      </c>
      <c r="K27" s="2">
        <v>0.11749999999999999</v>
      </c>
      <c r="L27" s="2">
        <v>0.08</v>
      </c>
      <c r="M27" s="2">
        <v>0.13300000000000001</v>
      </c>
      <c r="N27" s="2">
        <v>0.11899999999999999</v>
      </c>
      <c r="O27" s="2">
        <v>0.14849999999999999</v>
      </c>
      <c r="P27" s="2">
        <v>5.8500000000000003E-2</v>
      </c>
      <c r="Q27" s="2">
        <v>0.1045</v>
      </c>
      <c r="R27" s="2"/>
    </row>
    <row r="28" spans="1:18" x14ac:dyDescent="0.25">
      <c r="A28" s="1"/>
      <c r="C28" t="s">
        <v>154</v>
      </c>
      <c r="D28" s="1">
        <f>' Viabilidad 40 manteniendo+1pl'!G19</f>
        <v>-1444538.92</v>
      </c>
      <c r="E28" s="1">
        <f>$D$28*E27</f>
        <v>-8667.2335199999998</v>
      </c>
      <c r="F28" s="1">
        <f t="shared" ref="F28:Q28" si="8">$D$28*F27</f>
        <v>-23112.622719999999</v>
      </c>
      <c r="G28" s="1">
        <f t="shared" si="8"/>
        <v>-57781.556799999998</v>
      </c>
      <c r="H28" s="1">
        <f t="shared" si="8"/>
        <v>-54170.209499999997</v>
      </c>
      <c r="I28" s="1">
        <f t="shared" si="8"/>
        <v>-65004.251399999994</v>
      </c>
      <c r="J28" s="1">
        <f t="shared" si="8"/>
        <v>-136508.92793999999</v>
      </c>
      <c r="K28" s="1">
        <f t="shared" si="8"/>
        <v>-169733.32309999998</v>
      </c>
      <c r="L28" s="1">
        <f t="shared" si="8"/>
        <v>-115563.1136</v>
      </c>
      <c r="M28" s="1">
        <f t="shared" si="8"/>
        <v>-192123.67636000001</v>
      </c>
      <c r="N28" s="1">
        <f t="shared" si="8"/>
        <v>-171900.13147999998</v>
      </c>
      <c r="O28" s="1">
        <f t="shared" si="8"/>
        <v>-214514.02961999999</v>
      </c>
      <c r="P28" s="1">
        <f t="shared" si="8"/>
        <v>-84505.526819999999</v>
      </c>
      <c r="Q28" s="1">
        <f t="shared" si="8"/>
        <v>-150954.31714</v>
      </c>
      <c r="R28" s="1"/>
    </row>
    <row r="29" spans="1:18" x14ac:dyDescent="0.25">
      <c r="A29" s="1"/>
    </row>
    <row r="30" spans="1:18" x14ac:dyDescent="0.25">
      <c r="A30" s="1"/>
      <c r="D30" s="3" t="s">
        <v>155</v>
      </c>
    </row>
    <row r="31" spans="1:18" x14ac:dyDescent="0.25">
      <c r="A31" s="1"/>
      <c r="E31">
        <v>19</v>
      </c>
      <c r="F31">
        <v>20</v>
      </c>
      <c r="G31">
        <v>21</v>
      </c>
      <c r="H31">
        <v>22</v>
      </c>
      <c r="I31">
        <v>23</v>
      </c>
      <c r="J31">
        <v>24</v>
      </c>
      <c r="K31">
        <v>25</v>
      </c>
      <c r="L31">
        <v>26</v>
      </c>
      <c r="M31">
        <v>27</v>
      </c>
      <c r="N31">
        <v>28</v>
      </c>
      <c r="O31">
        <v>29</v>
      </c>
      <c r="P31">
        <v>30</v>
      </c>
      <c r="Q31">
        <v>31</v>
      </c>
      <c r="R31">
        <v>32</v>
      </c>
    </row>
    <row r="32" spans="1:18" x14ac:dyDescent="0.25">
      <c r="A32" s="1"/>
      <c r="E32" s="2"/>
      <c r="F32" s="2"/>
      <c r="G32" s="2"/>
      <c r="H32" s="2"/>
      <c r="I32" s="2"/>
      <c r="J32" s="2">
        <v>0.03</v>
      </c>
      <c r="K32" s="2">
        <v>0.04</v>
      </c>
      <c r="L32" s="2">
        <v>9.2999999999999999E-2</v>
      </c>
      <c r="M32" s="2">
        <v>0.105</v>
      </c>
      <c r="N32" s="2">
        <v>0.16500000000000001</v>
      </c>
      <c r="O32" s="2">
        <v>0.20499999999999999</v>
      </c>
      <c r="P32" s="2">
        <v>0.20799999999999999</v>
      </c>
      <c r="Q32" s="2">
        <v>8.2000000000000003E-2</v>
      </c>
      <c r="R32" s="2">
        <v>7.1999999999999995E-2</v>
      </c>
    </row>
    <row r="33" spans="1:18" x14ac:dyDescent="0.25">
      <c r="A33" s="1"/>
      <c r="C33" t="s">
        <v>10</v>
      </c>
      <c r="D33" s="1">
        <f>' Viabilidad 40 manteniendo+2pl'!G18</f>
        <v>-1132104.1680000001</v>
      </c>
      <c r="E33" s="1"/>
      <c r="F33" s="1"/>
      <c r="G33" s="1"/>
      <c r="H33" s="1"/>
      <c r="I33" s="1"/>
      <c r="J33" s="1">
        <f>$D$33*J32</f>
        <v>-33963.125039999999</v>
      </c>
      <c r="K33" s="1">
        <f t="shared" ref="K33:R33" si="9">$D$33*K32</f>
        <v>-45284.166720000001</v>
      </c>
      <c r="L33" s="1">
        <f t="shared" si="9"/>
        <v>-105285.687624</v>
      </c>
      <c r="M33" s="1">
        <f t="shared" si="9"/>
        <v>-118870.93764</v>
      </c>
      <c r="N33" s="1">
        <f t="shared" si="9"/>
        <v>-186797.18772000002</v>
      </c>
      <c r="O33" s="1">
        <f t="shared" si="9"/>
        <v>-232081.35444</v>
      </c>
      <c r="P33" s="1">
        <f t="shared" si="9"/>
        <v>-235477.666944</v>
      </c>
      <c r="Q33" s="1">
        <f t="shared" si="9"/>
        <v>-92832.541776000013</v>
      </c>
      <c r="R33" s="1">
        <f t="shared" si="9"/>
        <v>-81511.500096000003</v>
      </c>
    </row>
    <row r="34" spans="1:18" x14ac:dyDescent="0.25">
      <c r="D34" s="1"/>
      <c r="E34" s="2">
        <v>6.0000000000000001E-3</v>
      </c>
      <c r="F34" s="2">
        <v>1.6E-2</v>
      </c>
      <c r="G34" s="2">
        <v>0.04</v>
      </c>
      <c r="H34" s="2">
        <v>3.7499999999999999E-2</v>
      </c>
      <c r="I34" s="2">
        <v>4.4999999999999998E-2</v>
      </c>
      <c r="J34" s="2">
        <v>9.4500000000000001E-2</v>
      </c>
      <c r="K34" s="2">
        <v>0.11749999999999999</v>
      </c>
      <c r="L34" s="2">
        <v>0.08</v>
      </c>
      <c r="M34" s="2">
        <v>0.13300000000000001</v>
      </c>
      <c r="N34" s="2">
        <v>0.11899999999999999</v>
      </c>
      <c r="O34" s="2">
        <v>0.14849999999999999</v>
      </c>
      <c r="P34" s="2">
        <v>5.8500000000000003E-2</v>
      </c>
      <c r="Q34" s="2">
        <v>0.1045</v>
      </c>
      <c r="R34" s="2"/>
    </row>
    <row r="35" spans="1:18" x14ac:dyDescent="0.25">
      <c r="C35" t="s">
        <v>154</v>
      </c>
      <c r="D35" s="1">
        <f>' Viabilidad 40 manteniendo+2pl'!G19</f>
        <v>-1444538.92</v>
      </c>
      <c r="E35" s="1">
        <f t="shared" ref="E35:Q35" si="10">$D$35*E34</f>
        <v>-8667.2335199999998</v>
      </c>
      <c r="F35" s="1">
        <f t="shared" si="10"/>
        <v>-23112.622719999999</v>
      </c>
      <c r="G35" s="1">
        <f t="shared" si="10"/>
        <v>-57781.556799999998</v>
      </c>
      <c r="H35" s="1">
        <f t="shared" si="10"/>
        <v>-54170.209499999997</v>
      </c>
      <c r="I35" s="1">
        <f t="shared" si="10"/>
        <v>-65004.251399999994</v>
      </c>
      <c r="J35" s="1">
        <f t="shared" si="10"/>
        <v>-136508.92793999999</v>
      </c>
      <c r="K35" s="1">
        <f t="shared" si="10"/>
        <v>-169733.32309999998</v>
      </c>
      <c r="L35" s="1">
        <f t="shared" si="10"/>
        <v>-115563.1136</v>
      </c>
      <c r="M35" s="1">
        <f t="shared" si="10"/>
        <v>-192123.67636000001</v>
      </c>
      <c r="N35" s="1">
        <f t="shared" si="10"/>
        <v>-171900.13147999998</v>
      </c>
      <c r="O35" s="1">
        <f t="shared" si="10"/>
        <v>-214514.02961999999</v>
      </c>
      <c r="P35" s="1">
        <f t="shared" si="10"/>
        <v>-84505.526819999999</v>
      </c>
      <c r="Q35" s="1">
        <f t="shared" si="10"/>
        <v>-150954.31714</v>
      </c>
      <c r="R35" s="1"/>
    </row>
    <row r="36" spans="1:18" x14ac:dyDescent="0.25">
      <c r="E36" s="2"/>
    </row>
    <row r="37" spans="1:18" x14ac:dyDescent="0.25">
      <c r="E37" s="2"/>
    </row>
    <row r="38" spans="1:18" x14ac:dyDescent="0.25">
      <c r="E38" s="2"/>
    </row>
    <row r="39" spans="1:18" x14ac:dyDescent="0.25">
      <c r="E39" s="2"/>
    </row>
    <row r="40" spans="1:18" x14ac:dyDescent="0.25">
      <c r="E40" s="2"/>
    </row>
    <row r="41" spans="1:18" x14ac:dyDescent="0.25">
      <c r="E41" s="2"/>
    </row>
    <row r="42" spans="1:18" x14ac:dyDescent="0.25">
      <c r="E42" s="2"/>
    </row>
    <row r="43" spans="1:18" x14ac:dyDescent="0.25">
      <c r="E43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0600-FC60-438B-B106-398F86940341}">
  <sheetPr codeName="Hoja10"/>
  <dimension ref="A1:CU59"/>
  <sheetViews>
    <sheetView zoomScale="85" zoomScaleNormal="85" workbookViewId="0">
      <pane xSplit="7" ySplit="1" topLeftCell="AJ2" activePane="bottomRight" state="frozen"/>
      <selection pane="topRight" activeCell="J1" sqref="J1"/>
      <selection pane="bottomLeft" activeCell="A9" sqref="A9"/>
      <selection pane="bottomRight" activeCell="C9" sqref="C9"/>
    </sheetView>
  </sheetViews>
  <sheetFormatPr baseColWidth="10" defaultColWidth="10.7109375" defaultRowHeight="15" x14ac:dyDescent="0.25"/>
  <cols>
    <col min="1" max="1" width="10.7109375" style="11"/>
    <col min="2" max="2" width="24.140625" style="11" bestFit="1" customWidth="1"/>
    <col min="3" max="3" width="57.85546875" style="11" bestFit="1" customWidth="1"/>
    <col min="4" max="4" width="10.7109375" style="37"/>
    <col min="5" max="5" width="14" style="11" customWidth="1"/>
    <col min="6" max="6" width="18" style="11" customWidth="1"/>
    <col min="7" max="7" width="18.28515625" style="34" bestFit="1" customWidth="1"/>
    <col min="8" max="10" width="10.7109375" style="34"/>
    <col min="11" max="11" width="11.42578125" style="34" bestFit="1" customWidth="1"/>
    <col min="12" max="15" width="10.7109375" style="34"/>
    <col min="16" max="16" width="11.42578125" style="34" bestFit="1" customWidth="1"/>
    <col min="17" max="17" width="10.7109375" style="34"/>
    <col min="18" max="18" width="11.42578125" style="34" bestFit="1" customWidth="1"/>
    <col min="19" max="19" width="10.7109375" style="34"/>
    <col min="20" max="20" width="11.42578125" style="34" bestFit="1" customWidth="1"/>
    <col min="21" max="27" width="10.7109375" style="34"/>
    <col min="28" max="39" width="11.42578125" style="34" bestFit="1" customWidth="1"/>
    <col min="40" max="40" width="12.28515625" style="34" bestFit="1" customWidth="1"/>
    <col min="41" max="55" width="10.7109375" style="34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10" t="s">
        <v>159</v>
      </c>
      <c r="B1" s="10" t="s">
        <v>160</v>
      </c>
      <c r="C1" s="10" t="s">
        <v>161</v>
      </c>
      <c r="D1" s="12" t="s">
        <v>187</v>
      </c>
      <c r="E1" s="13" t="s">
        <v>194</v>
      </c>
      <c r="F1" s="13" t="s">
        <v>195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4" t="s">
        <v>62</v>
      </c>
      <c r="AC1" s="14" t="s">
        <v>63</v>
      </c>
      <c r="AD1" s="14" t="s">
        <v>64</v>
      </c>
      <c r="AE1" s="14" t="s">
        <v>65</v>
      </c>
      <c r="AF1" s="14" t="s">
        <v>66</v>
      </c>
      <c r="AG1" s="14" t="s">
        <v>67</v>
      </c>
      <c r="AH1" s="14" t="s">
        <v>68</v>
      </c>
      <c r="AI1" s="14" t="s">
        <v>69</v>
      </c>
      <c r="AJ1" s="14" t="s">
        <v>70</v>
      </c>
      <c r="AK1" s="14" t="s">
        <v>71</v>
      </c>
      <c r="AL1" s="14" t="s">
        <v>72</v>
      </c>
      <c r="AM1" s="14" t="s">
        <v>73</v>
      </c>
      <c r="AN1" s="14" t="s">
        <v>74</v>
      </c>
      <c r="AO1" s="14" t="s">
        <v>75</v>
      </c>
      <c r="AP1" s="14" t="s">
        <v>76</v>
      </c>
      <c r="AQ1" s="14" t="s">
        <v>77</v>
      </c>
      <c r="AR1" s="14" t="s">
        <v>78</v>
      </c>
      <c r="AS1" s="14" t="s">
        <v>79</v>
      </c>
      <c r="AT1" s="14" t="s">
        <v>80</v>
      </c>
      <c r="AU1" s="14" t="s">
        <v>81</v>
      </c>
      <c r="AV1" s="14" t="s">
        <v>82</v>
      </c>
      <c r="AW1" s="14" t="s">
        <v>83</v>
      </c>
      <c r="AX1" s="14" t="s">
        <v>84</v>
      </c>
      <c r="AY1" s="14" t="s">
        <v>85</v>
      </c>
      <c r="AZ1" s="14" t="s">
        <v>86</v>
      </c>
      <c r="BA1" s="14" t="s">
        <v>87</v>
      </c>
      <c r="BB1" s="14" t="s">
        <v>88</v>
      </c>
      <c r="BC1" s="14" t="s">
        <v>89</v>
      </c>
      <c r="BD1" s="14" t="s">
        <v>97</v>
      </c>
      <c r="BE1" s="14" t="s">
        <v>98</v>
      </c>
      <c r="BF1" s="14" t="s">
        <v>99</v>
      </c>
      <c r="BG1" s="14" t="s">
        <v>100</v>
      </c>
      <c r="BH1" s="14" t="s">
        <v>101</v>
      </c>
      <c r="BI1" s="14" t="s">
        <v>102</v>
      </c>
      <c r="BJ1" s="14" t="s">
        <v>103</v>
      </c>
      <c r="BK1" s="14" t="s">
        <v>104</v>
      </c>
      <c r="BL1" s="14" t="s">
        <v>105</v>
      </c>
      <c r="BM1" s="14" t="s">
        <v>106</v>
      </c>
      <c r="BN1" s="14" t="s">
        <v>107</v>
      </c>
      <c r="BO1" s="14" t="s">
        <v>108</v>
      </c>
      <c r="BP1" s="14" t="s">
        <v>109</v>
      </c>
      <c r="BQ1" s="14" t="s">
        <v>110</v>
      </c>
      <c r="BR1" s="14" t="s">
        <v>111</v>
      </c>
      <c r="BS1" s="14" t="s">
        <v>112</v>
      </c>
      <c r="BT1" s="14" t="s">
        <v>113</v>
      </c>
      <c r="BU1" s="14" t="s">
        <v>114</v>
      </c>
      <c r="BV1" s="14" t="s">
        <v>115</v>
      </c>
      <c r="BW1" s="14" t="s">
        <v>116</v>
      </c>
      <c r="BX1" s="14" t="s">
        <v>117</v>
      </c>
      <c r="BY1" s="14" t="s">
        <v>118</v>
      </c>
      <c r="BZ1" s="14" t="s">
        <v>119</v>
      </c>
      <c r="CA1" s="14" t="s">
        <v>120</v>
      </c>
      <c r="CB1" s="14" t="s">
        <v>121</v>
      </c>
      <c r="CC1" s="14" t="s">
        <v>122</v>
      </c>
      <c r="CD1" s="14" t="s">
        <v>123</v>
      </c>
      <c r="CE1" s="14" t="s">
        <v>124</v>
      </c>
      <c r="CF1" s="14" t="s">
        <v>125</v>
      </c>
      <c r="CG1" s="14" t="s">
        <v>126</v>
      </c>
      <c r="CH1" s="14" t="s">
        <v>127</v>
      </c>
      <c r="CI1" s="14" t="s">
        <v>128</v>
      </c>
      <c r="CJ1" s="14" t="s">
        <v>129</v>
      </c>
      <c r="CK1" s="14" t="s">
        <v>130</v>
      </c>
      <c r="CL1" s="14" t="s">
        <v>131</v>
      </c>
      <c r="CM1" s="14" t="s">
        <v>132</v>
      </c>
      <c r="CN1" s="14" t="s">
        <v>133</v>
      </c>
      <c r="CO1" s="14" t="s">
        <v>134</v>
      </c>
      <c r="CP1" s="14" t="s">
        <v>135</v>
      </c>
      <c r="CQ1" s="14" t="s">
        <v>136</v>
      </c>
      <c r="CR1" s="14" t="s">
        <v>137</v>
      </c>
      <c r="CS1" s="14" t="s">
        <v>138</v>
      </c>
      <c r="CT1" s="14" t="s">
        <v>139</v>
      </c>
      <c r="CU1" s="14" t="s">
        <v>140</v>
      </c>
    </row>
    <row r="2" spans="1:99" x14ac:dyDescent="0.25">
      <c r="A2" s="11" t="s">
        <v>4</v>
      </c>
      <c r="B2" s="11" t="s">
        <v>162</v>
      </c>
      <c r="C2" s="11" t="s">
        <v>31</v>
      </c>
      <c r="D2" s="35">
        <v>1</v>
      </c>
      <c r="E2" s="15">
        <v>5800</v>
      </c>
      <c r="F2" s="16">
        <f>D2*E2</f>
        <v>5800</v>
      </c>
      <c r="G2" s="17">
        <v>-5800</v>
      </c>
      <c r="H2" s="18">
        <v>0</v>
      </c>
      <c r="I2" s="18">
        <f>G2</f>
        <v>-5800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0</v>
      </c>
      <c r="BU2" s="18">
        <v>0</v>
      </c>
      <c r="BV2" s="18">
        <v>0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8">
        <v>0</v>
      </c>
      <c r="CC2" s="18">
        <v>0</v>
      </c>
      <c r="CD2" s="18">
        <v>0</v>
      </c>
      <c r="CE2" s="18">
        <v>0</v>
      </c>
      <c r="CF2" s="18">
        <v>0</v>
      </c>
      <c r="CG2" s="18">
        <v>0</v>
      </c>
      <c r="CH2" s="18">
        <v>0</v>
      </c>
      <c r="CI2" s="18">
        <v>0</v>
      </c>
      <c r="CJ2" s="18">
        <v>0</v>
      </c>
      <c r="CK2" s="18">
        <v>0</v>
      </c>
      <c r="CL2" s="18">
        <v>0</v>
      </c>
      <c r="CM2" s="18">
        <v>0</v>
      </c>
      <c r="CN2" s="18">
        <v>0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</row>
    <row r="3" spans="1:99" x14ac:dyDescent="0.25">
      <c r="A3" s="11" t="s">
        <v>4</v>
      </c>
      <c r="B3" s="11" t="s">
        <v>162</v>
      </c>
      <c r="C3" s="11" t="s">
        <v>18</v>
      </c>
      <c r="D3" s="36">
        <v>1</v>
      </c>
      <c r="E3" s="16">
        <v>1200</v>
      </c>
      <c r="F3" s="16">
        <f>D3*E3</f>
        <v>1200</v>
      </c>
      <c r="G3" s="19">
        <v>-1200</v>
      </c>
      <c r="H3" s="20">
        <v>0</v>
      </c>
      <c r="I3" s="20">
        <v>0</v>
      </c>
      <c r="J3" s="20">
        <v>0</v>
      </c>
      <c r="K3" s="20">
        <f>G3</f>
        <v>-1200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0</v>
      </c>
      <c r="CL3" s="20">
        <v>0</v>
      </c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</row>
    <row r="4" spans="1:99" x14ac:dyDescent="0.25">
      <c r="A4" s="11" t="s">
        <v>4</v>
      </c>
      <c r="B4" s="11" t="s">
        <v>162</v>
      </c>
      <c r="C4" s="11" t="s">
        <v>19</v>
      </c>
      <c r="D4" s="36">
        <v>1</v>
      </c>
      <c r="E4" s="16">
        <v>4500</v>
      </c>
      <c r="F4" s="16">
        <f>E4*D4</f>
        <v>4500</v>
      </c>
      <c r="G4" s="19">
        <v>-4500</v>
      </c>
      <c r="H4" s="20">
        <v>0</v>
      </c>
      <c r="I4" s="20">
        <v>0</v>
      </c>
      <c r="J4" s="20">
        <v>0</v>
      </c>
      <c r="K4" s="20">
        <f>G4</f>
        <v>-4500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</row>
    <row r="5" spans="1:99" x14ac:dyDescent="0.25">
      <c r="A5" s="11" t="s">
        <v>4</v>
      </c>
      <c r="B5" s="11" t="s">
        <v>162</v>
      </c>
      <c r="C5" s="11" t="s">
        <v>9</v>
      </c>
      <c r="D5" s="36">
        <v>0.21</v>
      </c>
      <c r="E5" s="16">
        <f>F3+F4+F2</f>
        <v>11500</v>
      </c>
      <c r="F5" s="16">
        <f>D5*E5</f>
        <v>2415</v>
      </c>
      <c r="G5" s="19">
        <f>(G2+G3+G4)*0.21</f>
        <v>-2415</v>
      </c>
      <c r="H5" s="20">
        <f>(H2+H3+H4)*0.21</f>
        <v>0</v>
      </c>
      <c r="I5" s="20">
        <f>(I2+I3+I4)*0.21</f>
        <v>-1218</v>
      </c>
      <c r="J5" s="20">
        <v>0</v>
      </c>
      <c r="K5" s="20">
        <f>(K2+K3+K4)*0.21</f>
        <v>-1197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</row>
    <row r="6" spans="1:99" x14ac:dyDescent="0.25">
      <c r="A6" s="11" t="s">
        <v>4</v>
      </c>
      <c r="B6" s="11" t="s">
        <v>163</v>
      </c>
      <c r="C6" s="11" t="s">
        <v>15</v>
      </c>
      <c r="D6" s="37">
        <v>5.6099999999999997E-2</v>
      </c>
      <c r="E6" s="11">
        <f>F16</f>
        <v>31646.16</v>
      </c>
      <c r="F6" s="11">
        <f>E6*D6</f>
        <v>1775.3495759999998</v>
      </c>
      <c r="G6" s="17">
        <f>-F6</f>
        <v>-1775.3495759999998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f>G6</f>
        <v>-1775.3495759999998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</row>
    <row r="7" spans="1:99" x14ac:dyDescent="0.25">
      <c r="A7" s="11" t="s">
        <v>4</v>
      </c>
      <c r="B7" s="11" t="s">
        <v>163</v>
      </c>
      <c r="C7" s="11" t="s">
        <v>16</v>
      </c>
      <c r="D7" s="37">
        <v>4.7699999999999999E-2</v>
      </c>
      <c r="E7" s="11">
        <f>F16</f>
        <v>31646.16</v>
      </c>
      <c r="F7" s="11">
        <f>E7*D7</f>
        <v>1509.5218319999999</v>
      </c>
      <c r="G7" s="19">
        <f>-F7</f>
        <v>-1509.5218319999999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f>G7*0.3</f>
        <v>-452.85654959999994</v>
      </c>
      <c r="Y7" s="20">
        <f>0.7*G7</f>
        <v>-1056.6652823999998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</row>
    <row r="8" spans="1:99" x14ac:dyDescent="0.25">
      <c r="A8" s="11" t="s">
        <v>4</v>
      </c>
      <c r="B8" s="11" t="s">
        <v>163</v>
      </c>
      <c r="C8" s="11" t="s">
        <v>164</v>
      </c>
      <c r="D8" s="37">
        <v>7.0000000000000001E-3</v>
      </c>
      <c r="E8" s="11">
        <f>F16</f>
        <v>31646.16</v>
      </c>
      <c r="F8" s="11">
        <f>D8*E8</f>
        <v>221.52312000000001</v>
      </c>
      <c r="G8" s="19">
        <f>-F8</f>
        <v>-221.52312000000001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f>G8*0.5</f>
        <v>-110.76156</v>
      </c>
      <c r="Y8" s="20">
        <f>G8*0.5</f>
        <v>-110.76156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</row>
    <row r="9" spans="1:99" x14ac:dyDescent="0.25">
      <c r="A9" s="11" t="s">
        <v>4</v>
      </c>
      <c r="B9" s="11" t="s">
        <v>163</v>
      </c>
      <c r="C9" s="11" t="s">
        <v>13</v>
      </c>
      <c r="D9" s="37">
        <v>5.6099999999999997E-2</v>
      </c>
      <c r="E9" s="11">
        <f>F18+F19</f>
        <v>2576643.088</v>
      </c>
      <c r="F9" s="11">
        <f>D9*E9</f>
        <v>144549.67723679999</v>
      </c>
      <c r="G9" s="19">
        <f>-F9</f>
        <v>-144549.67723679999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f>G9*0.4</f>
        <v>-57819.870894719999</v>
      </c>
      <c r="N9" s="20">
        <v>0</v>
      </c>
      <c r="O9" s="20">
        <v>0</v>
      </c>
      <c r="P9" s="20">
        <f>G9*0.6</f>
        <v>-86729.806342079988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</row>
    <row r="10" spans="1:99" x14ac:dyDescent="0.25">
      <c r="A10" s="11" t="s">
        <v>4</v>
      </c>
      <c r="B10" s="11" t="s">
        <v>163</v>
      </c>
      <c r="C10" s="11" t="s">
        <v>14</v>
      </c>
      <c r="D10" s="37">
        <v>4.7699999999999999E-2</v>
      </c>
      <c r="E10" s="11">
        <f>F18+F19</f>
        <v>2576643.088</v>
      </c>
      <c r="F10" s="11">
        <f>D10*E10</f>
        <v>122905.8752976</v>
      </c>
      <c r="G10" s="19">
        <f>-F10</f>
        <v>-122905.8752976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f>$G10/14</f>
        <v>-8778.9910926857137</v>
      </c>
      <c r="AA10" s="20">
        <f t="shared" ref="AA10:AM10" si="0">$G10/14</f>
        <v>-8778.9910926857137</v>
      </c>
      <c r="AB10" s="20">
        <f t="shared" si="0"/>
        <v>-8778.9910926857137</v>
      </c>
      <c r="AC10" s="20">
        <f t="shared" si="0"/>
        <v>-8778.9910926857137</v>
      </c>
      <c r="AD10" s="20">
        <f t="shared" si="0"/>
        <v>-8778.9910926857137</v>
      </c>
      <c r="AE10" s="20">
        <f t="shared" si="0"/>
        <v>-8778.9910926857137</v>
      </c>
      <c r="AF10" s="20">
        <f t="shared" si="0"/>
        <v>-8778.9910926857137</v>
      </c>
      <c r="AG10" s="20">
        <f t="shared" si="0"/>
        <v>-8778.9910926857137</v>
      </c>
      <c r="AH10" s="20">
        <f t="shared" si="0"/>
        <v>-8778.9910926857137</v>
      </c>
      <c r="AI10" s="20">
        <f t="shared" si="0"/>
        <v>-8778.9910926857137</v>
      </c>
      <c r="AJ10" s="20">
        <f t="shared" si="0"/>
        <v>-8778.9910926857137</v>
      </c>
      <c r="AK10" s="20">
        <f t="shared" si="0"/>
        <v>-8778.9910926857137</v>
      </c>
      <c r="AL10" s="20">
        <f t="shared" si="0"/>
        <v>-8778.9910926857137</v>
      </c>
      <c r="AM10" s="20">
        <f t="shared" si="0"/>
        <v>-8778.9910926857137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</row>
    <row r="11" spans="1:99" x14ac:dyDescent="0.25">
      <c r="A11" s="11" t="s">
        <v>4</v>
      </c>
      <c r="B11" s="11" t="s">
        <v>163</v>
      </c>
      <c r="C11" s="11" t="s">
        <v>165</v>
      </c>
      <c r="D11" s="37">
        <v>7.0000000000000001E-3</v>
      </c>
      <c r="E11" s="11">
        <f>F18+F19</f>
        <v>2576643.088</v>
      </c>
      <c r="F11" s="11">
        <f>D11*E11</f>
        <v>18036.501616000001</v>
      </c>
      <c r="G11" s="19">
        <f>-F11</f>
        <v>-18036.501616000001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f>$G$11/14</f>
        <v>-1288.3215440000001</v>
      </c>
      <c r="AA11" s="20">
        <f t="shared" ref="AA11:AM11" si="1">$G$11/14</f>
        <v>-1288.3215440000001</v>
      </c>
      <c r="AB11" s="20">
        <f t="shared" si="1"/>
        <v>-1288.3215440000001</v>
      </c>
      <c r="AC11" s="20">
        <f t="shared" si="1"/>
        <v>-1288.3215440000001</v>
      </c>
      <c r="AD11" s="20">
        <f t="shared" si="1"/>
        <v>-1288.3215440000001</v>
      </c>
      <c r="AE11" s="20">
        <f t="shared" si="1"/>
        <v>-1288.3215440000001</v>
      </c>
      <c r="AF11" s="20">
        <f t="shared" si="1"/>
        <v>-1288.3215440000001</v>
      </c>
      <c r="AG11" s="20">
        <f t="shared" si="1"/>
        <v>-1288.3215440000001</v>
      </c>
      <c r="AH11" s="20">
        <f t="shared" si="1"/>
        <v>-1288.3215440000001</v>
      </c>
      <c r="AI11" s="20">
        <f t="shared" si="1"/>
        <v>-1288.3215440000001</v>
      </c>
      <c r="AJ11" s="20">
        <f t="shared" si="1"/>
        <v>-1288.3215440000001</v>
      </c>
      <c r="AK11" s="20">
        <f t="shared" si="1"/>
        <v>-1288.3215440000001</v>
      </c>
      <c r="AL11" s="20">
        <f t="shared" si="1"/>
        <v>-1288.3215440000001</v>
      </c>
      <c r="AM11" s="20">
        <f t="shared" si="1"/>
        <v>-1288.3215440000001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</row>
    <row r="12" spans="1:99" x14ac:dyDescent="0.25">
      <c r="A12" s="11" t="s">
        <v>4</v>
      </c>
      <c r="B12" s="11" t="s">
        <v>163</v>
      </c>
      <c r="C12" s="11" t="s">
        <v>141</v>
      </c>
      <c r="D12" s="37">
        <v>0.02</v>
      </c>
      <c r="E12" s="11">
        <f>F19+F18+F16</f>
        <v>2608289.2480000001</v>
      </c>
      <c r="F12" s="11">
        <f>D12*E12</f>
        <v>52165.784960000005</v>
      </c>
      <c r="G12" s="19">
        <f>-F12</f>
        <v>-52165.784960000005</v>
      </c>
      <c r="H12" s="20">
        <v>0</v>
      </c>
      <c r="I12" s="20">
        <v>0</v>
      </c>
      <c r="J12" s="20">
        <v>0</v>
      </c>
      <c r="K12" s="20">
        <f>G12*0.05</f>
        <v>-2608.2892480000005</v>
      </c>
      <c r="L12" s="20">
        <v>0</v>
      </c>
      <c r="M12" s="20">
        <v>0</v>
      </c>
      <c r="N12" s="20">
        <v>0</v>
      </c>
      <c r="O12" s="20">
        <v>0</v>
      </c>
      <c r="P12" s="20">
        <f>G12*0.15</f>
        <v>-7824.8677440000001</v>
      </c>
      <c r="Q12" s="20">
        <v>0</v>
      </c>
      <c r="R12" s="20">
        <f>G12*0.05</f>
        <v>-2608.2892480000005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f t="shared" ref="X12:AL12" si="2">$G$12*0.04</f>
        <v>-2086.6313984000003</v>
      </c>
      <c r="Y12" s="20">
        <f t="shared" si="2"/>
        <v>-2086.6313984000003</v>
      </c>
      <c r="Z12" s="20">
        <f t="shared" si="2"/>
        <v>-2086.6313984000003</v>
      </c>
      <c r="AA12" s="20">
        <f t="shared" si="2"/>
        <v>-2086.6313984000003</v>
      </c>
      <c r="AB12" s="20">
        <f t="shared" si="2"/>
        <v>-2086.6313984000003</v>
      </c>
      <c r="AC12" s="20">
        <f t="shared" si="2"/>
        <v>-2086.6313984000003</v>
      </c>
      <c r="AD12" s="20">
        <f t="shared" si="2"/>
        <v>-2086.6313984000003</v>
      </c>
      <c r="AE12" s="20">
        <f t="shared" si="2"/>
        <v>-2086.6313984000003</v>
      </c>
      <c r="AF12" s="20">
        <f t="shared" si="2"/>
        <v>-2086.6313984000003</v>
      </c>
      <c r="AG12" s="20">
        <f t="shared" si="2"/>
        <v>-2086.6313984000003</v>
      </c>
      <c r="AH12" s="20">
        <f t="shared" si="2"/>
        <v>-2086.6313984000003</v>
      </c>
      <c r="AI12" s="20">
        <f t="shared" si="2"/>
        <v>-2086.6313984000003</v>
      </c>
      <c r="AJ12" s="20">
        <f t="shared" si="2"/>
        <v>-2086.6313984000003</v>
      </c>
      <c r="AK12" s="20">
        <f t="shared" si="2"/>
        <v>-2086.6313984000003</v>
      </c>
      <c r="AL12" s="20">
        <f t="shared" si="2"/>
        <v>-2086.6313984000003</v>
      </c>
      <c r="AM12" s="20">
        <f>$G$12*0.04</f>
        <v>-2086.6313984000003</v>
      </c>
      <c r="AN12" s="20">
        <f>G12*0.11</f>
        <v>-5738.2363456000003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</row>
    <row r="13" spans="1:99" x14ac:dyDescent="0.25">
      <c r="A13" s="11" t="s">
        <v>4</v>
      </c>
      <c r="B13" s="11" t="s">
        <v>163</v>
      </c>
      <c r="C13" s="11" t="s">
        <v>166</v>
      </c>
      <c r="D13" s="37">
        <v>0.21</v>
      </c>
      <c r="E13" s="11">
        <f>F6+F7+F8</f>
        <v>3506.3945279999998</v>
      </c>
      <c r="F13" s="11">
        <f>D13*E13</f>
        <v>736.3428508799999</v>
      </c>
      <c r="G13" s="19">
        <f>-F13</f>
        <v>-736.3428508799999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f>SUM(M6:M8)*0.21</f>
        <v>-372.82341095999993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f>(X7+X8)*0.21</f>
        <v>-118.35980301599997</v>
      </c>
      <c r="Y13" s="20">
        <f>(Y7+Y8)*0.21</f>
        <v>-245.15963690399994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</row>
    <row r="14" spans="1:99" x14ac:dyDescent="0.25">
      <c r="A14" s="11" t="s">
        <v>4</v>
      </c>
      <c r="B14" s="11" t="s">
        <v>163</v>
      </c>
      <c r="C14" s="11" t="s">
        <v>167</v>
      </c>
      <c r="D14" s="37">
        <v>0.21</v>
      </c>
      <c r="E14" s="11">
        <f>F9+F10+F11+F12</f>
        <v>337657.83911040006</v>
      </c>
      <c r="F14" s="11">
        <f>D14*E14</f>
        <v>70908.146213184009</v>
      </c>
      <c r="G14" s="19">
        <f>-F14</f>
        <v>-70908.146213184009</v>
      </c>
      <c r="H14" s="20">
        <v>0</v>
      </c>
      <c r="I14" s="20">
        <v>0</v>
      </c>
      <c r="J14" s="20">
        <v>0</v>
      </c>
      <c r="K14" s="20">
        <f>SUM(K9:K12)*0.21</f>
        <v>-547.74074208000013</v>
      </c>
      <c r="L14" s="20">
        <v>0</v>
      </c>
      <c r="M14" s="20">
        <f>SUM(M9:M12)*0.21</f>
        <v>-12142.1728878912</v>
      </c>
      <c r="N14" s="20">
        <v>0</v>
      </c>
      <c r="O14" s="20">
        <v>0</v>
      </c>
      <c r="P14" s="20">
        <f>SUM(P9:P12)*0.21</f>
        <v>-19856.481558076797</v>
      </c>
      <c r="Q14" s="20">
        <v>0</v>
      </c>
      <c r="R14" s="20">
        <f>SUM(R9:R12)*0.21</f>
        <v>-547.74074208000013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f>SUM(X9:X12)*0.21</f>
        <v>-438.19259366400007</v>
      </c>
      <c r="Y14" s="20">
        <f>SUM(Y9:Y12)*0.21</f>
        <v>-438.19259366400007</v>
      </c>
      <c r="Z14" s="20">
        <f>SUM(Z9:Z12)*0.21</f>
        <v>-2552.3282473680001</v>
      </c>
      <c r="AA14" s="20">
        <f>SUM(AA9:AA12)*0.21</f>
        <v>-2552.3282473680001</v>
      </c>
      <c r="AB14" s="20">
        <f>SUM(AB9:AB12)*0.21</f>
        <v>-2552.3282473680001</v>
      </c>
      <c r="AC14" s="20">
        <f>SUM(AC9:AC12)*0.21</f>
        <v>-2552.3282473680001</v>
      </c>
      <c r="AD14" s="20">
        <f>SUM(AD9:AD12)*0.21</f>
        <v>-2552.3282473680001</v>
      </c>
      <c r="AE14" s="20">
        <f>SUM(AE9:AE12)*0.21</f>
        <v>-2552.3282473680001</v>
      </c>
      <c r="AF14" s="20">
        <f>SUM(AF9:AF12)*0.21</f>
        <v>-2552.3282473680001</v>
      </c>
      <c r="AG14" s="20">
        <f>SUM(AG9:AG12)*0.21</f>
        <v>-2552.3282473680001</v>
      </c>
      <c r="AH14" s="20">
        <f>SUM(AH9:AH12)*0.21</f>
        <v>-2552.3282473680001</v>
      </c>
      <c r="AI14" s="20">
        <f>SUM(AI9:AI12)*0.21</f>
        <v>-2552.3282473680001</v>
      </c>
      <c r="AJ14" s="20">
        <f>SUM(AJ9:AJ12)*0.21</f>
        <v>-2552.3282473680001</v>
      </c>
      <c r="AK14" s="20">
        <f>SUM(AK9:AK12)*0.21</f>
        <v>-2552.3282473680001</v>
      </c>
      <c r="AL14" s="20">
        <f>SUM(AL9:AL12)*0.21</f>
        <v>-2552.3282473680001</v>
      </c>
      <c r="AM14" s="20">
        <f>SUM(AM9:AM12)*0.21</f>
        <v>-2552.3282473680001</v>
      </c>
      <c r="AN14" s="20">
        <f>SUM(AN9:AN12)*0.21</f>
        <v>-1205.029632576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</row>
    <row r="15" spans="1:99" x14ac:dyDescent="0.25">
      <c r="A15" s="11" t="s">
        <v>4</v>
      </c>
      <c r="B15" s="11" t="s">
        <v>163</v>
      </c>
      <c r="C15" s="11" t="s">
        <v>20</v>
      </c>
      <c r="D15" s="37">
        <v>3.0000000000000001E-3</v>
      </c>
      <c r="E15" s="11">
        <f>F18+F19</f>
        <v>2576643.088</v>
      </c>
      <c r="F15" s="11">
        <f>D15*E15</f>
        <v>7729.9292640000003</v>
      </c>
      <c r="G15" s="19">
        <f>-F15</f>
        <v>-7729.9292640000003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f>$G$15/14</f>
        <v>-552.13780457142855</v>
      </c>
      <c r="AA15" s="20">
        <f t="shared" ref="AA15:AM15" si="3">$G$15/14</f>
        <v>-552.13780457142855</v>
      </c>
      <c r="AB15" s="20">
        <f t="shared" si="3"/>
        <v>-552.13780457142855</v>
      </c>
      <c r="AC15" s="20">
        <f t="shared" si="3"/>
        <v>-552.13780457142855</v>
      </c>
      <c r="AD15" s="20">
        <f t="shared" si="3"/>
        <v>-552.13780457142855</v>
      </c>
      <c r="AE15" s="20">
        <f t="shared" si="3"/>
        <v>-552.13780457142855</v>
      </c>
      <c r="AF15" s="20">
        <f t="shared" si="3"/>
        <v>-552.13780457142855</v>
      </c>
      <c r="AG15" s="20">
        <f t="shared" si="3"/>
        <v>-552.13780457142855</v>
      </c>
      <c r="AH15" s="20">
        <f t="shared" si="3"/>
        <v>-552.13780457142855</v>
      </c>
      <c r="AI15" s="20">
        <f t="shared" si="3"/>
        <v>-552.13780457142855</v>
      </c>
      <c r="AJ15" s="20">
        <f t="shared" si="3"/>
        <v>-552.13780457142855</v>
      </c>
      <c r="AK15" s="20">
        <f t="shared" si="3"/>
        <v>-552.13780457142855</v>
      </c>
      <c r="AL15" s="20">
        <f t="shared" si="3"/>
        <v>-552.13780457142855</v>
      </c>
      <c r="AM15" s="20">
        <f t="shared" si="3"/>
        <v>-552.13780457142855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</row>
    <row r="16" spans="1:99" x14ac:dyDescent="0.25">
      <c r="A16" s="11" t="s">
        <v>4</v>
      </c>
      <c r="B16" s="11" t="s">
        <v>168</v>
      </c>
      <c r="C16" s="11" t="s">
        <v>8</v>
      </c>
      <c r="D16" s="37">
        <f>(8.4*44.5*3)+(8.4*15.3*3)</f>
        <v>1506.96</v>
      </c>
      <c r="E16" s="11">
        <v>21</v>
      </c>
      <c r="F16" s="11">
        <f>D16*E16</f>
        <v>31646.16</v>
      </c>
      <c r="G16" s="19">
        <f>-F16</f>
        <v>-31646.16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f>G16*0.4</f>
        <v>-12658.464</v>
      </c>
      <c r="Y16" s="20">
        <f>G16*0.6</f>
        <v>-18987.696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</row>
    <row r="17" spans="1:99" x14ac:dyDescent="0.25">
      <c r="A17" s="11" t="s">
        <v>4</v>
      </c>
      <c r="B17" s="11" t="s">
        <v>168</v>
      </c>
      <c r="C17" s="11" t="s">
        <v>12</v>
      </c>
      <c r="D17" s="36">
        <v>188.37</v>
      </c>
      <c r="E17" s="11">
        <v>5.75</v>
      </c>
      <c r="F17" s="11">
        <f>D17*E17</f>
        <v>1083.1275000000001</v>
      </c>
      <c r="G17" s="19">
        <f>-F17</f>
        <v>-1083.1275000000001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f>G17*0.4</f>
        <v>-433.25100000000003</v>
      </c>
      <c r="Y17" s="20">
        <f>G17*0.6</f>
        <v>-649.87649999999996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</row>
    <row r="18" spans="1:99" x14ac:dyDescent="0.25">
      <c r="A18" s="11" t="s">
        <v>4</v>
      </c>
      <c r="B18" s="11" t="s">
        <v>168</v>
      </c>
      <c r="C18" s="11" t="s">
        <v>2</v>
      </c>
      <c r="D18" s="37">
        <f>20*65*1.2</f>
        <v>1560</v>
      </c>
      <c r="E18" s="11">
        <f>684.63*1.06</f>
        <v>725.70780000000002</v>
      </c>
      <c r="F18" s="11">
        <f>D18*E18</f>
        <v>1132104.1680000001</v>
      </c>
      <c r="G18" s="19">
        <f>-F18</f>
        <v>-1132104.1680000001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f>'evolucion certificaciones nuevo'!J33</f>
        <v>-33963.125039999999</v>
      </c>
      <c r="AF18" s="20">
        <f>'evolucion certificaciones nuevo'!K33</f>
        <v>-45284.166720000001</v>
      </c>
      <c r="AG18" s="20">
        <f>'evolucion certificaciones nuevo'!L33</f>
        <v>-105285.687624</v>
      </c>
      <c r="AH18" s="20">
        <f>'evolucion certificaciones nuevo'!M33</f>
        <v>-118870.93764</v>
      </c>
      <c r="AI18" s="20">
        <f>'evolucion certificaciones nuevo'!N33</f>
        <v>-186797.18772000002</v>
      </c>
      <c r="AJ18" s="20">
        <f>'evolucion certificaciones nuevo'!O33</f>
        <v>-232081.35444</v>
      </c>
      <c r="AK18" s="20">
        <f>'evolucion certificaciones nuevo'!P33</f>
        <v>-235477.666944</v>
      </c>
      <c r="AL18" s="20">
        <f>'evolucion certificaciones nuevo'!Q33</f>
        <v>-92832.541776000013</v>
      </c>
      <c r="AM18" s="20">
        <f>'evolucion certificaciones nuevo'!R33</f>
        <v>-81511.500096000003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</row>
    <row r="19" spans="1:99" x14ac:dyDescent="0.25">
      <c r="A19" s="11" t="s">
        <v>4</v>
      </c>
      <c r="B19" s="11" t="s">
        <v>168</v>
      </c>
      <c r="C19" s="11" t="s">
        <v>40</v>
      </c>
      <c r="D19" s="37">
        <v>1</v>
      </c>
      <c r="E19" s="11">
        <v>1444538.92</v>
      </c>
      <c r="F19" s="11">
        <f>D19*E19</f>
        <v>1444538.92</v>
      </c>
      <c r="G19" s="19">
        <f>-F19</f>
        <v>-1444538.92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f>'evolucion certificaciones nuevo'!E35</f>
        <v>-8667.2335199999998</v>
      </c>
      <c r="AA19" s="20">
        <f>'evolucion certificaciones nuevo'!F35</f>
        <v>-23112.622719999999</v>
      </c>
      <c r="AB19" s="20">
        <f>'evolucion certificaciones nuevo'!G35</f>
        <v>-57781.556799999998</v>
      </c>
      <c r="AC19" s="20">
        <f>'evolucion certificaciones nuevo'!H35</f>
        <v>-54170.209499999997</v>
      </c>
      <c r="AD19" s="20">
        <f>'evolucion certificaciones nuevo'!I35</f>
        <v>-65004.251399999994</v>
      </c>
      <c r="AE19" s="20">
        <f>'evolucion certificaciones nuevo'!J35</f>
        <v>-136508.92793999999</v>
      </c>
      <c r="AF19" s="20">
        <f>'evolucion certificaciones nuevo'!K35</f>
        <v>-169733.32309999998</v>
      </c>
      <c r="AG19" s="20">
        <f>'evolucion certificaciones nuevo'!L35</f>
        <v>-115563.1136</v>
      </c>
      <c r="AH19" s="20">
        <f>'evolucion certificaciones nuevo'!M35</f>
        <v>-192123.67636000001</v>
      </c>
      <c r="AI19" s="20">
        <f>'evolucion certificaciones nuevo'!N35</f>
        <v>-171900.13147999998</v>
      </c>
      <c r="AJ19" s="20">
        <f>'evolucion certificaciones nuevo'!O35</f>
        <v>-214514.02961999999</v>
      </c>
      <c r="AK19" s="20">
        <f>'evolucion certificaciones nuevo'!P35</f>
        <v>-84505.526819999999</v>
      </c>
      <c r="AL19" s="20">
        <f>'evolucion certificaciones nuevo'!Q35</f>
        <v>-150954.31714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</row>
    <row r="20" spans="1:99" x14ac:dyDescent="0.25">
      <c r="A20" s="11" t="s">
        <v>4</v>
      </c>
      <c r="B20" s="11" t="s">
        <v>168</v>
      </c>
      <c r="C20" s="11" t="s">
        <v>11</v>
      </c>
      <c r="D20" s="37">
        <v>0.21</v>
      </c>
      <c r="E20" s="11">
        <f>F16</f>
        <v>31646.16</v>
      </c>
      <c r="F20" s="11">
        <f>E20*D20</f>
        <v>6645.6935999999996</v>
      </c>
      <c r="G20" s="19">
        <f>-F20</f>
        <v>-6645.6935999999996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f>W16*0.21</f>
        <v>0</v>
      </c>
      <c r="X20" s="20">
        <f>X16*0.21</f>
        <v>-2658.2774399999998</v>
      </c>
      <c r="Y20" s="20">
        <f>Y16*0.21</f>
        <v>-3987.4161599999998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</row>
    <row r="21" spans="1:99" x14ac:dyDescent="0.25">
      <c r="A21" s="11" t="s">
        <v>4</v>
      </c>
      <c r="B21" s="11" t="s">
        <v>168</v>
      </c>
      <c r="C21" s="11" t="s">
        <v>10</v>
      </c>
      <c r="D21" s="37">
        <v>0.1</v>
      </c>
      <c r="E21" s="11">
        <f>F18+F19</f>
        <v>2576643.088</v>
      </c>
      <c r="F21" s="11">
        <f>E21*D21</f>
        <v>257664.3088</v>
      </c>
      <c r="G21" s="19">
        <f>-F21</f>
        <v>-257664.3088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f>(Z18+Z19)*0.1</f>
        <v>-866.72335199999998</v>
      </c>
      <c r="AA21" s="20">
        <f>(AA18+AA19)*0.1</f>
        <v>-2311.2622719999999</v>
      </c>
      <c r="AB21" s="20">
        <f>(AB18+AB19)*0.1</f>
        <v>-5778.1556799999998</v>
      </c>
      <c r="AC21" s="20">
        <f>(AC18+AC19)*0.1</f>
        <v>-5417.0209500000001</v>
      </c>
      <c r="AD21" s="20">
        <f>(AD18+AD19)*0.1</f>
        <v>-6500.4251399999994</v>
      </c>
      <c r="AE21" s="20">
        <f>(AE18+AE19)*0.1</f>
        <v>-17047.205297999997</v>
      </c>
      <c r="AF21" s="20">
        <f>(AF18+AF19)*0.1</f>
        <v>-21501.748982000001</v>
      </c>
      <c r="AG21" s="20">
        <f>(AG18+AG19)*0.1</f>
        <v>-22084.880122400002</v>
      </c>
      <c r="AH21" s="20">
        <f>(AH18+AH19)*0.1</f>
        <v>-31099.4614</v>
      </c>
      <c r="AI21" s="20">
        <f>(AI18+AI19)*0.1</f>
        <v>-35869.731920000006</v>
      </c>
      <c r="AJ21" s="20">
        <f>(AJ18+AJ19)*0.1</f>
        <v>-44659.538406</v>
      </c>
      <c r="AK21" s="20">
        <f>(AK18+AK19)*0.1</f>
        <v>-31998.319376399999</v>
      </c>
      <c r="AL21" s="20">
        <f>(AL18+AL19)*0.1</f>
        <v>-24378.685891600002</v>
      </c>
      <c r="AM21" s="20">
        <f>(AM18+AM19)*0.1</f>
        <v>-8151.1500096000009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</row>
    <row r="22" spans="1:99" x14ac:dyDescent="0.25">
      <c r="A22" s="11" t="s">
        <v>4</v>
      </c>
      <c r="B22" s="11" t="s">
        <v>168</v>
      </c>
      <c r="C22" s="11" t="s">
        <v>21</v>
      </c>
      <c r="D22" s="37">
        <v>1</v>
      </c>
      <c r="E22" s="11">
        <v>700</v>
      </c>
      <c r="F22" s="11">
        <f>D22*E22</f>
        <v>700</v>
      </c>
      <c r="G22" s="19">
        <f>-F22</f>
        <v>-700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f>G22</f>
        <v>-700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37">
        <f>5%</f>
        <v>0.05</v>
      </c>
      <c r="E23" s="11">
        <f>(F18+F19)</f>
        <v>2576643.088</v>
      </c>
      <c r="F23" s="11">
        <f>D23*E23</f>
        <v>128832.1544</v>
      </c>
      <c r="G23" s="17">
        <f>-F23</f>
        <v>-128832.1544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f>G23*0.2</f>
        <v>-25766.43088</v>
      </c>
      <c r="R23" s="18">
        <v>0</v>
      </c>
      <c r="S23" s="18">
        <v>0</v>
      </c>
      <c r="T23" s="18">
        <f>G23*0.8</f>
        <v>-103065.72352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37">
        <f>5%</f>
        <v>0.05</v>
      </c>
      <c r="E24" s="11">
        <f>F16</f>
        <v>31646.16</v>
      </c>
      <c r="F24" s="11">
        <f>D24*E24</f>
        <v>1582.308</v>
      </c>
      <c r="G24" s="19">
        <f>-F24</f>
        <v>-1582.308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>G24*0.2</f>
        <v>-316.46160000000003</v>
      </c>
      <c r="O24" s="20">
        <v>0</v>
      </c>
      <c r="P24" s="20">
        <f>G24*0.8</f>
        <v>-1265.8464000000001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</row>
    <row r="25" spans="1:99" x14ac:dyDescent="0.25">
      <c r="A25" s="11" t="s">
        <v>4</v>
      </c>
      <c r="B25" s="11" t="s">
        <v>0</v>
      </c>
      <c r="C25" s="11" t="s">
        <v>169</v>
      </c>
      <c r="D25" s="37">
        <v>2.9999999999999997E-4</v>
      </c>
      <c r="E25" s="11">
        <f>F18</f>
        <v>1132104.1680000001</v>
      </c>
      <c r="F25" s="11">
        <f>D25*E25</f>
        <v>339.6312504</v>
      </c>
      <c r="G25" s="19">
        <f>-F25</f>
        <v>-339.6312504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f>G25</f>
        <v>-339.6312504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</row>
    <row r="26" spans="1:99" x14ac:dyDescent="0.25">
      <c r="A26" s="11" t="s">
        <v>4</v>
      </c>
      <c r="B26" s="11" t="s">
        <v>0</v>
      </c>
      <c r="C26" s="11" t="s">
        <v>170</v>
      </c>
      <c r="D26" s="37">
        <v>2.0000000000000001E-4</v>
      </c>
      <c r="E26" s="11">
        <f>F18</f>
        <v>1132104.1680000001</v>
      </c>
      <c r="F26" s="11">
        <f>D26*E26</f>
        <v>226.42083360000004</v>
      </c>
      <c r="G26" s="19">
        <f>-F26</f>
        <v>-226.42083360000004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f>G26</f>
        <v>-226.42083360000004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</row>
    <row r="27" spans="1:99" x14ac:dyDescent="0.25">
      <c r="A27" s="11" t="s">
        <v>4</v>
      </c>
      <c r="B27" s="11" t="s">
        <v>0</v>
      </c>
      <c r="C27" s="11" t="s">
        <v>171</v>
      </c>
      <c r="D27" s="37">
        <v>1</v>
      </c>
      <c r="E27" s="11">
        <v>250</v>
      </c>
      <c r="F27" s="11">
        <f>D27*E27</f>
        <v>250</v>
      </c>
      <c r="G27" s="19">
        <f>-F27</f>
        <v>-250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f>G27</f>
        <v>-250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</row>
    <row r="28" spans="1:99" x14ac:dyDescent="0.25">
      <c r="A28" s="11" t="s">
        <v>4</v>
      </c>
      <c r="B28" s="11" t="s">
        <v>0</v>
      </c>
      <c r="C28" s="11" t="s">
        <v>172</v>
      </c>
      <c r="D28" s="37">
        <v>2.9999999999999997E-4</v>
      </c>
      <c r="E28" s="11">
        <f>F18</f>
        <v>1132104.1680000001</v>
      </c>
      <c r="F28" s="11">
        <f>D28*E28</f>
        <v>339.6312504</v>
      </c>
      <c r="G28" s="19">
        <f>-F28</f>
        <v>-339.6312504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f>G28</f>
        <v>-339.6312504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</row>
    <row r="29" spans="1:99" x14ac:dyDescent="0.25">
      <c r="A29" s="11" t="s">
        <v>4</v>
      </c>
      <c r="B29" s="11" t="s">
        <v>0</v>
      </c>
      <c r="C29" s="11" t="s">
        <v>173</v>
      </c>
      <c r="D29" s="37">
        <v>2.0000000000000001E-4</v>
      </c>
      <c r="E29" s="11">
        <f>F18</f>
        <v>1132104.1680000001</v>
      </c>
      <c r="F29" s="11">
        <f>D29*E29</f>
        <v>226.42083360000004</v>
      </c>
      <c r="G29" s="19">
        <f>-F29</f>
        <v>-226.42083360000004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f t="shared" ref="AN29:AN32" si="4">G29</f>
        <v>-226.42083360000004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</row>
    <row r="30" spans="1:99" x14ac:dyDescent="0.25">
      <c r="A30" s="11" t="s">
        <v>4</v>
      </c>
      <c r="B30" s="11" t="s">
        <v>0</v>
      </c>
      <c r="C30" s="11" t="s">
        <v>174</v>
      </c>
      <c r="D30" s="37">
        <v>1</v>
      </c>
      <c r="E30" s="11">
        <v>250</v>
      </c>
      <c r="F30" s="11">
        <f>D30*E30</f>
        <v>250</v>
      </c>
      <c r="G30" s="19">
        <f>-F30</f>
        <v>-250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f t="shared" si="4"/>
        <v>-250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37">
        <v>8.9999999999999993E-3</v>
      </c>
      <c r="E31" s="11">
        <f>F18</f>
        <v>1132104.1680000001</v>
      </c>
      <c r="F31" s="11">
        <f>D31*E31</f>
        <v>10188.937512</v>
      </c>
      <c r="G31" s="19">
        <f>-F31</f>
        <v>-10188.937512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f>$G$31/16</f>
        <v>-636.80859450000003</v>
      </c>
      <c r="Y31" s="20">
        <f t="shared" ref="Y31:AM31" si="5">$G$31/16</f>
        <v>-636.80859450000003</v>
      </c>
      <c r="Z31" s="20">
        <f t="shared" si="5"/>
        <v>-636.80859450000003</v>
      </c>
      <c r="AA31" s="20">
        <f t="shared" si="5"/>
        <v>-636.80859450000003</v>
      </c>
      <c r="AB31" s="20">
        <f t="shared" si="5"/>
        <v>-636.80859450000003</v>
      </c>
      <c r="AC31" s="20">
        <f t="shared" si="5"/>
        <v>-636.80859450000003</v>
      </c>
      <c r="AD31" s="20">
        <f t="shared" si="5"/>
        <v>-636.80859450000003</v>
      </c>
      <c r="AE31" s="20">
        <f t="shared" si="5"/>
        <v>-636.80859450000003</v>
      </c>
      <c r="AF31" s="20">
        <f t="shared" si="5"/>
        <v>-636.80859450000003</v>
      </c>
      <c r="AG31" s="20">
        <f t="shared" si="5"/>
        <v>-636.80859450000003</v>
      </c>
      <c r="AH31" s="20">
        <f t="shared" si="5"/>
        <v>-636.80859450000003</v>
      </c>
      <c r="AI31" s="20">
        <f t="shared" si="5"/>
        <v>-636.80859450000003</v>
      </c>
      <c r="AJ31" s="20">
        <f t="shared" si="5"/>
        <v>-636.80859450000003</v>
      </c>
      <c r="AK31" s="20">
        <f t="shared" si="5"/>
        <v>-636.80859450000003</v>
      </c>
      <c r="AL31" s="20">
        <f t="shared" si="5"/>
        <v>-636.80859450000003</v>
      </c>
      <c r="AM31" s="20">
        <f t="shared" si="5"/>
        <v>-636.80859450000003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</row>
    <row r="32" spans="1:99" x14ac:dyDescent="0.25">
      <c r="A32" s="11" t="s">
        <v>4</v>
      </c>
      <c r="B32" s="11" t="s">
        <v>0</v>
      </c>
      <c r="C32" s="11" t="s">
        <v>175</v>
      </c>
      <c r="D32" s="37">
        <v>2.5000000000000001E-3</v>
      </c>
      <c r="E32" s="11">
        <f>20*65*1.2*725.71</f>
        <v>1132107.6000000001</v>
      </c>
      <c r="F32" s="11">
        <f>D32*E32</f>
        <v>2830.2690000000002</v>
      </c>
      <c r="G32" s="19">
        <f>-F32</f>
        <v>-2830.2690000000002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f t="shared" si="4"/>
        <v>-2830.2690000000002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0</v>
      </c>
      <c r="CS32" s="20">
        <v>0</v>
      </c>
      <c r="CT32" s="20">
        <v>0</v>
      </c>
      <c r="CU32" s="20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35">
        <v>1</v>
      </c>
      <c r="E33" s="21">
        <v>2500</v>
      </c>
      <c r="F33" s="21">
        <f>D33*E33</f>
        <v>2500</v>
      </c>
      <c r="G33" s="22">
        <f>-F33</f>
        <v>-2500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4">
        <f>G33</f>
        <v>-2500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</row>
    <row r="34" spans="1:99" x14ac:dyDescent="0.25">
      <c r="A34" s="11" t="s">
        <v>4</v>
      </c>
      <c r="B34" s="11" t="s">
        <v>24</v>
      </c>
      <c r="C34" s="11" t="s">
        <v>176</v>
      </c>
      <c r="D34" s="38">
        <v>2.5000000000000001E-3</v>
      </c>
      <c r="E34" s="21">
        <f>-0.8*SUM(G2:G32,G41:G42)</f>
        <v>2820721.4423571713</v>
      </c>
      <c r="F34" s="21">
        <f>D34*E34</f>
        <v>7051.8036058929283</v>
      </c>
      <c r="G34" s="19">
        <f>-F34</f>
        <v>-7051.8036058929283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f>G34</f>
        <v>-7051.8036058929283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35">
        <v>1</v>
      </c>
      <c r="E35" s="21">
        <v>250</v>
      </c>
      <c r="F35" s="21">
        <f>D35*E35</f>
        <v>250</v>
      </c>
      <c r="G35" s="19">
        <f>-F35</f>
        <v>-250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f>G35</f>
        <v>-250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38">
        <v>2.5000000000000001E-3</v>
      </c>
      <c r="E36" s="21">
        <f>-0.8*SUM(G2:G32,G41:G42)</f>
        <v>2820721.4423571713</v>
      </c>
      <c r="F36" s="21">
        <f>D36*E36</f>
        <v>7051.8036058929283</v>
      </c>
      <c r="G36" s="19">
        <f>-F36</f>
        <v>-7051.8036058929283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f>G36</f>
        <v>-7051.8036058929283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38">
        <v>1E-3</v>
      </c>
      <c r="E37" s="21">
        <f>-0.8*SUM(G2:G32,G41:G42)</f>
        <v>2820721.4423571713</v>
      </c>
      <c r="F37" s="21">
        <f>D37*E37</f>
        <v>2820.7214423571713</v>
      </c>
      <c r="G37" s="19">
        <f>-F37</f>
        <v>-2820.7214423571713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f>G37</f>
        <v>-2820.7214423571713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</row>
    <row r="38" spans="1:99" x14ac:dyDescent="0.25">
      <c r="A38" s="11" t="s">
        <v>4</v>
      </c>
      <c r="B38" s="11" t="s">
        <v>24</v>
      </c>
      <c r="C38" s="11" t="s">
        <v>96</v>
      </c>
      <c r="D38" s="38">
        <f>intereses!C5</f>
        <v>3.5000000000000003E-2</v>
      </c>
      <c r="E38" s="21">
        <f>0.8*(SUM(F2:F42)-F44-F45)</f>
        <v>2221473.5001651994</v>
      </c>
      <c r="F38" s="21">
        <v>203275.24</v>
      </c>
      <c r="G38" s="19"/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-6479.2977083333335</v>
      </c>
      <c r="AO38" s="20">
        <v>-6380.3259284862716</v>
      </c>
      <c r="AP38" s="20">
        <v>-6281.0654809479902</v>
      </c>
      <c r="AQ38" s="20">
        <v>-6181.5155237710551</v>
      </c>
      <c r="AR38" s="20">
        <v>-6081.6752125523544</v>
      </c>
      <c r="AS38" s="20">
        <v>-5981.5437004259329</v>
      </c>
      <c r="AT38" s="20">
        <v>-5881.1201380558077</v>
      </c>
      <c r="AU38" s="20">
        <v>-5780.4036736287699</v>
      </c>
      <c r="AV38" s="20">
        <v>-5679.3934528471545</v>
      </c>
      <c r="AW38" s="20">
        <v>-5578.0886189215926</v>
      </c>
      <c r="AX38" s="20">
        <v>-5476.4883125637461</v>
      </c>
      <c r="AY38" s="20">
        <v>-5374.5916719790239</v>
      </c>
      <c r="AZ38" s="20">
        <v>-5272.3978328592621</v>
      </c>
      <c r="BA38" s="20">
        <v>-5169.9059283754023</v>
      </c>
      <c r="BB38" s="20">
        <v>-5067.11508917013</v>
      </c>
      <c r="BC38" s="20">
        <v>-4964.0244433505095</v>
      </c>
      <c r="BD38" s="25">
        <v>-4860.6331164805815</v>
      </c>
      <c r="BE38" s="25">
        <v>-4756.9402315739508</v>
      </c>
      <c r="BF38" s="25">
        <v>-4652.9449090863409</v>
      </c>
      <c r="BG38" s="25">
        <v>-4548.646266908142</v>
      </c>
      <c r="BH38" s="25">
        <v>-4444.0434203569239</v>
      </c>
      <c r="BI38" s="25">
        <v>-4339.1354821699306</v>
      </c>
      <c r="BJ38" s="25">
        <v>-4233.9215624965609</v>
      </c>
      <c r="BK38" s="25">
        <v>-4128.4007688908086</v>
      </c>
      <c r="BL38" s="25">
        <v>-4022.5722063037069</v>
      </c>
      <c r="BM38" s="25">
        <v>-3916.4349770757262</v>
      </c>
      <c r="BN38" s="25">
        <v>-3809.9881809291633</v>
      </c>
      <c r="BO38" s="25">
        <v>-3703.2309149605071</v>
      </c>
      <c r="BP38" s="25">
        <v>-3596.1622736327759</v>
      </c>
      <c r="BQ38" s="25">
        <v>-3488.7813487678368</v>
      </c>
      <c r="BR38" s="25">
        <v>-3381.0872295387098</v>
      </c>
      <c r="BS38" s="25">
        <v>-3273.0790024618309</v>
      </c>
      <c r="BT38" s="25">
        <v>-3164.7557513893116</v>
      </c>
      <c r="BU38" s="25">
        <v>-3056.1165575011637</v>
      </c>
      <c r="BV38" s="25">
        <v>-2947.1604992975085</v>
      </c>
      <c r="BW38" s="25">
        <v>-2837.8866525907597</v>
      </c>
      <c r="BX38" s="25">
        <v>-2728.2940904977822</v>
      </c>
      <c r="BY38" s="25">
        <v>-2618.3818834320346</v>
      </c>
      <c r="BZ38" s="25">
        <v>-2508.1490990956777</v>
      </c>
      <c r="CA38" s="25">
        <v>-2397.5948024716727</v>
      </c>
      <c r="CB38" s="25">
        <v>-2286.7180558158484</v>
      </c>
      <c r="CC38" s="25">
        <v>-2175.5179186489449</v>
      </c>
      <c r="CD38" s="25">
        <v>-2063.9934477486377</v>
      </c>
      <c r="CE38" s="25">
        <v>-1952.1436971415374</v>
      </c>
      <c r="CF38" s="25">
        <v>-1839.9677180951669</v>
      </c>
      <c r="CG38" s="25">
        <v>-1727.4645591099113</v>
      </c>
      <c r="CH38" s="25">
        <v>-1614.6332659109485</v>
      </c>
      <c r="CI38" s="25">
        <v>-1501.4728814401551</v>
      </c>
      <c r="CJ38" s="25">
        <v>-1387.9824458479891</v>
      </c>
      <c r="CK38" s="25">
        <v>-1274.1609964853453</v>
      </c>
      <c r="CL38" s="25">
        <v>-1160.0075678953945</v>
      </c>
      <c r="CM38" s="25">
        <v>-1045.521191805389</v>
      </c>
      <c r="CN38" s="25">
        <v>-930.70089711845469</v>
      </c>
      <c r="CO38" s="25">
        <v>-815.54570990535035</v>
      </c>
      <c r="CP38" s="25">
        <v>-700.05465339620741</v>
      </c>
      <c r="CQ38" s="25">
        <v>-584.22674797224613</v>
      </c>
      <c r="CR38" s="25">
        <v>-468.06101115746515</v>
      </c>
      <c r="CS38" s="25">
        <v>-351.55645761030775</v>
      </c>
      <c r="CT38" s="25">
        <v>-234.7120991153044</v>
      </c>
      <c r="CU38" s="25">
        <v>-117.52694457469057</v>
      </c>
    </row>
    <row r="39" spans="1:99" x14ac:dyDescent="0.25">
      <c r="A39" s="11" t="s">
        <v>4</v>
      </c>
      <c r="B39" s="11" t="s">
        <v>24</v>
      </c>
      <c r="C39" s="11" t="s">
        <v>39</v>
      </c>
      <c r="D39" s="38">
        <f>intereses!E5</f>
        <v>0.05</v>
      </c>
      <c r="E39" s="21">
        <f>-0.8*SUM(G2:G32,G41:G42)</f>
        <v>2820721.4423571713</v>
      </c>
      <c r="F39" s="21">
        <v>100938.7</v>
      </c>
      <c r="G39" s="19"/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11">
        <v>-11753.005999999999</v>
      </c>
      <c r="Y39" s="11">
        <v>-11041.127800295095</v>
      </c>
      <c r="Z39" s="11">
        <v>-10326.283441424752</v>
      </c>
      <c r="AA39" s="11">
        <v>-9608.4605643924478</v>
      </c>
      <c r="AB39" s="11">
        <v>-8887.6467587058451</v>
      </c>
      <c r="AC39" s="11">
        <v>-8163.8295621622128</v>
      </c>
      <c r="AD39" s="11">
        <v>-7436.9964606329813</v>
      </c>
      <c r="AE39" s="11">
        <v>-6707.13488784738</v>
      </c>
      <c r="AF39" s="11">
        <v>-5974.2322251751721</v>
      </c>
      <c r="AG39" s="11">
        <v>-5238.2758014084957</v>
      </c>
      <c r="AH39" s="11">
        <v>-4499.2528925427914</v>
      </c>
      <c r="AI39" s="11">
        <v>-3757.1507215568136</v>
      </c>
      <c r="AJ39" s="11">
        <v>-3011.956458191728</v>
      </c>
      <c r="AK39" s="11">
        <v>-2263.6572187292873</v>
      </c>
      <c r="AL39" s="11">
        <v>-1512.2400657690873</v>
      </c>
      <c r="AM39" s="11">
        <v>-757.69200800488568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38">
        <v>2.5000000000000001E-3</v>
      </c>
      <c r="E40" s="21">
        <f>-0.8*SUM(G2:G32,G41:G42)</f>
        <v>2820721.4423571713</v>
      </c>
      <c r="F40" s="21">
        <f>D40*E40</f>
        <v>7051.8036058929283</v>
      </c>
      <c r="G40" s="19">
        <f>-F40</f>
        <v>-7051.8036058929283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f>G40</f>
        <v>-7051.8036058929283</v>
      </c>
    </row>
    <row r="41" spans="1:99" x14ac:dyDescent="0.25">
      <c r="A41" s="11" t="s">
        <v>4</v>
      </c>
      <c r="B41" s="11" t="s">
        <v>1</v>
      </c>
      <c r="C41" s="11" t="s">
        <v>22</v>
      </c>
      <c r="D41" s="37">
        <f>10*8</f>
        <v>80</v>
      </c>
      <c r="E41" s="11">
        <v>700</v>
      </c>
      <c r="F41" s="21">
        <f>D41*E41</f>
        <v>56000</v>
      </c>
      <c r="G41" s="17">
        <f>-F41</f>
        <v>-56000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f t="shared" ref="Y41:AF41" si="6">$G$41/8</f>
        <v>-7000</v>
      </c>
      <c r="Z41" s="18">
        <f t="shared" si="6"/>
        <v>-7000</v>
      </c>
      <c r="AA41" s="18">
        <f t="shared" si="6"/>
        <v>-7000</v>
      </c>
      <c r="AB41" s="18">
        <f t="shared" si="6"/>
        <v>-7000</v>
      </c>
      <c r="AC41" s="18">
        <f t="shared" si="6"/>
        <v>-7000</v>
      </c>
      <c r="AD41" s="18">
        <f t="shared" si="6"/>
        <v>-7000</v>
      </c>
      <c r="AE41" s="18">
        <f t="shared" si="6"/>
        <v>-7000</v>
      </c>
      <c r="AF41" s="18">
        <f t="shared" si="6"/>
        <v>-7000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37">
        <f>10*8</f>
        <v>80</v>
      </c>
      <c r="E42" s="11">
        <v>200</v>
      </c>
      <c r="F42" s="21">
        <f>D42*E42</f>
        <v>16000</v>
      </c>
      <c r="G42" s="19">
        <f>-$F$42</f>
        <v>-16000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f t="shared" ref="Y42:AF42" si="7">$G$42/8</f>
        <v>-2000</v>
      </c>
      <c r="Z42" s="20">
        <f t="shared" si="7"/>
        <v>-2000</v>
      </c>
      <c r="AA42" s="20">
        <f t="shared" si="7"/>
        <v>-2000</v>
      </c>
      <c r="AB42" s="20">
        <f t="shared" si="7"/>
        <v>-2000</v>
      </c>
      <c r="AC42" s="20">
        <f t="shared" si="7"/>
        <v>-2000</v>
      </c>
      <c r="AD42" s="20">
        <f t="shared" si="7"/>
        <v>-2000</v>
      </c>
      <c r="AE42" s="20">
        <f t="shared" si="7"/>
        <v>-2000</v>
      </c>
      <c r="AF42" s="20">
        <f t="shared" si="7"/>
        <v>-2000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</row>
    <row r="43" spans="1:99" x14ac:dyDescent="0.25">
      <c r="A43" s="11" t="s">
        <v>5</v>
      </c>
      <c r="B43" s="11" t="s">
        <v>177</v>
      </c>
      <c r="C43" s="11" t="s">
        <v>145</v>
      </c>
      <c r="D43" s="37">
        <v>20</v>
      </c>
      <c r="E43" s="11">
        <f>65*2183.04</f>
        <v>141897.60000000001</v>
      </c>
      <c r="F43" s="11">
        <f>D43*E43</f>
        <v>2837952</v>
      </c>
      <c r="G43" s="19">
        <f>F43</f>
        <v>2837952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f>G43</f>
        <v>2837952</v>
      </c>
    </row>
    <row r="44" spans="1:99" x14ac:dyDescent="0.25">
      <c r="A44" s="11" t="s">
        <v>5</v>
      </c>
      <c r="B44" s="11" t="s">
        <v>178</v>
      </c>
      <c r="C44" s="11" t="s">
        <v>179</v>
      </c>
      <c r="D44" s="37">
        <v>40</v>
      </c>
      <c r="E44" s="16">
        <v>16000</v>
      </c>
      <c r="F44" s="11">
        <f>D44*E44</f>
        <v>640000</v>
      </c>
      <c r="G44" s="19">
        <f>F44</f>
        <v>640000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f>G44</f>
        <v>640000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</row>
    <row r="45" spans="1:99" x14ac:dyDescent="0.25">
      <c r="A45" s="11" t="s">
        <v>5</v>
      </c>
      <c r="B45" s="11" t="s">
        <v>178</v>
      </c>
      <c r="C45" s="11" t="s">
        <v>180</v>
      </c>
      <c r="D45" s="37">
        <v>40</v>
      </c>
      <c r="E45" s="11">
        <v>11000</v>
      </c>
      <c r="F45" s="11">
        <f>D45*E45</f>
        <v>440000</v>
      </c>
      <c r="G45" s="19">
        <f>F45</f>
        <v>440000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f>G45</f>
        <v>440000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  <c r="CT45" s="20">
        <v>0</v>
      </c>
      <c r="CU45" s="20">
        <v>0</v>
      </c>
    </row>
    <row r="46" spans="1:99" x14ac:dyDescent="0.25">
      <c r="A46" s="11" t="s">
        <v>5</v>
      </c>
      <c r="B46" s="11" t="s">
        <v>181</v>
      </c>
      <c r="C46" s="11" t="s">
        <v>182</v>
      </c>
      <c r="D46" s="37">
        <f>20*60</f>
        <v>1200</v>
      </c>
      <c r="E46" s="11">
        <v>450</v>
      </c>
      <c r="F46" s="11">
        <f>D46*E46</f>
        <v>540000</v>
      </c>
      <c r="G46" s="19">
        <f>F46</f>
        <v>540000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f>($D$46*$E$46)/60</f>
        <v>9000</v>
      </c>
      <c r="AO46" s="20">
        <f t="shared" ref="AO46:CU46" si="8">($D$46*$E$46)/60</f>
        <v>9000</v>
      </c>
      <c r="AP46" s="20">
        <f t="shared" si="8"/>
        <v>9000</v>
      </c>
      <c r="AQ46" s="20">
        <f t="shared" si="8"/>
        <v>9000</v>
      </c>
      <c r="AR46" s="20">
        <f t="shared" si="8"/>
        <v>9000</v>
      </c>
      <c r="AS46" s="20">
        <f t="shared" si="8"/>
        <v>9000</v>
      </c>
      <c r="AT46" s="20">
        <f t="shared" si="8"/>
        <v>9000</v>
      </c>
      <c r="AU46" s="20">
        <f t="shared" si="8"/>
        <v>9000</v>
      </c>
      <c r="AV46" s="20">
        <f t="shared" si="8"/>
        <v>9000</v>
      </c>
      <c r="AW46" s="20">
        <f t="shared" si="8"/>
        <v>9000</v>
      </c>
      <c r="AX46" s="20">
        <f t="shared" si="8"/>
        <v>9000</v>
      </c>
      <c r="AY46" s="20">
        <f t="shared" si="8"/>
        <v>9000</v>
      </c>
      <c r="AZ46" s="20">
        <f t="shared" si="8"/>
        <v>9000</v>
      </c>
      <c r="BA46" s="20">
        <f t="shared" si="8"/>
        <v>9000</v>
      </c>
      <c r="BB46" s="20">
        <f t="shared" si="8"/>
        <v>9000</v>
      </c>
      <c r="BC46" s="20">
        <f t="shared" si="8"/>
        <v>9000</v>
      </c>
      <c r="BD46" s="20">
        <f t="shared" si="8"/>
        <v>9000</v>
      </c>
      <c r="BE46" s="20">
        <f t="shared" si="8"/>
        <v>9000</v>
      </c>
      <c r="BF46" s="20">
        <f t="shared" si="8"/>
        <v>9000</v>
      </c>
      <c r="BG46" s="20">
        <f t="shared" si="8"/>
        <v>9000</v>
      </c>
      <c r="BH46" s="20">
        <f t="shared" si="8"/>
        <v>9000</v>
      </c>
      <c r="BI46" s="20">
        <f t="shared" si="8"/>
        <v>9000</v>
      </c>
      <c r="BJ46" s="20">
        <f t="shared" si="8"/>
        <v>9000</v>
      </c>
      <c r="BK46" s="20">
        <f t="shared" si="8"/>
        <v>9000</v>
      </c>
      <c r="BL46" s="20">
        <f t="shared" si="8"/>
        <v>9000</v>
      </c>
      <c r="BM46" s="20">
        <f t="shared" si="8"/>
        <v>9000</v>
      </c>
      <c r="BN46" s="20">
        <f t="shared" si="8"/>
        <v>9000</v>
      </c>
      <c r="BO46" s="20">
        <f t="shared" si="8"/>
        <v>9000</v>
      </c>
      <c r="BP46" s="20">
        <f t="shared" si="8"/>
        <v>9000</v>
      </c>
      <c r="BQ46" s="20">
        <f t="shared" si="8"/>
        <v>9000</v>
      </c>
      <c r="BR46" s="20">
        <f t="shared" si="8"/>
        <v>9000</v>
      </c>
      <c r="BS46" s="20">
        <f t="shared" si="8"/>
        <v>9000</v>
      </c>
      <c r="BT46" s="20">
        <f t="shared" si="8"/>
        <v>9000</v>
      </c>
      <c r="BU46" s="20">
        <f t="shared" si="8"/>
        <v>9000</v>
      </c>
      <c r="BV46" s="20">
        <f t="shared" si="8"/>
        <v>9000</v>
      </c>
      <c r="BW46" s="20">
        <f t="shared" si="8"/>
        <v>9000</v>
      </c>
      <c r="BX46" s="20">
        <f t="shared" si="8"/>
        <v>9000</v>
      </c>
      <c r="BY46" s="20">
        <f t="shared" si="8"/>
        <v>9000</v>
      </c>
      <c r="BZ46" s="20">
        <f t="shared" si="8"/>
        <v>9000</v>
      </c>
      <c r="CA46" s="20">
        <f t="shared" si="8"/>
        <v>9000</v>
      </c>
      <c r="CB46" s="20">
        <f t="shared" si="8"/>
        <v>9000</v>
      </c>
      <c r="CC46" s="20">
        <f t="shared" si="8"/>
        <v>9000</v>
      </c>
      <c r="CD46" s="20">
        <f t="shared" si="8"/>
        <v>9000</v>
      </c>
      <c r="CE46" s="20">
        <f t="shared" si="8"/>
        <v>9000</v>
      </c>
      <c r="CF46" s="20">
        <f t="shared" si="8"/>
        <v>9000</v>
      </c>
      <c r="CG46" s="20">
        <f t="shared" si="8"/>
        <v>9000</v>
      </c>
      <c r="CH46" s="20">
        <f t="shared" si="8"/>
        <v>9000</v>
      </c>
      <c r="CI46" s="20">
        <f t="shared" si="8"/>
        <v>9000</v>
      </c>
      <c r="CJ46" s="20">
        <f t="shared" si="8"/>
        <v>9000</v>
      </c>
      <c r="CK46" s="20">
        <f t="shared" si="8"/>
        <v>9000</v>
      </c>
      <c r="CL46" s="20">
        <f t="shared" si="8"/>
        <v>9000</v>
      </c>
      <c r="CM46" s="20">
        <f t="shared" si="8"/>
        <v>9000</v>
      </c>
      <c r="CN46" s="20">
        <f t="shared" si="8"/>
        <v>9000</v>
      </c>
      <c r="CO46" s="20">
        <f t="shared" si="8"/>
        <v>9000</v>
      </c>
      <c r="CP46" s="20">
        <f t="shared" si="8"/>
        <v>9000</v>
      </c>
      <c r="CQ46" s="20">
        <f t="shared" si="8"/>
        <v>9000</v>
      </c>
      <c r="CR46" s="20">
        <f t="shared" si="8"/>
        <v>9000</v>
      </c>
      <c r="CS46" s="20">
        <f t="shared" si="8"/>
        <v>9000</v>
      </c>
      <c r="CT46" s="20">
        <f t="shared" si="8"/>
        <v>9000</v>
      </c>
      <c r="CU46" s="20">
        <f t="shared" si="8"/>
        <v>9000</v>
      </c>
    </row>
    <row r="47" spans="1:99" x14ac:dyDescent="0.25">
      <c r="A47" s="11" t="s">
        <v>5</v>
      </c>
      <c r="B47" s="11" t="s">
        <v>183</v>
      </c>
      <c r="C47" s="11" t="s">
        <v>157</v>
      </c>
      <c r="D47" s="37">
        <f>60*60</f>
        <v>3600</v>
      </c>
      <c r="E47" s="11">
        <v>50</v>
      </c>
      <c r="F47" s="11">
        <f>D47*E47</f>
        <v>180000</v>
      </c>
      <c r="G47" s="42">
        <f>F47</f>
        <v>180000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f>($D$47*$E$47)/60</f>
        <v>3000</v>
      </c>
      <c r="AO47" s="20">
        <f t="shared" ref="AO47:CU47" si="9">($D$47*$E$47)/60</f>
        <v>3000</v>
      </c>
      <c r="AP47" s="20">
        <f t="shared" si="9"/>
        <v>3000</v>
      </c>
      <c r="AQ47" s="20">
        <f t="shared" si="9"/>
        <v>3000</v>
      </c>
      <c r="AR47" s="20">
        <f t="shared" si="9"/>
        <v>3000</v>
      </c>
      <c r="AS47" s="20">
        <f t="shared" si="9"/>
        <v>3000</v>
      </c>
      <c r="AT47" s="20">
        <f t="shared" si="9"/>
        <v>3000</v>
      </c>
      <c r="AU47" s="20">
        <f t="shared" si="9"/>
        <v>3000</v>
      </c>
      <c r="AV47" s="20">
        <f t="shared" si="9"/>
        <v>3000</v>
      </c>
      <c r="AW47" s="20">
        <f t="shared" si="9"/>
        <v>3000</v>
      </c>
      <c r="AX47" s="20">
        <f t="shared" si="9"/>
        <v>3000</v>
      </c>
      <c r="AY47" s="20">
        <f t="shared" si="9"/>
        <v>3000</v>
      </c>
      <c r="AZ47" s="20">
        <f t="shared" si="9"/>
        <v>3000</v>
      </c>
      <c r="BA47" s="20">
        <f t="shared" si="9"/>
        <v>3000</v>
      </c>
      <c r="BB47" s="20">
        <f t="shared" si="9"/>
        <v>3000</v>
      </c>
      <c r="BC47" s="20">
        <f t="shared" si="9"/>
        <v>3000</v>
      </c>
      <c r="BD47" s="20">
        <f t="shared" si="9"/>
        <v>3000</v>
      </c>
      <c r="BE47" s="20">
        <f t="shared" si="9"/>
        <v>3000</v>
      </c>
      <c r="BF47" s="20">
        <f t="shared" si="9"/>
        <v>3000</v>
      </c>
      <c r="BG47" s="20">
        <f t="shared" si="9"/>
        <v>3000</v>
      </c>
      <c r="BH47" s="20">
        <f t="shared" si="9"/>
        <v>3000</v>
      </c>
      <c r="BI47" s="20">
        <f t="shared" si="9"/>
        <v>3000</v>
      </c>
      <c r="BJ47" s="20">
        <f t="shared" si="9"/>
        <v>3000</v>
      </c>
      <c r="BK47" s="20">
        <f t="shared" si="9"/>
        <v>3000</v>
      </c>
      <c r="BL47" s="20">
        <f t="shared" si="9"/>
        <v>3000</v>
      </c>
      <c r="BM47" s="20">
        <f t="shared" si="9"/>
        <v>3000</v>
      </c>
      <c r="BN47" s="20">
        <f t="shared" si="9"/>
        <v>3000</v>
      </c>
      <c r="BO47" s="20">
        <f t="shared" si="9"/>
        <v>3000</v>
      </c>
      <c r="BP47" s="20">
        <f t="shared" si="9"/>
        <v>3000</v>
      </c>
      <c r="BQ47" s="20">
        <f t="shared" si="9"/>
        <v>3000</v>
      </c>
      <c r="BR47" s="20">
        <f t="shared" si="9"/>
        <v>3000</v>
      </c>
      <c r="BS47" s="20">
        <f t="shared" si="9"/>
        <v>3000</v>
      </c>
      <c r="BT47" s="20">
        <f t="shared" si="9"/>
        <v>3000</v>
      </c>
      <c r="BU47" s="20">
        <f t="shared" si="9"/>
        <v>3000</v>
      </c>
      <c r="BV47" s="20">
        <f t="shared" si="9"/>
        <v>3000</v>
      </c>
      <c r="BW47" s="20">
        <f t="shared" si="9"/>
        <v>3000</v>
      </c>
      <c r="BX47" s="20">
        <f t="shared" si="9"/>
        <v>3000</v>
      </c>
      <c r="BY47" s="20">
        <f t="shared" si="9"/>
        <v>3000</v>
      </c>
      <c r="BZ47" s="20">
        <f t="shared" si="9"/>
        <v>3000</v>
      </c>
      <c r="CA47" s="20">
        <f t="shared" si="9"/>
        <v>3000</v>
      </c>
      <c r="CB47" s="20">
        <f t="shared" si="9"/>
        <v>3000</v>
      </c>
      <c r="CC47" s="20">
        <f t="shared" si="9"/>
        <v>3000</v>
      </c>
      <c r="CD47" s="20">
        <f t="shared" si="9"/>
        <v>3000</v>
      </c>
      <c r="CE47" s="20">
        <f t="shared" si="9"/>
        <v>3000</v>
      </c>
      <c r="CF47" s="20">
        <f t="shared" si="9"/>
        <v>3000</v>
      </c>
      <c r="CG47" s="20">
        <f t="shared" si="9"/>
        <v>3000</v>
      </c>
      <c r="CH47" s="20">
        <f t="shared" si="9"/>
        <v>3000</v>
      </c>
      <c r="CI47" s="20">
        <f t="shared" si="9"/>
        <v>3000</v>
      </c>
      <c r="CJ47" s="20">
        <f t="shared" si="9"/>
        <v>3000</v>
      </c>
      <c r="CK47" s="20">
        <f t="shared" si="9"/>
        <v>3000</v>
      </c>
      <c r="CL47" s="20">
        <f t="shared" si="9"/>
        <v>3000</v>
      </c>
      <c r="CM47" s="20">
        <f t="shared" si="9"/>
        <v>3000</v>
      </c>
      <c r="CN47" s="20">
        <f t="shared" si="9"/>
        <v>3000</v>
      </c>
      <c r="CO47" s="20">
        <f t="shared" si="9"/>
        <v>3000</v>
      </c>
      <c r="CP47" s="20">
        <f t="shared" si="9"/>
        <v>3000</v>
      </c>
      <c r="CQ47" s="20">
        <f t="shared" si="9"/>
        <v>3000</v>
      </c>
      <c r="CR47" s="20">
        <f t="shared" si="9"/>
        <v>3000</v>
      </c>
      <c r="CS47" s="20">
        <f t="shared" si="9"/>
        <v>3000</v>
      </c>
      <c r="CT47" s="20">
        <f t="shared" si="9"/>
        <v>3000</v>
      </c>
      <c r="CU47" s="20">
        <f t="shared" si="9"/>
        <v>3000</v>
      </c>
    </row>
    <row r="48" spans="1:99" x14ac:dyDescent="0.25">
      <c r="A48" s="11" t="s">
        <v>184</v>
      </c>
      <c r="B48" s="11" t="s">
        <v>185</v>
      </c>
      <c r="C48" s="11" t="s">
        <v>5</v>
      </c>
      <c r="F48" s="43"/>
      <c r="G48" s="45">
        <f>SUM(F43:F47)</f>
        <v>4637952</v>
      </c>
      <c r="H48" s="3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spans="1:99" x14ac:dyDescent="0.25">
      <c r="A49" s="11" t="s">
        <v>184</v>
      </c>
      <c r="B49" s="11" t="s">
        <v>185</v>
      </c>
      <c r="C49" s="11" t="s">
        <v>90</v>
      </c>
      <c r="F49" s="43"/>
      <c r="G49" s="45">
        <f>-SUM(F2:F42)</f>
        <v>-3856841.8752064994</v>
      </c>
      <c r="H49" s="39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spans="1:99" x14ac:dyDescent="0.25">
      <c r="A50" s="11" t="s">
        <v>184</v>
      </c>
      <c r="B50" s="11" t="s">
        <v>185</v>
      </c>
      <c r="C50" s="11" t="s">
        <v>186</v>
      </c>
      <c r="F50" s="43"/>
      <c r="G50" s="45">
        <f>SUM(G48:G49)</f>
        <v>781110.12479350064</v>
      </c>
      <c r="H50" s="39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spans="1:99" x14ac:dyDescent="0.25">
      <c r="A51" s="11" t="s">
        <v>184</v>
      </c>
      <c r="B51" s="11" t="s">
        <v>185</v>
      </c>
      <c r="C51" s="11" t="s">
        <v>187</v>
      </c>
      <c r="F51" s="43"/>
      <c r="G51" s="46">
        <f>G50/-G49</f>
        <v>0.20252583592156709</v>
      </c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spans="1:99" x14ac:dyDescent="0.25">
      <c r="A52" s="11" t="s">
        <v>184</v>
      </c>
      <c r="B52" s="11" t="s">
        <v>188</v>
      </c>
      <c r="C52" s="11" t="s">
        <v>189</v>
      </c>
      <c r="F52" s="43"/>
      <c r="G52" s="47"/>
      <c r="H52" s="40">
        <v>1E-3</v>
      </c>
      <c r="I52" s="25">
        <f>SUM(I2:I47)</f>
        <v>-7018</v>
      </c>
      <c r="J52" s="25">
        <v>1E-3</v>
      </c>
      <c r="K52" s="25">
        <f>SUM(K2:K47)</f>
        <v>-10053.029990080002</v>
      </c>
      <c r="L52" s="25">
        <v>1E-3</v>
      </c>
      <c r="M52" s="25">
        <f>SUM(M2:M47)</f>
        <v>-72110.216769571198</v>
      </c>
      <c r="N52" s="25">
        <f>SUM(N2:N47)</f>
        <v>-316.46160000000003</v>
      </c>
      <c r="O52" s="25">
        <v>1E-3</v>
      </c>
      <c r="P52" s="25">
        <f>SUM(P2:P47)</f>
        <v>-115677.00204415679</v>
      </c>
      <c r="Q52" s="25">
        <f>SUM(Q2:Q47)</f>
        <v>-25766.43088</v>
      </c>
      <c r="R52" s="25">
        <f>SUM(R2:R47)</f>
        <v>-3156.0299900800005</v>
      </c>
      <c r="S52" s="25">
        <v>1E-3</v>
      </c>
      <c r="T52" s="25">
        <f>SUM(T2:T47)</f>
        <v>-103065.72352</v>
      </c>
      <c r="U52" s="25">
        <v>1E-3</v>
      </c>
      <c r="V52" s="25">
        <v>1E-3</v>
      </c>
      <c r="W52" s="25">
        <f>SUM(W2:W47)</f>
        <v>-19674.328654143028</v>
      </c>
      <c r="X52" s="25">
        <f>SUM(X2:X47)</f>
        <v>-31346.608939179998</v>
      </c>
      <c r="Y52" s="25">
        <f>SUM(Y2:Y47)</f>
        <v>-48240.335526163093</v>
      </c>
      <c r="Z52" s="25">
        <f>SUM(Z2:Z47)</f>
        <v>-44755.458994949891</v>
      </c>
      <c r="AA52" s="25">
        <f>SUM(AA2:AA47)</f>
        <v>-59927.564237917584</v>
      </c>
      <c r="AB52" s="25">
        <f>SUM(AB2:AB47)</f>
        <v>-97342.577920230993</v>
      </c>
      <c r="AC52" s="25">
        <f>SUM(AC2:AC47)</f>
        <v>-92646.27869368736</v>
      </c>
      <c r="AD52" s="25">
        <f>SUM(AD2:AD47)</f>
        <v>-103836.89168215811</v>
      </c>
      <c r="AE52" s="25">
        <f>SUM(AE2:AE47)</f>
        <v>-219121.61184737249</v>
      </c>
      <c r="AF52" s="25">
        <f>SUM(AF2:AF47)</f>
        <v>-267388.68970870029</v>
      </c>
      <c r="AG52" s="25">
        <f>SUM(AG2:AG47)</f>
        <v>-264067.17582933366</v>
      </c>
      <c r="AH52" s="25">
        <f>SUM(AH2:AH47)</f>
        <v>-362488.54697406804</v>
      </c>
      <c r="AI52" s="25">
        <f>SUM(AI2:AI47)</f>
        <v>-414219.42052308196</v>
      </c>
      <c r="AJ52" s="25">
        <f>SUM(AJ2:AJ47)</f>
        <v>-510162.09760571684</v>
      </c>
      <c r="AK52" s="25">
        <f>SUM(AK2:AK47)</f>
        <v>-370140.38904065435</v>
      </c>
      <c r="AL52" s="25">
        <f>SUM(AL2:AL47)</f>
        <v>-285573.00355489418</v>
      </c>
      <c r="AM52" s="25">
        <f>SUM(AM2:AM47)</f>
        <v>-107015.56079513003</v>
      </c>
      <c r="AN52" s="25">
        <f>SUM(AN2:AN47)</f>
        <v>1074115.0631454908</v>
      </c>
      <c r="AO52" s="25">
        <f>SUM(AO2:AO47)</f>
        <v>5619.6740715137284</v>
      </c>
      <c r="AP52" s="25">
        <f>SUM(AP2:AP47)</f>
        <v>5718.9345190520098</v>
      </c>
      <c r="AQ52" s="25">
        <f>SUM(AQ2:AQ47)</f>
        <v>5818.4844762289449</v>
      </c>
      <c r="AR52" s="25">
        <f>SUM(AR2:AR47)</f>
        <v>5918.3247874476456</v>
      </c>
      <c r="AS52" s="25">
        <f>SUM(AS2:AS47)</f>
        <v>6018.4562995740671</v>
      </c>
      <c r="AT52" s="25">
        <f>SUM(AT2:AT47)</f>
        <v>6118.8798619441923</v>
      </c>
      <c r="AU52" s="25">
        <f>SUM(AU2:AU47)</f>
        <v>6219.5963263712301</v>
      </c>
      <c r="AV52" s="25">
        <f>SUM(AV2:AV47)</f>
        <v>6320.6065471528455</v>
      </c>
      <c r="AW52" s="25">
        <f>SUM(AW2:AW47)</f>
        <v>6421.9113810784074</v>
      </c>
      <c r="AX52" s="25">
        <f>SUM(AX2:AX47)</f>
        <v>6523.5116874362539</v>
      </c>
      <c r="AY52" s="25">
        <f>SUM(AY2:AY47)</f>
        <v>6625.4083280209761</v>
      </c>
      <c r="AZ52" s="25">
        <f>SUM(AZ2:AZ47)</f>
        <v>6727.6021671407379</v>
      </c>
      <c r="BA52" s="25">
        <f>SUM(BA2:BA47)</f>
        <v>6830.0940716245977</v>
      </c>
      <c r="BB52" s="25">
        <f>SUM(BB2:BB47)</f>
        <v>6932.88491082987</v>
      </c>
      <c r="BC52" s="25">
        <f>SUM(BC2:BC47)</f>
        <v>7035.9755566494905</v>
      </c>
      <c r="BD52" s="25">
        <f>SUM(BD2:BD47)</f>
        <v>7139.3668835194185</v>
      </c>
      <c r="BE52" s="25">
        <f>SUM(BE2:BE47)</f>
        <v>7243.0597684260492</v>
      </c>
      <c r="BF52" s="25">
        <f>SUM(BF2:BF47)</f>
        <v>7347.0550909136591</v>
      </c>
      <c r="BG52" s="25">
        <f>SUM(BG2:BG47)</f>
        <v>7451.353733091858</v>
      </c>
      <c r="BH52" s="25">
        <f>SUM(BH2:BH47)</f>
        <v>7555.9565796430761</v>
      </c>
      <c r="BI52" s="25">
        <f>SUM(BI2:BI47)</f>
        <v>7660.8645178300694</v>
      </c>
      <c r="BJ52" s="25">
        <f>SUM(BJ2:BJ47)</f>
        <v>7766.0784375034391</v>
      </c>
      <c r="BK52" s="25">
        <f>SUM(BK2:BK47)</f>
        <v>7871.5992311091914</v>
      </c>
      <c r="BL52" s="25">
        <f>SUM(BL2:BL47)</f>
        <v>7977.4277936962935</v>
      </c>
      <c r="BM52" s="25">
        <f>SUM(BM2:BM47)</f>
        <v>8083.5650229242738</v>
      </c>
      <c r="BN52" s="25">
        <f>SUM(BN2:BN47)</f>
        <v>8190.0118190708363</v>
      </c>
      <c r="BO52" s="25">
        <f>SUM(BO2:BO47)</f>
        <v>8296.7690850394938</v>
      </c>
      <c r="BP52" s="25">
        <f>SUM(BP2:BP47)</f>
        <v>8403.8377263672246</v>
      </c>
      <c r="BQ52" s="25">
        <f>SUM(BQ2:BQ47)</f>
        <v>8511.2186512321641</v>
      </c>
      <c r="BR52" s="25">
        <f>SUM(BR2:BR47)</f>
        <v>8618.9127704612911</v>
      </c>
      <c r="BS52" s="25">
        <f>SUM(BS2:BS47)</f>
        <v>8726.9209975381691</v>
      </c>
      <c r="BT52" s="25">
        <f>SUM(BT2:BT47)</f>
        <v>8835.2442486106884</v>
      </c>
      <c r="BU52" s="25">
        <f>SUM(BU2:BU47)</f>
        <v>8943.8834424988363</v>
      </c>
      <c r="BV52" s="25">
        <f>SUM(BV2:BV47)</f>
        <v>9052.8395007024919</v>
      </c>
      <c r="BW52" s="25">
        <f>SUM(BW2:BW47)</f>
        <v>9162.1133474092403</v>
      </c>
      <c r="BX52" s="25">
        <f>SUM(BX2:BX47)</f>
        <v>9271.7059095022178</v>
      </c>
      <c r="BY52" s="25">
        <f>SUM(BY2:BY47)</f>
        <v>9381.6181165679664</v>
      </c>
      <c r="BZ52" s="25">
        <f>SUM(BZ2:BZ47)</f>
        <v>9491.8509009043228</v>
      </c>
      <c r="CA52" s="25">
        <f>SUM(CA2:CA47)</f>
        <v>9602.4051975283273</v>
      </c>
      <c r="CB52" s="25">
        <f>SUM(CB2:CB47)</f>
        <v>9713.2819441841511</v>
      </c>
      <c r="CC52" s="25">
        <f>SUM(CC2:CC47)</f>
        <v>9824.482081351056</v>
      </c>
      <c r="CD52" s="25">
        <f>SUM(CD2:CD47)</f>
        <v>9936.0065522513614</v>
      </c>
      <c r="CE52" s="25">
        <f>SUM(CE2:CE47)</f>
        <v>10047.856302858463</v>
      </c>
      <c r="CF52" s="25">
        <f>SUM(CF2:CF47)</f>
        <v>10160.032281904834</v>
      </c>
      <c r="CG52" s="25">
        <f>SUM(CG2:CG47)</f>
        <v>10272.535440890089</v>
      </c>
      <c r="CH52" s="25">
        <f>SUM(CH2:CH47)</f>
        <v>10385.366734089052</v>
      </c>
      <c r="CI52" s="25">
        <f>SUM(CI2:CI47)</f>
        <v>10498.527118559845</v>
      </c>
      <c r="CJ52" s="25">
        <f>SUM(CJ2:CJ47)</f>
        <v>10612.017554152011</v>
      </c>
      <c r="CK52" s="25">
        <f>SUM(CK2:CK47)</f>
        <v>10725.839003514655</v>
      </c>
      <c r="CL52" s="25">
        <f>SUM(CL2:CL47)</f>
        <v>10839.992432104606</v>
      </c>
      <c r="CM52" s="25">
        <f>SUM(CM2:CM47)</f>
        <v>10954.47880819461</v>
      </c>
      <c r="CN52" s="25">
        <f>SUM(CN2:CN47)</f>
        <v>11069.299102881545</v>
      </c>
      <c r="CO52" s="25">
        <f>SUM(CO2:CO47)</f>
        <v>11184.454290094651</v>
      </c>
      <c r="CP52" s="25">
        <f>SUM(CP2:CP47)</f>
        <v>11299.945346603792</v>
      </c>
      <c r="CQ52" s="25">
        <f>SUM(CQ2:CQ47)</f>
        <v>11415.773252027753</v>
      </c>
      <c r="CR52" s="25">
        <f>SUM(CR2:CR47)</f>
        <v>11531.938988842536</v>
      </c>
      <c r="CS52" s="25">
        <f>SUM(CS2:CS47)</f>
        <v>11648.443542389692</v>
      </c>
      <c r="CT52" s="25">
        <f>SUM(CT2:CT47)</f>
        <v>11765.287900884696</v>
      </c>
      <c r="CU52" s="25">
        <f>SUM(CU2:CU47)</f>
        <v>2842782.6694495324</v>
      </c>
    </row>
    <row r="53" spans="1:99" x14ac:dyDescent="0.25">
      <c r="A53" s="11" t="s">
        <v>184</v>
      </c>
      <c r="B53" s="11" t="s">
        <v>188</v>
      </c>
      <c r="C53" s="11" t="s">
        <v>190</v>
      </c>
      <c r="F53" s="43"/>
      <c r="G53" s="46">
        <f>SUM(H52:CU52)</f>
        <v>781109.86671568709</v>
      </c>
      <c r="H53" s="28">
        <f>SUM(H52:R52)</f>
        <v>-234097.16727388796</v>
      </c>
      <c r="I53" s="28"/>
      <c r="J53" s="28"/>
      <c r="K53" s="28"/>
      <c r="L53" s="28"/>
      <c r="M53" s="28"/>
      <c r="N53" s="28"/>
      <c r="O53" s="28"/>
      <c r="P53" s="28"/>
      <c r="Q53" s="28"/>
      <c r="R53" s="29"/>
      <c r="S53" s="27">
        <f>SUM(S52:AD52)</f>
        <v>-600835.76516843005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9"/>
      <c r="AE53" s="27">
        <f>SUM(AE52:AP52)</f>
        <v>-1714722.8241428954</v>
      </c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27">
        <f>SUM(AQ52:BB52)</f>
        <v>76475.760844849763</v>
      </c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9"/>
      <c r="BC53" s="27">
        <f>SUM(BC52:BN52)</f>
        <v>91322.314434377651</v>
      </c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9"/>
      <c r="BO53" s="27">
        <f>SUM(BO52:BZ52)</f>
        <v>106696.91469683409</v>
      </c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9"/>
      <c r="CA53" s="27">
        <f>SUM(CA52:CL52)</f>
        <v>122618.34264338846</v>
      </c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9"/>
      <c r="CM53" s="27">
        <f>SUM(CM52:CU52)</f>
        <v>2933652.2906814516</v>
      </c>
      <c r="CN53" s="28"/>
      <c r="CO53" s="28"/>
      <c r="CP53" s="28"/>
      <c r="CQ53" s="28"/>
      <c r="CR53" s="28"/>
      <c r="CS53" s="28"/>
      <c r="CT53" s="28"/>
      <c r="CU53" s="29"/>
    </row>
    <row r="54" spans="1:99" x14ac:dyDescent="0.25">
      <c r="A54" s="11" t="s">
        <v>184</v>
      </c>
      <c r="B54" s="11" t="s">
        <v>191</v>
      </c>
      <c r="C54" s="11" t="s">
        <v>192</v>
      </c>
      <c r="F54" s="43"/>
      <c r="G54" s="45">
        <v>0.06</v>
      </c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spans="1:99" x14ac:dyDescent="0.25">
      <c r="A55" s="11" t="s">
        <v>184</v>
      </c>
      <c r="B55" s="11" t="s">
        <v>191</v>
      </c>
      <c r="C55" s="11" t="s">
        <v>91</v>
      </c>
      <c r="F55" s="43"/>
      <c r="G55" s="45">
        <f xml:space="preserve"> (1+G54)^(1/12)-1</f>
        <v>4.8675505653430484E-3</v>
      </c>
      <c r="H55" s="39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spans="1:99" x14ac:dyDescent="0.25">
      <c r="A56" s="11" t="s">
        <v>184</v>
      </c>
      <c r="B56" s="11" t="s">
        <v>191</v>
      </c>
      <c r="C56" s="11" t="s">
        <v>92</v>
      </c>
      <c r="F56" s="43"/>
      <c r="G56" s="45">
        <v>5.0000000000000001E-4</v>
      </c>
      <c r="H56" s="39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spans="1:99" x14ac:dyDescent="0.25">
      <c r="A57" s="11" t="s">
        <v>184</v>
      </c>
      <c r="B57" s="11" t="s">
        <v>193</v>
      </c>
      <c r="C57" s="11" t="s">
        <v>93</v>
      </c>
      <c r="F57" s="43"/>
      <c r="G57" s="45">
        <f>NPV(G55,Q52:CU52)+SUM(H52:P52)</f>
        <v>-123765.06253565954</v>
      </c>
      <c r="H57" s="4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</row>
    <row r="58" spans="1:99" x14ac:dyDescent="0.25">
      <c r="A58" s="11" t="s">
        <v>184</v>
      </c>
      <c r="B58" s="11" t="s">
        <v>193</v>
      </c>
      <c r="C58" s="11" t="s">
        <v>94</v>
      </c>
      <c r="F58" s="43"/>
      <c r="G58" s="45">
        <f>CU58</f>
        <v>3.2878795026918262E-3</v>
      </c>
      <c r="H58" s="40"/>
      <c r="I58" s="25">
        <f>MIRR(H52:I52,G56,G55)</f>
        <v>-0.99999985674408887</v>
      </c>
      <c r="J58" s="25">
        <f>MIRR($H$52:J52,$G$56,$G$55)</f>
        <v>-0.99946472885376048</v>
      </c>
      <c r="K58" s="25">
        <f>MIRR($H$52:K52,$G$56,$G$55)</f>
        <v>-0.995089165990656</v>
      </c>
      <c r="L58" s="25">
        <f>MIRR($H$52:L52,$G$56,$G$55)</f>
        <v>-0.97946988466495488</v>
      </c>
      <c r="M58" s="25">
        <f>MIRR($H$52:M52,$G$56,$G$55)</f>
        <v>-0.96787588376659794</v>
      </c>
      <c r="N58" s="25">
        <f>MIRR($H$52:N52,$G$56,$G$55)</f>
        <v>-0.9430114078014592</v>
      </c>
      <c r="O58" s="25">
        <f>MIRR($H$52:O52,$G$56,$G$55)</f>
        <v>-0.91060596882498623</v>
      </c>
      <c r="P58" s="25">
        <f>MIRR($H$52:P52,$G$56,$G$55)</f>
        <v>-0.8909379553422232</v>
      </c>
      <c r="Q58" s="25">
        <f>MIRR($H$52:Q52,$G$56,$G$55)</f>
        <v>-0.86223739976983427</v>
      </c>
      <c r="R58" s="25">
        <f>MIRR($H$52:R52,$G$56,$G$55)</f>
        <v>-0.83218122455217125</v>
      </c>
      <c r="S58" s="25">
        <f>MIRR($H$52:S52,$G$56,$G$55)</f>
        <v>-0.79861923563911985</v>
      </c>
      <c r="T58" s="25">
        <f>MIRR($H$52:T52,$G$56,$G$55)</f>
        <v>-0.77663382714272</v>
      </c>
      <c r="U58" s="25">
        <f>MIRR($H$52:U52,$G$56,$G$55)</f>
        <v>-0.74582837167598881</v>
      </c>
      <c r="V58" s="25">
        <f>MIRR($H$52:V52,$G$56,$G$55)</f>
        <v>-0.71661060224634876</v>
      </c>
      <c r="W58" s="25">
        <f>MIRR($H$52:W52,$G$56,$G$55)</f>
        <v>-0.69281840035108511</v>
      </c>
      <c r="X58" s="25">
        <f>MIRR($H$52:X52,$G$56,$G$55)</f>
        <v>-0.67093076428839993</v>
      </c>
      <c r="Y58" s="25">
        <f>MIRR($H$52:Y52,$G$56,$G$55)</f>
        <v>-0.65100068341228035</v>
      </c>
      <c r="Z58" s="25">
        <f>MIRR($H$52:Z52,$G$56,$G$55)</f>
        <v>-0.63187639793692985</v>
      </c>
      <c r="AA58" s="25">
        <f>MIRR($H$52:AA52,$G$56,$G$55)</f>
        <v>-0.61427803373664136</v>
      </c>
      <c r="AB58" s="25">
        <f>MIRR($H$52:AB52,$G$56,$G$55)</f>
        <v>-0.59868307388671704</v>
      </c>
      <c r="AC58" s="25">
        <f>MIRR($H$52:AC52,$G$56,$G$55)</f>
        <v>-0.58343998706187028</v>
      </c>
      <c r="AD58" s="25">
        <f>MIRR($H$52:AD52,$G$56,$G$55)</f>
        <v>-0.56902818798425792</v>
      </c>
      <c r="AE58" s="25">
        <f>MIRR($H$52:AE52,$G$56,$G$55)</f>
        <v>-0.55736150531828632</v>
      </c>
      <c r="AF58" s="25">
        <f>MIRR($H$52:AF52,$G$56,$G$55)</f>
        <v>-0.54625975761963053</v>
      </c>
      <c r="AG58" s="25">
        <f>MIRR($H$52:AG52,$G$56,$G$55)</f>
        <v>-0.53498773902875651</v>
      </c>
      <c r="AH58" s="25">
        <f>MIRR($H$52:AH52,$G$56,$G$55)</f>
        <v>-0.52476708000502836</v>
      </c>
      <c r="AI58" s="25">
        <f>MIRR($H$52:AI52,$G$56,$G$55)</f>
        <v>-0.51486906214561401</v>
      </c>
      <c r="AJ58" s="25">
        <f>MIRR($H$52:AJ52,$G$56,$G$55)</f>
        <v>-0.50554203429493971</v>
      </c>
      <c r="AK58" s="25">
        <f>MIRR($H$52:AK52,$G$56,$G$55)</f>
        <v>-0.49540905865899487</v>
      </c>
      <c r="AL58" s="25">
        <f>MIRR($H$52:AL52,$G$56,$G$55)</f>
        <v>-0.48513467002801747</v>
      </c>
      <c r="AM58" s="25">
        <f>MIRR($H$52:AM52,$G$56,$G$55)</f>
        <v>-0.4744129094352747</v>
      </c>
      <c r="AN58" s="25">
        <f>MIRR($H$52:AN52,$G$56,$G$55)</f>
        <v>-3.7017076425775119E-2</v>
      </c>
      <c r="AO58" s="25">
        <f>MIRR($H$52:AO52,$G$56,$G$55)</f>
        <v>-3.5622122939984902E-2</v>
      </c>
      <c r="AP58" s="25">
        <f>MIRR($H$52:AP52,$G$56,$G$55)</f>
        <v>-3.4306278133559465E-2</v>
      </c>
      <c r="AQ58" s="25">
        <f>MIRR($H$52:AQ52,$G$56,$G$55)</f>
        <v>-3.3062942765560877E-2</v>
      </c>
      <c r="AR58" s="25">
        <f>MIRR($H$52:AR52,$G$56,$G$55)</f>
        <v>-3.1886234844700434E-2</v>
      </c>
      <c r="AS58" s="25">
        <f>MIRR($H$52:AS52,$G$56,$G$55)</f>
        <v>-3.0770894711996677E-2</v>
      </c>
      <c r="AT58" s="25">
        <f>MIRR($H$52:AT52,$G$56,$G$55)</f>
        <v>-2.9712204805638298E-2</v>
      </c>
      <c r="AU58" s="25">
        <f>MIRR($H$52:AU52,$G$56,$G$55)</f>
        <v>-2.8705921525468248E-2</v>
      </c>
      <c r="AV58" s="25">
        <f>MIRR($H$52:AV52,$G$56,$G$55)</f>
        <v>-2.7748217120868945E-2</v>
      </c>
      <c r="AW58" s="25">
        <f>MIRR($H$52:AW52,$G$56,$G$55)</f>
        <v>-2.6835629923197435E-2</v>
      </c>
      <c r="AX58" s="25">
        <f>MIRR($H$52:AX52,$G$56,$G$55)</f>
        <v>-2.5965021557732726E-2</v>
      </c>
      <c r="AY58" s="25">
        <f>MIRR($H$52:AY52,$G$56,$G$55)</f>
        <v>-2.5133540019436351E-2</v>
      </c>
      <c r="AZ58" s="25">
        <f>MIRR($H$52:AZ52,$G$56,$G$55)</f>
        <v>-2.4338587696079439E-2</v>
      </c>
      <c r="BA58" s="25">
        <f>MIRR($H$52:BA52,$G$56,$G$55)</f>
        <v>-2.3577793582383766E-2</v>
      </c>
      <c r="BB58" s="25">
        <f>MIRR($H$52:BB52,$G$56,$G$55)</f>
        <v>-2.2848989058138036E-2</v>
      </c>
      <c r="BC58" s="25">
        <f>MIRR($H$52:BC52,$G$56,$G$55)</f>
        <v>-2.2150186708206232E-2</v>
      </c>
      <c r="BD58" s="25">
        <f>MIRR($H$52:BD52,$G$56,$G$55)</f>
        <v>-2.1479561747953069E-2</v>
      </c>
      <c r="BE58" s="25">
        <f>MIRR($H$52:BE52,$G$56,$G$55)</f>
        <v>-2.0835435687737491E-2</v>
      </c>
      <c r="BF58" s="25">
        <f>MIRR($H$52:BF52,$G$56,$G$55)</f>
        <v>-2.0216261927833212E-2</v>
      </c>
      <c r="BG58" s="25">
        <f>MIRR($H$52:BG52,$G$56,$G$55)</f>
        <v>-1.9620613022812261E-2</v>
      </c>
      <c r="BH58" s="25">
        <f>MIRR($H$52:BH52,$G$56,$G$55)</f>
        <v>-1.9047169393974439E-2</v>
      </c>
      <c r="BI58" s="25">
        <f>MIRR($H$52:BI52,$G$56,$G$55)</f>
        <v>-1.8494709301343448E-2</v>
      </c>
      <c r="BJ58" s="25">
        <f>MIRR($H$52:BJ52,$G$56,$G$55)</f>
        <v>-1.7962099914268115E-2</v>
      </c>
      <c r="BK58" s="25">
        <f>MIRR($H$52:BK52,$G$56,$G$55)</f>
        <v>-1.7448289342752998E-2</v>
      </c>
      <c r="BL58" s="25">
        <f>MIRR($H$52:BL52,$G$56,$G$55)</f>
        <v>-1.6952299511067692E-2</v>
      </c>
      <c r="BM58" s="25">
        <f>MIRR($H$52:BM52,$G$56,$G$55)</f>
        <v>-1.6473219771581338E-2</v>
      </c>
      <c r="BN58" s="25">
        <f>MIRR($H$52:BN52,$G$56,$G$55)</f>
        <v>-1.6010201170660876E-2</v>
      </c>
      <c r="BO58" s="25">
        <f>MIRR($H$52:BO52,$G$56,$G$55)</f>
        <v>-1.5562451290266899E-2</v>
      </c>
      <c r="BP58" s="25">
        <f>MIRR($H$52:BP52,$G$56,$G$55)</f>
        <v>-1.5129229598934035E-2</v>
      </c>
      <c r="BQ58" s="25">
        <f>MIRR($H$52:BQ52,$G$56,$G$55)</f>
        <v>-1.4709843254409272E-2</v>
      </c>
      <c r="BR58" s="25">
        <f>MIRR($H$52:BR52,$G$56,$G$55)</f>
        <v>-1.4303643307577607E-2</v>
      </c>
      <c r="BS58" s="25">
        <f>MIRR($H$52:BS52,$G$56,$G$55)</f>
        <v>-1.3910021263624617E-2</v>
      </c>
      <c r="BT58" s="25">
        <f>MIRR($H$52:BT52,$G$56,$G$55)</f>
        <v>-1.3528405961821033E-2</v>
      </c>
      <c r="BU58" s="25">
        <f>MIRR($H$52:BU52,$G$56,$G$55)</f>
        <v>-1.3158260740018579E-2</v>
      </c>
      <c r="BV58" s="25">
        <f>MIRR($H$52:BV52,$G$56,$G$55)</f>
        <v>-1.27990808540005E-2</v>
      </c>
      <c r="BW58" s="25">
        <f>MIRR($H$52:BW52,$G$56,$G$55)</f>
        <v>-1.2450391125361615E-2</v>
      </c>
      <c r="BX58" s="25">
        <f>MIRR($H$52:BX52,$G$56,$G$55)</f>
        <v>-1.2111743794650853E-2</v>
      </c>
      <c r="BY58" s="25">
        <f>MIRR($H$52:BY52,$G$56,$G$55)</f>
        <v>-1.1782716559178397E-2</v>
      </c>
      <c r="BZ58" s="25">
        <f>MIRR($H$52:BZ52,$G$56,$G$55)</f>
        <v>-1.1462910777217505E-2</v>
      </c>
      <c r="CA58" s="25">
        <f>MIRR($H$52:CA52,$G$56,$G$55)</f>
        <v>-1.1151949822369112E-2</v>
      </c>
      <c r="CB58" s="25">
        <f>MIRR($H$52:CB52,$G$56,$G$55)</f>
        <v>-1.0849477573639965E-2</v>
      </c>
      <c r="CC58" s="25">
        <f>MIRR($H$52:CC52,$G$56,$G$55)</f>
        <v>-1.0555157028351525E-2</v>
      </c>
      <c r="CD58" s="25">
        <f>MIRR($H$52:CD52,$G$56,$G$55)</f>
        <v>-1.0268669026379906E-2</v>
      </c>
      <c r="CE58" s="25">
        <f>MIRR($H$52:CE52,$G$56,$G$55)</f>
        <v>-9.9897110754344487E-3</v>
      </c>
      <c r="CF58" s="25">
        <f>MIRR($H$52:CF52,$G$56,$G$55)</f>
        <v>-9.7179962681610554E-3</v>
      </c>
      <c r="CG58" s="25">
        <f>MIRR($H$52:CG52,$G$56,$G$55)</f>
        <v>-9.4532522828024712E-3</v>
      </c>
      <c r="CH58" s="25">
        <f>MIRR($H$52:CH52,$G$56,$G$55)</f>
        <v>-9.1952204599846654E-3</v>
      </c>
      <c r="CI58" s="25">
        <f>MIRR($H$52:CI52,$G$56,$G$55)</f>
        <v>-8.9436549489496642E-3</v>
      </c>
      <c r="CJ58" s="25">
        <f>MIRR($H$52:CJ52,$G$56,$G$55)</f>
        <v>-8.6983219172107606E-3</v>
      </c>
      <c r="CK58" s="25">
        <f>MIRR($H$52:CK52,$G$56,$G$55)</f>
        <v>-8.4589988182004472E-3</v>
      </c>
      <c r="CL58" s="25">
        <f>MIRR($H$52:CL52,$G$56,$G$55)</f>
        <v>-8.2254737120022181E-3</v>
      </c>
      <c r="CM58" s="25">
        <f>MIRR($H$52:CM52,$G$56,$G$55)</f>
        <v>-7.99754463473068E-3</v>
      </c>
      <c r="CN58" s="25">
        <f>MIRR($H$52:CN52,$G$56,$G$55)</f>
        <v>-7.7750190125379648E-3</v>
      </c>
      <c r="CO58" s="25">
        <f>MIRR($H$52:CO52,$G$56,$G$55)</f>
        <v>-7.55771311660558E-3</v>
      </c>
      <c r="CP58" s="25">
        <f>MIRR($H$52:CP52,$G$56,$G$55)</f>
        <v>-7.345451555810345E-3</v>
      </c>
      <c r="CQ58" s="25">
        <f>MIRR($H$52:CQ52,$G$56,$G$55)</f>
        <v>-7.1380668040608164E-3</v>
      </c>
      <c r="CR58" s="25">
        <f>MIRR($H$52:CR52,$G$56,$G$55)</f>
        <v>-6.9353987595673905E-3</v>
      </c>
      <c r="CS58" s="25">
        <f>MIRR($H$52:CS52,$G$56,$G$55)</f>
        <v>-6.7372943335543001E-3</v>
      </c>
      <c r="CT58" s="25">
        <f>MIRR($H$52:CT52,$G$56,$G$55)</f>
        <v>-6.5436070661429868E-3</v>
      </c>
      <c r="CU58" s="25">
        <f>MIRR($H$52:CU52,$G$56,$G$55)</f>
        <v>3.2878795026918262E-3</v>
      </c>
    </row>
    <row r="59" spans="1:99" x14ac:dyDescent="0.25">
      <c r="F59" s="44"/>
      <c r="G59" s="45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89" priority="10" stopIfTrue="1" operator="equal">
      <formula>#REF!</formula>
    </cfRule>
  </conditionalFormatting>
  <conditionalFormatting sqref="Y19:AF19 Y22:AF22 AH19:AI19 AH22:AI22 AK19:AL19 AK22:AL22 AN19 AN22:AO22 H33:V39 W33:CU36 W38:BC38 W39:CU39 N24:R24 H23:M24 N23:CU23 H16:W17 Y16:CU16 X17:AT17 H6:W12 Y7:AM7 X8:AM8 X6:AM6 Z9:AM9 AN6:CU9 X9:Y12 Z10:CU12 H2:CU5 H13:CU15 H18:H22 AQ22:CU22 H25:CU32 K22:R22 K18:K21 W18:AN18 W21:AM21 W20:AJ20 AZ17:CU21 H40:CU46">
    <cfRule type="cellIs" dxfId="88" priority="12" stopIfTrue="1" operator="equal">
      <formula>#REF!</formula>
    </cfRule>
  </conditionalFormatting>
  <conditionalFormatting sqref="X7 X16 W19:X19 S22:X22 W37:CU37 S24:CU24">
    <cfRule type="cellIs" dxfId="87" priority="11" stopIfTrue="1" operator="equal">
      <formula>#REF!</formula>
    </cfRule>
  </conditionalFormatting>
  <conditionalFormatting sqref="H47:CU47">
    <cfRule type="cellIs" dxfId="86" priority="9" stopIfTrue="1" operator="equal">
      <formula>#REF!</formula>
    </cfRule>
  </conditionalFormatting>
  <conditionalFormatting sqref="I18:J22">
    <cfRule type="cellIs" dxfId="85" priority="8" stopIfTrue="1" operator="equal">
      <formula>#REF!</formula>
    </cfRule>
  </conditionalFormatting>
  <conditionalFormatting sqref="L18:P21">
    <cfRule type="cellIs" dxfId="84" priority="7" stopIfTrue="1" operator="equal">
      <formula>#REF!</formula>
    </cfRule>
  </conditionalFormatting>
  <conditionalFormatting sqref="Q18:V21">
    <cfRule type="cellIs" dxfId="83" priority="6" stopIfTrue="1" operator="equal">
      <formula>#REF!</formula>
    </cfRule>
  </conditionalFormatting>
  <conditionalFormatting sqref="AK20:AN20">
    <cfRule type="cellIs" dxfId="82" priority="5" stopIfTrue="1" operator="equal">
      <formula>#REF!</formula>
    </cfRule>
  </conditionalFormatting>
  <conditionalFormatting sqref="AO18:AT21">
    <cfRule type="cellIs" dxfId="81" priority="3" stopIfTrue="1" operator="equal">
      <formula>#REF!</formula>
    </cfRule>
  </conditionalFormatting>
  <conditionalFormatting sqref="AU17:AY21">
    <cfRule type="cellIs" dxfId="80" priority="2" stopIfTrue="1" operator="equal">
      <formula>#REF!</formula>
    </cfRule>
  </conditionalFormatting>
  <conditionalFormatting sqref="AN21">
    <cfRule type="cellIs" dxfId="79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706C-FD55-4C10-A81C-21C029E1D526}">
  <sheetPr codeName="Hoja9"/>
  <dimension ref="A1:CU59"/>
  <sheetViews>
    <sheetView zoomScale="85" zoomScaleNormal="85" workbookViewId="0">
      <pane xSplit="7" ySplit="1" topLeftCell="CR2" activePane="bottomRight" state="frozen"/>
      <selection pane="topRight" activeCell="J1" sqref="J1"/>
      <selection pane="bottomLeft" activeCell="A9" sqref="A9"/>
      <selection pane="bottomRight" activeCell="D1" sqref="D1:F1"/>
    </sheetView>
  </sheetViews>
  <sheetFormatPr baseColWidth="10" defaultColWidth="10.7109375" defaultRowHeight="15" x14ac:dyDescent="0.25"/>
  <cols>
    <col min="1" max="1" width="12.5703125" style="11" bestFit="1" customWidth="1"/>
    <col min="2" max="2" width="24.140625" style="11" bestFit="1" customWidth="1"/>
    <col min="3" max="3" width="57.85546875" style="11" customWidth="1"/>
    <col min="4" max="4" width="12.28515625" style="37" bestFit="1" customWidth="1"/>
    <col min="5" max="5" width="14" style="11" customWidth="1"/>
    <col min="6" max="6" width="18" style="11" customWidth="1"/>
    <col min="7" max="7" width="18.28515625" style="34" bestFit="1" customWidth="1"/>
    <col min="8" max="10" width="10.7109375" style="34"/>
    <col min="11" max="11" width="11.42578125" style="34" bestFit="1" customWidth="1"/>
    <col min="12" max="15" width="10.7109375" style="34"/>
    <col min="16" max="16" width="11.42578125" style="34" bestFit="1" customWidth="1"/>
    <col min="17" max="17" width="10.7109375" style="34"/>
    <col min="18" max="18" width="11.42578125" style="34" bestFit="1" customWidth="1"/>
    <col min="19" max="19" width="10.7109375" style="34"/>
    <col min="20" max="20" width="11.42578125" style="34" bestFit="1" customWidth="1"/>
    <col min="21" max="27" width="10.7109375" style="34"/>
    <col min="28" max="39" width="11.42578125" style="34" bestFit="1" customWidth="1"/>
    <col min="40" max="40" width="12.28515625" style="34" bestFit="1" customWidth="1"/>
    <col min="41" max="55" width="10.7109375" style="34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10" t="s">
        <v>159</v>
      </c>
      <c r="B1" s="10" t="s">
        <v>160</v>
      </c>
      <c r="C1" s="10" t="s">
        <v>161</v>
      </c>
      <c r="D1" s="12" t="s">
        <v>187</v>
      </c>
      <c r="E1" s="13" t="s">
        <v>194</v>
      </c>
      <c r="F1" s="13" t="s">
        <v>195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4" t="s">
        <v>62</v>
      </c>
      <c r="AC1" s="14" t="s">
        <v>63</v>
      </c>
      <c r="AD1" s="14" t="s">
        <v>64</v>
      </c>
      <c r="AE1" s="14" t="s">
        <v>65</v>
      </c>
      <c r="AF1" s="14" t="s">
        <v>66</v>
      </c>
      <c r="AG1" s="14" t="s">
        <v>67</v>
      </c>
      <c r="AH1" s="14" t="s">
        <v>68</v>
      </c>
      <c r="AI1" s="14" t="s">
        <v>69</v>
      </c>
      <c r="AJ1" s="14" t="s">
        <v>70</v>
      </c>
      <c r="AK1" s="14" t="s">
        <v>71</v>
      </c>
      <c r="AL1" s="14" t="s">
        <v>72</v>
      </c>
      <c r="AM1" s="14" t="s">
        <v>73</v>
      </c>
      <c r="AN1" s="14" t="s">
        <v>74</v>
      </c>
      <c r="AO1" s="14" t="s">
        <v>75</v>
      </c>
      <c r="AP1" s="14" t="s">
        <v>76</v>
      </c>
      <c r="AQ1" s="14" t="s">
        <v>77</v>
      </c>
      <c r="AR1" s="14" t="s">
        <v>78</v>
      </c>
      <c r="AS1" s="14" t="s">
        <v>79</v>
      </c>
      <c r="AT1" s="14" t="s">
        <v>80</v>
      </c>
      <c r="AU1" s="14" t="s">
        <v>81</v>
      </c>
      <c r="AV1" s="14" t="s">
        <v>82</v>
      </c>
      <c r="AW1" s="14" t="s">
        <v>83</v>
      </c>
      <c r="AX1" s="14" t="s">
        <v>84</v>
      </c>
      <c r="AY1" s="14" t="s">
        <v>85</v>
      </c>
      <c r="AZ1" s="14" t="s">
        <v>86</v>
      </c>
      <c r="BA1" s="14" t="s">
        <v>87</v>
      </c>
      <c r="BB1" s="14" t="s">
        <v>88</v>
      </c>
      <c r="BC1" s="14" t="s">
        <v>89</v>
      </c>
      <c r="BD1" s="14" t="s">
        <v>97</v>
      </c>
      <c r="BE1" s="14" t="s">
        <v>98</v>
      </c>
      <c r="BF1" s="14" t="s">
        <v>99</v>
      </c>
      <c r="BG1" s="14" t="s">
        <v>100</v>
      </c>
      <c r="BH1" s="14" t="s">
        <v>101</v>
      </c>
      <c r="BI1" s="14" t="s">
        <v>102</v>
      </c>
      <c r="BJ1" s="14" t="s">
        <v>103</v>
      </c>
      <c r="BK1" s="14" t="s">
        <v>104</v>
      </c>
      <c r="BL1" s="14" t="s">
        <v>105</v>
      </c>
      <c r="BM1" s="14" t="s">
        <v>106</v>
      </c>
      <c r="BN1" s="14" t="s">
        <v>107</v>
      </c>
      <c r="BO1" s="14" t="s">
        <v>108</v>
      </c>
      <c r="BP1" s="14" t="s">
        <v>109</v>
      </c>
      <c r="BQ1" s="14" t="s">
        <v>110</v>
      </c>
      <c r="BR1" s="14" t="s">
        <v>111</v>
      </c>
      <c r="BS1" s="14" t="s">
        <v>112</v>
      </c>
      <c r="BT1" s="14" t="s">
        <v>113</v>
      </c>
      <c r="BU1" s="14" t="s">
        <v>114</v>
      </c>
      <c r="BV1" s="14" t="s">
        <v>115</v>
      </c>
      <c r="BW1" s="14" t="s">
        <v>116</v>
      </c>
      <c r="BX1" s="14" t="s">
        <v>117</v>
      </c>
      <c r="BY1" s="14" t="s">
        <v>118</v>
      </c>
      <c r="BZ1" s="14" t="s">
        <v>119</v>
      </c>
      <c r="CA1" s="14" t="s">
        <v>120</v>
      </c>
      <c r="CB1" s="14" t="s">
        <v>121</v>
      </c>
      <c r="CC1" s="14" t="s">
        <v>122</v>
      </c>
      <c r="CD1" s="14" t="s">
        <v>123</v>
      </c>
      <c r="CE1" s="14" t="s">
        <v>124</v>
      </c>
      <c r="CF1" s="14" t="s">
        <v>125</v>
      </c>
      <c r="CG1" s="14" t="s">
        <v>126</v>
      </c>
      <c r="CH1" s="14" t="s">
        <v>127</v>
      </c>
      <c r="CI1" s="14" t="s">
        <v>128</v>
      </c>
      <c r="CJ1" s="14" t="s">
        <v>129</v>
      </c>
      <c r="CK1" s="14" t="s">
        <v>130</v>
      </c>
      <c r="CL1" s="14" t="s">
        <v>131</v>
      </c>
      <c r="CM1" s="14" t="s">
        <v>132</v>
      </c>
      <c r="CN1" s="14" t="s">
        <v>133</v>
      </c>
      <c r="CO1" s="14" t="s">
        <v>134</v>
      </c>
      <c r="CP1" s="14" t="s">
        <v>135</v>
      </c>
      <c r="CQ1" s="14" t="s">
        <v>136</v>
      </c>
      <c r="CR1" s="14" t="s">
        <v>137</v>
      </c>
      <c r="CS1" s="14" t="s">
        <v>138</v>
      </c>
      <c r="CT1" s="14" t="s">
        <v>139</v>
      </c>
      <c r="CU1" s="14" t="s">
        <v>140</v>
      </c>
    </row>
    <row r="2" spans="1:99" x14ac:dyDescent="0.25">
      <c r="A2" s="11" t="s">
        <v>4</v>
      </c>
      <c r="B2" s="11" t="s">
        <v>162</v>
      </c>
      <c r="C2" s="11" t="s">
        <v>31</v>
      </c>
      <c r="D2" s="35">
        <v>1</v>
      </c>
      <c r="E2" s="15">
        <v>5800</v>
      </c>
      <c r="F2" s="16">
        <f>D2*E2</f>
        <v>5800</v>
      </c>
      <c r="G2" s="17">
        <v>-5800</v>
      </c>
      <c r="H2" s="18">
        <v>0</v>
      </c>
      <c r="I2" s="18">
        <f>G2</f>
        <v>-5800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0</v>
      </c>
      <c r="BU2" s="18">
        <v>0</v>
      </c>
      <c r="BV2" s="18">
        <v>0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8">
        <v>0</v>
      </c>
      <c r="CC2" s="18">
        <v>0</v>
      </c>
      <c r="CD2" s="18">
        <v>0</v>
      </c>
      <c r="CE2" s="18">
        <v>0</v>
      </c>
      <c r="CF2" s="18">
        <v>0</v>
      </c>
      <c r="CG2" s="18">
        <v>0</v>
      </c>
      <c r="CH2" s="18">
        <v>0</v>
      </c>
      <c r="CI2" s="18">
        <v>0</v>
      </c>
      <c r="CJ2" s="18">
        <v>0</v>
      </c>
      <c r="CK2" s="18">
        <v>0</v>
      </c>
      <c r="CL2" s="18">
        <v>0</v>
      </c>
      <c r="CM2" s="18">
        <v>0</v>
      </c>
      <c r="CN2" s="18">
        <v>0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</row>
    <row r="3" spans="1:99" x14ac:dyDescent="0.25">
      <c r="A3" s="11" t="s">
        <v>4</v>
      </c>
      <c r="B3" s="11" t="s">
        <v>162</v>
      </c>
      <c r="C3" s="11" t="s">
        <v>18</v>
      </c>
      <c r="D3" s="36">
        <v>1</v>
      </c>
      <c r="E3" s="16">
        <v>1200</v>
      </c>
      <c r="F3" s="16">
        <f>D3*E3</f>
        <v>1200</v>
      </c>
      <c r="G3" s="19">
        <v>-1200</v>
      </c>
      <c r="H3" s="20">
        <v>0</v>
      </c>
      <c r="I3" s="20">
        <v>0</v>
      </c>
      <c r="J3" s="20">
        <v>0</v>
      </c>
      <c r="K3" s="20">
        <f>G3</f>
        <v>-1200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0</v>
      </c>
      <c r="CL3" s="20">
        <v>0</v>
      </c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</row>
    <row r="4" spans="1:99" x14ac:dyDescent="0.25">
      <c r="A4" s="11" t="s">
        <v>4</v>
      </c>
      <c r="B4" s="11" t="s">
        <v>162</v>
      </c>
      <c r="C4" s="11" t="s">
        <v>19</v>
      </c>
      <c r="D4" s="36">
        <v>1</v>
      </c>
      <c r="E4" s="16">
        <v>4500</v>
      </c>
      <c r="F4" s="16">
        <f>E4*D4</f>
        <v>4500</v>
      </c>
      <c r="G4" s="19">
        <v>-4500</v>
      </c>
      <c r="H4" s="20">
        <v>0</v>
      </c>
      <c r="I4" s="20">
        <v>0</v>
      </c>
      <c r="J4" s="20">
        <v>0</v>
      </c>
      <c r="K4" s="20">
        <f>G4</f>
        <v>-4500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</row>
    <row r="5" spans="1:99" x14ac:dyDescent="0.25">
      <c r="A5" s="11" t="s">
        <v>4</v>
      </c>
      <c r="B5" s="11" t="s">
        <v>162</v>
      </c>
      <c r="C5" s="11" t="s">
        <v>9</v>
      </c>
      <c r="D5" s="36">
        <v>0.21</v>
      </c>
      <c r="E5" s="16">
        <f>F3+F4+F2</f>
        <v>11500</v>
      </c>
      <c r="F5" s="16">
        <f>D5*E5</f>
        <v>2415</v>
      </c>
      <c r="G5" s="19">
        <f>(G2+G3+G4)*0.21</f>
        <v>-2415</v>
      </c>
      <c r="H5" s="20">
        <f>(H2+H3+H4)*0.21</f>
        <v>0</v>
      </c>
      <c r="I5" s="20">
        <f>(I2+I3+I4)*0.21</f>
        <v>-1218</v>
      </c>
      <c r="J5" s="20">
        <v>0</v>
      </c>
      <c r="K5" s="20">
        <f>(K2+K3+K4)*0.21</f>
        <v>-1197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</row>
    <row r="6" spans="1:99" x14ac:dyDescent="0.25">
      <c r="A6" s="11" t="s">
        <v>4</v>
      </c>
      <c r="B6" s="11" t="s">
        <v>163</v>
      </c>
      <c r="C6" s="11" t="s">
        <v>15</v>
      </c>
      <c r="D6" s="37">
        <v>5.6099999999999997E-2</v>
      </c>
      <c r="E6" s="11">
        <f>F16</f>
        <v>31646.16</v>
      </c>
      <c r="F6" s="11">
        <f>E6*D6</f>
        <v>1775.3495759999998</v>
      </c>
      <c r="G6" s="17">
        <f>-F6</f>
        <v>-1775.3495759999998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f>G6</f>
        <v>-1775.3495759999998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</row>
    <row r="7" spans="1:99" x14ac:dyDescent="0.25">
      <c r="A7" s="11" t="s">
        <v>4</v>
      </c>
      <c r="B7" s="11" t="s">
        <v>163</v>
      </c>
      <c r="C7" s="11" t="s">
        <v>16</v>
      </c>
      <c r="D7" s="37">
        <v>4.7699999999999999E-2</v>
      </c>
      <c r="E7" s="11">
        <f>F16</f>
        <v>31646.16</v>
      </c>
      <c r="F7" s="11">
        <f>E7*D7</f>
        <v>1509.5218319999999</v>
      </c>
      <c r="G7" s="19">
        <f>-F7</f>
        <v>-1509.5218319999999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f>G7*0.3</f>
        <v>-452.85654959999994</v>
      </c>
      <c r="Y7" s="20">
        <f>0.7*G7</f>
        <v>-1056.6652823999998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</row>
    <row r="8" spans="1:99" x14ac:dyDescent="0.25">
      <c r="A8" s="11" t="s">
        <v>4</v>
      </c>
      <c r="B8" s="11" t="s">
        <v>163</v>
      </c>
      <c r="C8" s="11" t="s">
        <v>164</v>
      </c>
      <c r="D8" s="37">
        <v>7.0000000000000001E-3</v>
      </c>
      <c r="E8" s="11">
        <f>F16</f>
        <v>31646.16</v>
      </c>
      <c r="F8" s="11">
        <f>D8*E8</f>
        <v>221.52312000000001</v>
      </c>
      <c r="G8" s="19">
        <f>-F8</f>
        <v>-221.52312000000001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f>G8*0.5</f>
        <v>-110.76156</v>
      </c>
      <c r="Y8" s="20">
        <f>G8*0.5</f>
        <v>-110.76156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</row>
    <row r="9" spans="1:99" x14ac:dyDescent="0.25">
      <c r="A9" s="11" t="s">
        <v>4</v>
      </c>
      <c r="B9" s="11" t="s">
        <v>163</v>
      </c>
      <c r="C9" s="11" t="s">
        <v>13</v>
      </c>
      <c r="D9" s="37">
        <v>5.6099999999999997E-2</v>
      </c>
      <c r="E9" s="11">
        <f>F18+F19</f>
        <v>2010591.004</v>
      </c>
      <c r="F9" s="11">
        <f>D9*E9</f>
        <v>112794.1553244</v>
      </c>
      <c r="G9" s="19">
        <f>-F9</f>
        <v>-112794.1553244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f>G9*0.4</f>
        <v>-45117.66212976</v>
      </c>
      <c r="N9" s="20">
        <v>0</v>
      </c>
      <c r="O9" s="20">
        <v>0</v>
      </c>
      <c r="P9" s="20">
        <f>G9*0.6</f>
        <v>-67676.493194639988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</row>
    <row r="10" spans="1:99" x14ac:dyDescent="0.25">
      <c r="A10" s="11" t="s">
        <v>4</v>
      </c>
      <c r="B10" s="11" t="s">
        <v>163</v>
      </c>
      <c r="C10" s="11" t="s">
        <v>14</v>
      </c>
      <c r="D10" s="37">
        <v>4.7699999999999999E-2</v>
      </c>
      <c r="E10" s="11">
        <f>F18+F19</f>
        <v>2010591.004</v>
      </c>
      <c r="F10" s="11">
        <f>D10*E10</f>
        <v>95905.19089079999</v>
      </c>
      <c r="G10" s="19">
        <f>-F10</f>
        <v>-95905.19089079999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f>$G10/14</f>
        <v>-6850.3707779142851</v>
      </c>
      <c r="AA10" s="20">
        <f t="shared" ref="AA10:AM10" si="0">$G10/14</f>
        <v>-6850.3707779142851</v>
      </c>
      <c r="AB10" s="20">
        <f t="shared" si="0"/>
        <v>-6850.3707779142851</v>
      </c>
      <c r="AC10" s="20">
        <f t="shared" si="0"/>
        <v>-6850.3707779142851</v>
      </c>
      <c r="AD10" s="20">
        <f t="shared" si="0"/>
        <v>-6850.3707779142851</v>
      </c>
      <c r="AE10" s="20">
        <f t="shared" si="0"/>
        <v>-6850.3707779142851</v>
      </c>
      <c r="AF10" s="20">
        <f t="shared" si="0"/>
        <v>-6850.3707779142851</v>
      </c>
      <c r="AG10" s="20">
        <f t="shared" si="0"/>
        <v>-6850.3707779142851</v>
      </c>
      <c r="AH10" s="20">
        <f t="shared" si="0"/>
        <v>-6850.3707779142851</v>
      </c>
      <c r="AI10" s="20">
        <f t="shared" si="0"/>
        <v>-6850.3707779142851</v>
      </c>
      <c r="AJ10" s="20">
        <f t="shared" si="0"/>
        <v>-6850.3707779142851</v>
      </c>
      <c r="AK10" s="20">
        <f t="shared" si="0"/>
        <v>-6850.3707779142851</v>
      </c>
      <c r="AL10" s="20">
        <f t="shared" si="0"/>
        <v>-6850.3707779142851</v>
      </c>
      <c r="AM10" s="20">
        <f t="shared" si="0"/>
        <v>-6850.3707779142851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</row>
    <row r="11" spans="1:99" x14ac:dyDescent="0.25">
      <c r="A11" s="11" t="s">
        <v>4</v>
      </c>
      <c r="B11" s="11" t="s">
        <v>163</v>
      </c>
      <c r="C11" s="11" t="s">
        <v>165</v>
      </c>
      <c r="D11" s="37">
        <v>7.0000000000000001E-3</v>
      </c>
      <c r="E11" s="11">
        <f>F18+F19</f>
        <v>2010591.004</v>
      </c>
      <c r="F11" s="11">
        <f>D11*E11</f>
        <v>14074.137027999999</v>
      </c>
      <c r="G11" s="19">
        <f>-F11</f>
        <v>-14074.137027999999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f>$G$11/14</f>
        <v>-1005.2955019999999</v>
      </c>
      <c r="AA11" s="20">
        <f t="shared" ref="AA11:AM11" si="1">$G$11/14</f>
        <v>-1005.2955019999999</v>
      </c>
      <c r="AB11" s="20">
        <f t="shared" si="1"/>
        <v>-1005.2955019999999</v>
      </c>
      <c r="AC11" s="20">
        <f t="shared" si="1"/>
        <v>-1005.2955019999999</v>
      </c>
      <c r="AD11" s="20">
        <f t="shared" si="1"/>
        <v>-1005.2955019999999</v>
      </c>
      <c r="AE11" s="20">
        <f t="shared" si="1"/>
        <v>-1005.2955019999999</v>
      </c>
      <c r="AF11" s="20">
        <f t="shared" si="1"/>
        <v>-1005.2955019999999</v>
      </c>
      <c r="AG11" s="20">
        <f t="shared" si="1"/>
        <v>-1005.2955019999999</v>
      </c>
      <c r="AH11" s="20">
        <f t="shared" si="1"/>
        <v>-1005.2955019999999</v>
      </c>
      <c r="AI11" s="20">
        <f t="shared" si="1"/>
        <v>-1005.2955019999999</v>
      </c>
      <c r="AJ11" s="20">
        <f t="shared" si="1"/>
        <v>-1005.2955019999999</v>
      </c>
      <c r="AK11" s="20">
        <f t="shared" si="1"/>
        <v>-1005.2955019999999</v>
      </c>
      <c r="AL11" s="20">
        <f t="shared" si="1"/>
        <v>-1005.2955019999999</v>
      </c>
      <c r="AM11" s="20">
        <f t="shared" si="1"/>
        <v>-1005.2955019999999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</row>
    <row r="12" spans="1:99" x14ac:dyDescent="0.25">
      <c r="A12" s="11" t="s">
        <v>4</v>
      </c>
      <c r="B12" s="11" t="s">
        <v>163</v>
      </c>
      <c r="C12" s="11" t="s">
        <v>141</v>
      </c>
      <c r="D12" s="37">
        <v>0.02</v>
      </c>
      <c r="E12" s="11">
        <f>F19+F18+F16</f>
        <v>2042237.1639999999</v>
      </c>
      <c r="F12" s="11">
        <f>D12*E12</f>
        <v>40844.743279999995</v>
      </c>
      <c r="G12" s="19">
        <f>-F12</f>
        <v>-40844.743279999995</v>
      </c>
      <c r="H12" s="20">
        <v>0</v>
      </c>
      <c r="I12" s="20">
        <v>0</v>
      </c>
      <c r="J12" s="20">
        <v>0</v>
      </c>
      <c r="K12" s="20">
        <f>G12*0.05</f>
        <v>-2042.2371639999999</v>
      </c>
      <c r="L12" s="20">
        <v>0</v>
      </c>
      <c r="M12" s="20">
        <v>0</v>
      </c>
      <c r="N12" s="20">
        <v>0</v>
      </c>
      <c r="O12" s="20">
        <v>0</v>
      </c>
      <c r="P12" s="20">
        <f>G12*0.15</f>
        <v>-6126.7114919999995</v>
      </c>
      <c r="Q12" s="20">
        <v>0</v>
      </c>
      <c r="R12" s="20">
        <f>G12*0.05</f>
        <v>-2042.2371639999999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f t="shared" ref="X12:AL12" si="2">$G$12*0.04</f>
        <v>-1633.7897311999998</v>
      </c>
      <c r="Y12" s="20">
        <f t="shared" si="2"/>
        <v>-1633.7897311999998</v>
      </c>
      <c r="Z12" s="20">
        <f t="shared" si="2"/>
        <v>-1633.7897311999998</v>
      </c>
      <c r="AA12" s="20">
        <f t="shared" si="2"/>
        <v>-1633.7897311999998</v>
      </c>
      <c r="AB12" s="20">
        <f t="shared" si="2"/>
        <v>-1633.7897311999998</v>
      </c>
      <c r="AC12" s="20">
        <f t="shared" si="2"/>
        <v>-1633.7897311999998</v>
      </c>
      <c r="AD12" s="20">
        <f t="shared" si="2"/>
        <v>-1633.7897311999998</v>
      </c>
      <c r="AE12" s="20">
        <f t="shared" si="2"/>
        <v>-1633.7897311999998</v>
      </c>
      <c r="AF12" s="20">
        <f t="shared" si="2"/>
        <v>-1633.7897311999998</v>
      </c>
      <c r="AG12" s="20">
        <f t="shared" si="2"/>
        <v>-1633.7897311999998</v>
      </c>
      <c r="AH12" s="20">
        <f t="shared" si="2"/>
        <v>-1633.7897311999998</v>
      </c>
      <c r="AI12" s="20">
        <f t="shared" si="2"/>
        <v>-1633.7897311999998</v>
      </c>
      <c r="AJ12" s="20">
        <f t="shared" si="2"/>
        <v>-1633.7897311999998</v>
      </c>
      <c r="AK12" s="20">
        <f t="shared" si="2"/>
        <v>-1633.7897311999998</v>
      </c>
      <c r="AL12" s="20">
        <f t="shared" si="2"/>
        <v>-1633.7897311999998</v>
      </c>
      <c r="AM12" s="20">
        <f>$G$12*0.04</f>
        <v>-1633.7897311999998</v>
      </c>
      <c r="AN12" s="20">
        <f>G12*0.11</f>
        <v>-4492.9217607999999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</row>
    <row r="13" spans="1:99" x14ac:dyDescent="0.25">
      <c r="A13" s="11" t="s">
        <v>4</v>
      </c>
      <c r="B13" s="11" t="s">
        <v>163</v>
      </c>
      <c r="C13" s="11" t="s">
        <v>166</v>
      </c>
      <c r="D13" s="37">
        <v>0.21</v>
      </c>
      <c r="E13" s="11">
        <f>F6+F7+F8</f>
        <v>3506.3945279999998</v>
      </c>
      <c r="F13" s="11">
        <f>D13*E13</f>
        <v>736.3428508799999</v>
      </c>
      <c r="G13" s="19">
        <f>-F13</f>
        <v>-736.3428508799999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f>SUM(M6:M8)*0.21</f>
        <v>-372.82341095999993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f>(X7+X8)*0.21</f>
        <v>-118.35980301599997</v>
      </c>
      <c r="Y13" s="20">
        <f>(Y7+Y8)*0.21</f>
        <v>-245.15963690399994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</row>
    <row r="14" spans="1:99" x14ac:dyDescent="0.25">
      <c r="A14" s="11" t="s">
        <v>4</v>
      </c>
      <c r="B14" s="11" t="s">
        <v>163</v>
      </c>
      <c r="C14" s="11" t="s">
        <v>167</v>
      </c>
      <c r="D14" s="37">
        <v>0.21</v>
      </c>
      <c r="E14" s="11">
        <f>F9+F10+F11+F12</f>
        <v>263618.22652319993</v>
      </c>
      <c r="F14" s="11">
        <f>D14*E14</f>
        <v>55359.827569871981</v>
      </c>
      <c r="G14" s="19">
        <f>-F14</f>
        <v>-55359.827569871981</v>
      </c>
      <c r="H14" s="20">
        <v>0</v>
      </c>
      <c r="I14" s="20">
        <v>0</v>
      </c>
      <c r="J14" s="20">
        <v>0</v>
      </c>
      <c r="K14" s="20">
        <f>SUM(K9:K12)*0.21</f>
        <v>-428.86980443999994</v>
      </c>
      <c r="L14" s="20">
        <v>0</v>
      </c>
      <c r="M14" s="20">
        <f>SUM(M9:M12)*0.21</f>
        <v>-9474.7090472496002</v>
      </c>
      <c r="N14" s="20">
        <v>0</v>
      </c>
      <c r="O14" s="20">
        <v>0</v>
      </c>
      <c r="P14" s="20">
        <f>SUM(P9:P12)*0.21</f>
        <v>-15498.672984194398</v>
      </c>
      <c r="Q14" s="20">
        <v>0</v>
      </c>
      <c r="R14" s="20">
        <f>SUM(R9:R12)*0.21</f>
        <v>-428.86980443999994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f>SUM(X9:X12)*0.21</f>
        <v>-343.09584355199996</v>
      </c>
      <c r="Y14" s="20">
        <f>SUM(Y9:Y12)*0.21</f>
        <v>-343.09584355199996</v>
      </c>
      <c r="Z14" s="20">
        <f>SUM(Z9:Z12)*0.21</f>
        <v>-1992.7857623339999</v>
      </c>
      <c r="AA14" s="20">
        <f>SUM(AA9:AA12)*0.21</f>
        <v>-1992.7857623339999</v>
      </c>
      <c r="AB14" s="20">
        <f>SUM(AB9:AB12)*0.21</f>
        <v>-1992.7857623339999</v>
      </c>
      <c r="AC14" s="20">
        <f>SUM(AC9:AC12)*0.21</f>
        <v>-1992.7857623339999</v>
      </c>
      <c r="AD14" s="20">
        <f>SUM(AD9:AD12)*0.21</f>
        <v>-1992.7857623339999</v>
      </c>
      <c r="AE14" s="20">
        <f>SUM(AE9:AE12)*0.21</f>
        <v>-1992.7857623339999</v>
      </c>
      <c r="AF14" s="20">
        <f>SUM(AF9:AF12)*0.21</f>
        <v>-1992.7857623339999</v>
      </c>
      <c r="AG14" s="20">
        <f>SUM(AG9:AG12)*0.21</f>
        <v>-1992.7857623339999</v>
      </c>
      <c r="AH14" s="20">
        <f>SUM(AH9:AH12)*0.21</f>
        <v>-1992.7857623339999</v>
      </c>
      <c r="AI14" s="20">
        <f>SUM(AI9:AI12)*0.21</f>
        <v>-1992.7857623339999</v>
      </c>
      <c r="AJ14" s="20">
        <f>SUM(AJ9:AJ12)*0.21</f>
        <v>-1992.7857623339999</v>
      </c>
      <c r="AK14" s="20">
        <f>SUM(AK9:AK12)*0.21</f>
        <v>-1992.7857623339999</v>
      </c>
      <c r="AL14" s="20">
        <f>SUM(AL9:AL12)*0.21</f>
        <v>-1992.7857623339999</v>
      </c>
      <c r="AM14" s="20">
        <f>SUM(AM9:AM12)*0.21</f>
        <v>-1992.7857623339999</v>
      </c>
      <c r="AN14" s="20">
        <f>SUM(AN9:AN12)*0.21</f>
        <v>-943.51356976799991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</row>
    <row r="15" spans="1:99" x14ac:dyDescent="0.25">
      <c r="A15" s="11" t="s">
        <v>4</v>
      </c>
      <c r="B15" s="11" t="s">
        <v>163</v>
      </c>
      <c r="C15" s="11" t="s">
        <v>20</v>
      </c>
      <c r="D15" s="37">
        <v>3.0000000000000001E-3</v>
      </c>
      <c r="E15" s="11">
        <f>F18+F19</f>
        <v>2010591.004</v>
      </c>
      <c r="F15" s="11">
        <f>D15*E15</f>
        <v>6031.7730119999997</v>
      </c>
      <c r="G15" s="19">
        <f>-F15</f>
        <v>-6031.7730119999997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f>$G$15/14</f>
        <v>-430.84092942857143</v>
      </c>
      <c r="AA15" s="20">
        <f t="shared" ref="AA15:AM15" si="3">$G$15/14</f>
        <v>-430.84092942857143</v>
      </c>
      <c r="AB15" s="20">
        <f t="shared" si="3"/>
        <v>-430.84092942857143</v>
      </c>
      <c r="AC15" s="20">
        <f t="shared" si="3"/>
        <v>-430.84092942857143</v>
      </c>
      <c r="AD15" s="20">
        <f t="shared" si="3"/>
        <v>-430.84092942857143</v>
      </c>
      <c r="AE15" s="20">
        <f t="shared" si="3"/>
        <v>-430.84092942857143</v>
      </c>
      <c r="AF15" s="20">
        <f t="shared" si="3"/>
        <v>-430.84092942857143</v>
      </c>
      <c r="AG15" s="20">
        <f t="shared" si="3"/>
        <v>-430.84092942857143</v>
      </c>
      <c r="AH15" s="20">
        <f t="shared" si="3"/>
        <v>-430.84092942857143</v>
      </c>
      <c r="AI15" s="20">
        <f t="shared" si="3"/>
        <v>-430.84092942857143</v>
      </c>
      <c r="AJ15" s="20">
        <f t="shared" si="3"/>
        <v>-430.84092942857143</v>
      </c>
      <c r="AK15" s="20">
        <f t="shared" si="3"/>
        <v>-430.84092942857143</v>
      </c>
      <c r="AL15" s="20">
        <f t="shared" si="3"/>
        <v>-430.84092942857143</v>
      </c>
      <c r="AM15" s="20">
        <f t="shared" si="3"/>
        <v>-430.84092942857143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</row>
    <row r="16" spans="1:99" x14ac:dyDescent="0.25">
      <c r="A16" s="11" t="s">
        <v>4</v>
      </c>
      <c r="B16" s="11" t="s">
        <v>168</v>
      </c>
      <c r="C16" s="11" t="s">
        <v>8</v>
      </c>
      <c r="D16" s="37">
        <f>(8.4*44.5*3)+(8.4*15.3*3)</f>
        <v>1506.96</v>
      </c>
      <c r="E16" s="11">
        <v>21</v>
      </c>
      <c r="F16" s="11">
        <f>D16*E16</f>
        <v>31646.16</v>
      </c>
      <c r="G16" s="19">
        <f>-F16</f>
        <v>-31646.16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f>G16*0.4</f>
        <v>-12658.464</v>
      </c>
      <c r="Y16" s="20">
        <f>G16*0.6</f>
        <v>-18987.696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</row>
    <row r="17" spans="1:99" x14ac:dyDescent="0.25">
      <c r="A17" s="11" t="s">
        <v>4</v>
      </c>
      <c r="B17" s="11" t="s">
        <v>168</v>
      </c>
      <c r="C17" s="11" t="s">
        <v>12</v>
      </c>
      <c r="D17" s="36">
        <v>188.37</v>
      </c>
      <c r="E17" s="11">
        <v>5.75</v>
      </c>
      <c r="F17" s="11">
        <f>D17*E17</f>
        <v>1083.1275000000001</v>
      </c>
      <c r="G17" s="19">
        <f>-F17</f>
        <v>-1083.1275000000001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f>G17*0.4</f>
        <v>-433.25100000000003</v>
      </c>
      <c r="Y17" s="20">
        <f>G17*0.6</f>
        <v>-649.87649999999996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</row>
    <row r="18" spans="1:99" x14ac:dyDescent="0.25">
      <c r="A18" s="11" t="s">
        <v>4</v>
      </c>
      <c r="B18" s="11" t="s">
        <v>168</v>
      </c>
      <c r="C18" s="11" t="s">
        <v>2</v>
      </c>
      <c r="D18" s="37">
        <f>10*65*1.2</f>
        <v>780</v>
      </c>
      <c r="E18" s="11">
        <f>684.63*1.06</f>
        <v>725.70780000000002</v>
      </c>
      <c r="F18" s="11">
        <f>D18*E18</f>
        <v>566052.08400000003</v>
      </c>
      <c r="G18" s="19">
        <f>-F18</f>
        <v>-566052.08400000003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f>'evolucion certificaciones nuevo'!J26</f>
        <v>-16981.562519999999</v>
      </c>
      <c r="AF18" s="20">
        <f>'evolucion certificaciones nuevo'!K26</f>
        <v>-22642.083360000001</v>
      </c>
      <c r="AG18" s="20">
        <f>'evolucion certificaciones nuevo'!L26</f>
        <v>-52642.843811999999</v>
      </c>
      <c r="AH18" s="20">
        <f>'evolucion certificaciones nuevo'!M26</f>
        <v>-59435.468820000002</v>
      </c>
      <c r="AI18" s="20">
        <f>'evolucion certificaciones nuevo'!N26</f>
        <v>-93398.593860000008</v>
      </c>
      <c r="AJ18" s="20">
        <f>'evolucion certificaciones nuevo'!O26</f>
        <v>-116040.67722</v>
      </c>
      <c r="AK18" s="20">
        <f>'evolucion certificaciones nuevo'!P26</f>
        <v>-117738.833472</v>
      </c>
      <c r="AL18" s="20">
        <f>'evolucion certificaciones nuevo'!Q26</f>
        <v>-46416.270888000006</v>
      </c>
      <c r="AM18" s="20">
        <f>'evolucion certificaciones nuevo'!R26</f>
        <v>-40755.750048000002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</row>
    <row r="19" spans="1:99" x14ac:dyDescent="0.25">
      <c r="A19" s="11" t="s">
        <v>4</v>
      </c>
      <c r="B19" s="11" t="s">
        <v>168</v>
      </c>
      <c r="C19" s="11" t="s">
        <v>40</v>
      </c>
      <c r="D19" s="37">
        <v>1</v>
      </c>
      <c r="E19" s="11">
        <v>1444538.92</v>
      </c>
      <c r="F19" s="11">
        <f>D19*E19</f>
        <v>1444538.92</v>
      </c>
      <c r="G19" s="19">
        <f>-F19</f>
        <v>-1444538.92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f>'evolucion certificaciones nuevo'!E28</f>
        <v>-8667.2335199999998</v>
      </c>
      <c r="AA19" s="20">
        <f>'evolucion certificaciones nuevo'!F28</f>
        <v>-23112.622719999999</v>
      </c>
      <c r="AB19" s="20">
        <f>'evolucion certificaciones nuevo'!G28</f>
        <v>-57781.556799999998</v>
      </c>
      <c r="AC19" s="20">
        <f>'evolucion certificaciones nuevo'!H28</f>
        <v>-54170.209499999997</v>
      </c>
      <c r="AD19" s="20">
        <f>'evolucion certificaciones nuevo'!I28</f>
        <v>-65004.251399999994</v>
      </c>
      <c r="AE19" s="20">
        <f>'evolucion certificaciones nuevo'!J28</f>
        <v>-136508.92793999999</v>
      </c>
      <c r="AF19" s="20">
        <f>'evolucion certificaciones nuevo'!K28</f>
        <v>-169733.32309999998</v>
      </c>
      <c r="AG19" s="20">
        <f>'evolucion certificaciones nuevo'!L28</f>
        <v>-115563.1136</v>
      </c>
      <c r="AH19" s="20">
        <f>'evolucion certificaciones nuevo'!M28</f>
        <v>-192123.67636000001</v>
      </c>
      <c r="AI19" s="20">
        <f>'evolucion certificaciones nuevo'!N28</f>
        <v>-171900.13147999998</v>
      </c>
      <c r="AJ19" s="20">
        <f>'evolucion certificaciones nuevo'!O28</f>
        <v>-214514.02961999999</v>
      </c>
      <c r="AK19" s="20">
        <f>'evolucion certificaciones nuevo'!P28</f>
        <v>-84505.526819999999</v>
      </c>
      <c r="AL19" s="20">
        <f>'evolucion certificaciones nuevo'!Q28</f>
        <v>-150954.31714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</row>
    <row r="20" spans="1:99" x14ac:dyDescent="0.25">
      <c r="A20" s="11" t="s">
        <v>4</v>
      </c>
      <c r="B20" s="11" t="s">
        <v>168</v>
      </c>
      <c r="C20" s="11" t="s">
        <v>11</v>
      </c>
      <c r="D20" s="37">
        <v>0.21</v>
      </c>
      <c r="E20" s="11">
        <f>F16</f>
        <v>31646.16</v>
      </c>
      <c r="F20" s="11">
        <f>E20*D20</f>
        <v>6645.6935999999996</v>
      </c>
      <c r="G20" s="19">
        <f>-F20</f>
        <v>-6645.6935999999996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f>X16*0.21</f>
        <v>-2658.2774399999998</v>
      </c>
      <c r="Y20" s="20">
        <f>Y16*0.21</f>
        <v>-3987.4161599999998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</row>
    <row r="21" spans="1:99" x14ac:dyDescent="0.25">
      <c r="A21" s="11" t="s">
        <v>4</v>
      </c>
      <c r="B21" s="11" t="s">
        <v>168</v>
      </c>
      <c r="C21" s="11" t="s">
        <v>10</v>
      </c>
      <c r="D21" s="37">
        <v>0.1</v>
      </c>
      <c r="E21" s="11">
        <f>F18+F19</f>
        <v>2010591.004</v>
      </c>
      <c r="F21" s="11">
        <f>E21*D21</f>
        <v>201059.1004</v>
      </c>
      <c r="G21" s="19">
        <f>-F21</f>
        <v>-201059.1004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f>(Z18+Z19)*0.1</f>
        <v>-866.72335199999998</v>
      </c>
      <c r="AA21" s="20">
        <f>(AA18+AA19)*0.1</f>
        <v>-2311.2622719999999</v>
      </c>
      <c r="AB21" s="20">
        <f>(AB18+AB19)*0.1</f>
        <v>-5778.1556799999998</v>
      </c>
      <c r="AC21" s="20">
        <f>(AC18+AC19)*0.1</f>
        <v>-5417.0209500000001</v>
      </c>
      <c r="AD21" s="20">
        <f>(AD18+AD19)*0.1</f>
        <v>-6500.4251399999994</v>
      </c>
      <c r="AE21" s="20">
        <f>(AE18+AE19)*0.1</f>
        <v>-15349.049046</v>
      </c>
      <c r="AF21" s="20">
        <f>(AF18+AF19)*0.1</f>
        <v>-19237.540645999998</v>
      </c>
      <c r="AG21" s="20">
        <f>(AG18+AG19)*0.1</f>
        <v>-16820.595741199999</v>
      </c>
      <c r="AH21" s="20">
        <f>(AH18+AH19)*0.1</f>
        <v>-25155.914518000005</v>
      </c>
      <c r="AI21" s="20">
        <f>(AI18+AI19)*0.1</f>
        <v>-26529.872534000002</v>
      </c>
      <c r="AJ21" s="20">
        <f>(AJ18+AJ19)*0.1</f>
        <v>-33055.470684</v>
      </c>
      <c r="AK21" s="20">
        <f>(AK18+AK19)*0.1</f>
        <v>-20224.436029200002</v>
      </c>
      <c r="AL21" s="20">
        <f>(AL18+AL19)*0.1</f>
        <v>-19737.058802800002</v>
      </c>
      <c r="AM21" s="20">
        <f>(AM18+AM19)*0.1</f>
        <v>-4075.5750048000004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</row>
    <row r="22" spans="1:99" x14ac:dyDescent="0.25">
      <c r="A22" s="11" t="s">
        <v>4</v>
      </c>
      <c r="B22" s="11" t="s">
        <v>168</v>
      </c>
      <c r="C22" s="11" t="s">
        <v>21</v>
      </c>
      <c r="D22" s="37">
        <v>1</v>
      </c>
      <c r="E22" s="11">
        <v>700</v>
      </c>
      <c r="F22" s="11">
        <f>D22*E22</f>
        <v>700</v>
      </c>
      <c r="G22" s="19">
        <f>-F22</f>
        <v>-700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f>G22</f>
        <v>-700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37">
        <f>5%</f>
        <v>0.05</v>
      </c>
      <c r="E23" s="11">
        <f>(F18+F19)</f>
        <v>2010591.004</v>
      </c>
      <c r="F23" s="11">
        <f>D23*E23</f>
        <v>100529.5502</v>
      </c>
      <c r="G23" s="17">
        <f>-F23</f>
        <v>-100529.5502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f>G23*0.2</f>
        <v>-20105.910040000002</v>
      </c>
      <c r="R23" s="18">
        <v>0</v>
      </c>
      <c r="S23" s="18">
        <v>0</v>
      </c>
      <c r="T23" s="18">
        <f>G23*0.8</f>
        <v>-80423.64016000001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37">
        <f>5%</f>
        <v>0.05</v>
      </c>
      <c r="E24" s="11">
        <f>F16</f>
        <v>31646.16</v>
      </c>
      <c r="F24" s="11">
        <f>D24*E24</f>
        <v>1582.308</v>
      </c>
      <c r="G24" s="19">
        <f>-F24</f>
        <v>-1582.308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>G24*0.2</f>
        <v>-316.46160000000003</v>
      </c>
      <c r="O24" s="20">
        <v>0</v>
      </c>
      <c r="P24" s="20">
        <f>G24*0.8</f>
        <v>-1265.8464000000001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</row>
    <row r="25" spans="1:99" x14ac:dyDescent="0.25">
      <c r="A25" s="11" t="s">
        <v>4</v>
      </c>
      <c r="B25" s="11" t="s">
        <v>0</v>
      </c>
      <c r="C25" s="11" t="s">
        <v>169</v>
      </c>
      <c r="D25" s="37">
        <v>2.9999999999999997E-4</v>
      </c>
      <c r="E25" s="11">
        <f>F18</f>
        <v>566052.08400000003</v>
      </c>
      <c r="F25" s="11">
        <f>D25*E25</f>
        <v>169.8156252</v>
      </c>
      <c r="G25" s="19">
        <f>-F25</f>
        <v>-169.8156252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f>G25</f>
        <v>-169.8156252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</row>
    <row r="26" spans="1:99" x14ac:dyDescent="0.25">
      <c r="A26" s="11" t="s">
        <v>4</v>
      </c>
      <c r="B26" s="11" t="s">
        <v>0</v>
      </c>
      <c r="C26" s="11" t="s">
        <v>170</v>
      </c>
      <c r="D26" s="37">
        <v>2.0000000000000001E-4</v>
      </c>
      <c r="E26" s="11">
        <f>F18</f>
        <v>566052.08400000003</v>
      </c>
      <c r="F26" s="11">
        <f>D26*E26</f>
        <v>113.21041680000002</v>
      </c>
      <c r="G26" s="19">
        <f>-F26</f>
        <v>-113.21041680000002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f>G26</f>
        <v>-113.21041680000002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</row>
    <row r="27" spans="1:99" x14ac:dyDescent="0.25">
      <c r="A27" s="11" t="s">
        <v>4</v>
      </c>
      <c r="B27" s="11" t="s">
        <v>0</v>
      </c>
      <c r="C27" s="11" t="s">
        <v>171</v>
      </c>
      <c r="D27" s="37">
        <v>1</v>
      </c>
      <c r="E27" s="11">
        <v>250</v>
      </c>
      <c r="F27" s="11">
        <f>D27*E27</f>
        <v>250</v>
      </c>
      <c r="G27" s="19">
        <f>-F27</f>
        <v>-250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f>G27</f>
        <v>-250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</row>
    <row r="28" spans="1:99" x14ac:dyDescent="0.25">
      <c r="A28" s="11" t="s">
        <v>4</v>
      </c>
      <c r="B28" s="11" t="s">
        <v>0</v>
      </c>
      <c r="C28" s="11" t="s">
        <v>172</v>
      </c>
      <c r="D28" s="37">
        <v>2.9999999999999997E-4</v>
      </c>
      <c r="E28" s="11">
        <f>F18</f>
        <v>566052.08400000003</v>
      </c>
      <c r="F28" s="11">
        <f>D28*E28</f>
        <v>169.8156252</v>
      </c>
      <c r="G28" s="19">
        <f>-F28</f>
        <v>-169.8156252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f>G28</f>
        <v>-169.8156252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</row>
    <row r="29" spans="1:99" x14ac:dyDescent="0.25">
      <c r="A29" s="11" t="s">
        <v>4</v>
      </c>
      <c r="B29" s="11" t="s">
        <v>0</v>
      </c>
      <c r="C29" s="11" t="s">
        <v>173</v>
      </c>
      <c r="D29" s="37">
        <v>2.0000000000000001E-4</v>
      </c>
      <c r="E29" s="11">
        <f>F18</f>
        <v>566052.08400000003</v>
      </c>
      <c r="F29" s="11">
        <f>D29*E29</f>
        <v>113.21041680000002</v>
      </c>
      <c r="G29" s="19">
        <f>-F29</f>
        <v>-113.21041680000002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 t="s">
        <v>196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f t="shared" ref="AN29:AN32" si="4">G29</f>
        <v>-113.21041680000002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</row>
    <row r="30" spans="1:99" x14ac:dyDescent="0.25">
      <c r="A30" s="11" t="s">
        <v>4</v>
      </c>
      <c r="B30" s="11" t="s">
        <v>0</v>
      </c>
      <c r="C30" s="11" t="s">
        <v>174</v>
      </c>
      <c r="D30" s="37">
        <v>1</v>
      </c>
      <c r="E30" s="11">
        <v>250</v>
      </c>
      <c r="F30" s="11">
        <f>D30*E30</f>
        <v>250</v>
      </c>
      <c r="G30" s="19">
        <f>-F30</f>
        <v>-250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f t="shared" si="4"/>
        <v>-250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37">
        <v>8.9999999999999993E-3</v>
      </c>
      <c r="E31" s="11">
        <f>F18</f>
        <v>566052.08400000003</v>
      </c>
      <c r="F31" s="11">
        <f>D31*E31</f>
        <v>5094.4687560000002</v>
      </c>
      <c r="G31" s="19">
        <f>-F31</f>
        <v>-5094.4687560000002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f>$G$31/16</f>
        <v>-318.40429725000001</v>
      </c>
      <c r="Y31" s="20">
        <f t="shared" ref="Y31:AM31" si="5">$G$31/16</f>
        <v>-318.40429725000001</v>
      </c>
      <c r="Z31" s="20">
        <f t="shared" si="5"/>
        <v>-318.40429725000001</v>
      </c>
      <c r="AA31" s="20">
        <f t="shared" si="5"/>
        <v>-318.40429725000001</v>
      </c>
      <c r="AB31" s="20">
        <f t="shared" si="5"/>
        <v>-318.40429725000001</v>
      </c>
      <c r="AC31" s="20">
        <f t="shared" si="5"/>
        <v>-318.40429725000001</v>
      </c>
      <c r="AD31" s="20">
        <f t="shared" si="5"/>
        <v>-318.40429725000001</v>
      </c>
      <c r="AE31" s="20">
        <f t="shared" si="5"/>
        <v>-318.40429725000001</v>
      </c>
      <c r="AF31" s="20">
        <f t="shared" si="5"/>
        <v>-318.40429725000001</v>
      </c>
      <c r="AG31" s="20">
        <f t="shared" si="5"/>
        <v>-318.40429725000001</v>
      </c>
      <c r="AH31" s="20">
        <f t="shared" si="5"/>
        <v>-318.40429725000001</v>
      </c>
      <c r="AI31" s="20">
        <f t="shared" si="5"/>
        <v>-318.40429725000001</v>
      </c>
      <c r="AJ31" s="20">
        <f t="shared" si="5"/>
        <v>-318.40429725000001</v>
      </c>
      <c r="AK31" s="20">
        <f t="shared" si="5"/>
        <v>-318.40429725000001</v>
      </c>
      <c r="AL31" s="20">
        <f t="shared" si="5"/>
        <v>-318.40429725000001</v>
      </c>
      <c r="AM31" s="20">
        <f t="shared" si="5"/>
        <v>-318.40429725000001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</row>
    <row r="32" spans="1:99" x14ac:dyDescent="0.25">
      <c r="A32" s="11" t="s">
        <v>4</v>
      </c>
      <c r="B32" s="11" t="s">
        <v>0</v>
      </c>
      <c r="C32" s="11" t="s">
        <v>175</v>
      </c>
      <c r="D32" s="37">
        <v>2.5000000000000001E-3</v>
      </c>
      <c r="E32" s="11">
        <f>10*65*1.2*725.71</f>
        <v>566053.80000000005</v>
      </c>
      <c r="F32" s="11">
        <f>D32*E32</f>
        <v>1415.1345000000001</v>
      </c>
      <c r="G32" s="19">
        <f>-F32</f>
        <v>-1415.1345000000001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f t="shared" si="4"/>
        <v>-1415.1345000000001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0</v>
      </c>
      <c r="CS32" s="20">
        <v>0</v>
      </c>
      <c r="CT32" s="20">
        <v>0</v>
      </c>
      <c r="CU32" s="20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35">
        <v>1</v>
      </c>
      <c r="E33" s="21">
        <v>2500</v>
      </c>
      <c r="F33" s="21">
        <f>D33*E33</f>
        <v>2500</v>
      </c>
      <c r="G33" s="22">
        <f>-F33</f>
        <v>-2500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4">
        <f>G33</f>
        <v>-2500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</row>
    <row r="34" spans="1:99" x14ac:dyDescent="0.25">
      <c r="A34" s="11" t="s">
        <v>4</v>
      </c>
      <c r="B34" s="11" t="s">
        <v>24</v>
      </c>
      <c r="C34" s="11" t="s">
        <v>176</v>
      </c>
      <c r="D34" s="38">
        <v>2.5000000000000001E-3</v>
      </c>
      <c r="E34" s="21">
        <f>-0.8*SUM(G2:G32,G41:G42)</f>
        <v>2221264.1308191619</v>
      </c>
      <c r="F34" s="21">
        <f>D34*E34</f>
        <v>5553.1603270479045</v>
      </c>
      <c r="G34" s="19">
        <f>-F34</f>
        <v>-5553.1603270479045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f>G34</f>
        <v>-5553.1603270479045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35">
        <v>1</v>
      </c>
      <c r="E35" s="21">
        <v>250</v>
      </c>
      <c r="F35" s="21">
        <f>D35*E35</f>
        <v>250</v>
      </c>
      <c r="G35" s="19">
        <f>-F35</f>
        <v>-250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f>G35</f>
        <v>-250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38">
        <v>2.5000000000000001E-3</v>
      </c>
      <c r="E36" s="21">
        <f>-0.8*SUM(G2:G32,G41:G42)</f>
        <v>2221264.1308191619</v>
      </c>
      <c r="F36" s="21">
        <f>D36*E36</f>
        <v>5553.1603270479045</v>
      </c>
      <c r="G36" s="19">
        <f>-F36</f>
        <v>-5553.1603270479045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f>G36</f>
        <v>-5553.1603270479045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38">
        <v>1E-3</v>
      </c>
      <c r="E37" s="21">
        <f>-0.8*SUM(G2:G32,G41:G42)</f>
        <v>2221264.1308191619</v>
      </c>
      <c r="F37" s="21">
        <f>D37*E37</f>
        <v>2221.2641308191619</v>
      </c>
      <c r="G37" s="19">
        <f>-F37</f>
        <v>-2221.2641308191619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f>G37</f>
        <v>-2221.2641308191619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</row>
    <row r="38" spans="1:99" x14ac:dyDescent="0.25">
      <c r="A38" s="11" t="s">
        <v>4</v>
      </c>
      <c r="B38" s="11" t="s">
        <v>24</v>
      </c>
      <c r="C38" s="11" t="s">
        <v>96</v>
      </c>
      <c r="D38" s="38">
        <f>intereses!C5</f>
        <v>3.5000000000000003E-2</v>
      </c>
      <c r="E38" s="21">
        <f>0.8*(SUM(F2:F42)-F44-F45)</f>
        <v>1551752.8469087326</v>
      </c>
      <c r="F38" s="21">
        <v>141992.68</v>
      </c>
      <c r="G38" s="19"/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-4525.9458034838035</v>
      </c>
      <c r="AO38" s="20">
        <v>-4456.8116269377851</v>
      </c>
      <c r="AP38" s="20">
        <v>-4387.4758090435071</v>
      </c>
      <c r="AQ38" s="20">
        <v>-4317.9377616803713</v>
      </c>
      <c r="AR38" s="20">
        <v>-4248.1968950124265</v>
      </c>
      <c r="AS38" s="20">
        <v>-4178.2526174833665</v>
      </c>
      <c r="AT38" s="20">
        <v>-4108.104335811513</v>
      </c>
      <c r="AU38" s="20">
        <v>-4037.7514549847842</v>
      </c>
      <c r="AV38" s="20">
        <v>-3967.1933782556434</v>
      </c>
      <c r="AW38" s="20">
        <v>-3896.4295071360434</v>
      </c>
      <c r="AX38" s="20">
        <v>-3825.4592413923433</v>
      </c>
      <c r="AY38" s="20">
        <v>-3754.2819790402245</v>
      </c>
      <c r="AZ38" s="20">
        <v>-3682.8971163395795</v>
      </c>
      <c r="BA38" s="20">
        <v>-3611.3040477893906</v>
      </c>
      <c r="BB38" s="20">
        <v>-3539.5021661225965</v>
      </c>
      <c r="BC38" s="20">
        <v>-3467.4908623009405</v>
      </c>
      <c r="BD38" s="25">
        <v>-3395.2695255098056</v>
      </c>
      <c r="BE38" s="25">
        <v>-3322.8375431530303</v>
      </c>
      <c r="BF38" s="25">
        <v>-3250.1943008477133</v>
      </c>
      <c r="BG38" s="25">
        <v>-3177.3391824190062</v>
      </c>
      <c r="BH38" s="25">
        <v>-3104.2715698948818</v>
      </c>
      <c r="BI38" s="25">
        <v>-3030.9908435008956</v>
      </c>
      <c r="BJ38" s="25">
        <v>-2957.4963816549271</v>
      </c>
      <c r="BK38" s="25">
        <v>-2883.7875609619077</v>
      </c>
      <c r="BL38" s="25">
        <v>-2809.8637562085341</v>
      </c>
      <c r="BM38" s="25">
        <v>-2735.7243403579628</v>
      </c>
      <c r="BN38" s="25">
        <v>-2661.3686845444936</v>
      </c>
      <c r="BO38" s="25">
        <v>-2586.7961580682359</v>
      </c>
      <c r="BP38" s="25">
        <v>-2512.0061283897558</v>
      </c>
      <c r="BQ38" s="25">
        <v>-2436.9979611247127</v>
      </c>
      <c r="BR38" s="25">
        <v>-2361.7710200384799</v>
      </c>
      <c r="BS38" s="25">
        <v>-2286.3246670407461</v>
      </c>
      <c r="BT38" s="25">
        <v>-2210.6582621801017</v>
      </c>
      <c r="BU38" s="25">
        <v>-2134.7711636386148</v>
      </c>
      <c r="BV38" s="25">
        <v>-2058.662727726381</v>
      </c>
      <c r="BW38" s="25">
        <v>-1982.3323088760701</v>
      </c>
      <c r="BX38" s="25">
        <v>-1905.7792596374454</v>
      </c>
      <c r="BY38" s="25">
        <v>-1829.0029306718754</v>
      </c>
      <c r="BZ38" s="25">
        <v>-1752.0026707468219</v>
      </c>
      <c r="CA38" s="25">
        <v>-1674.7778267303206</v>
      </c>
      <c r="CB38" s="25">
        <v>-1597.3277435854379</v>
      </c>
      <c r="CC38" s="25">
        <v>-1519.651764364716</v>
      </c>
      <c r="CD38" s="25">
        <v>-1441.7492302046001</v>
      </c>
      <c r="CE38" s="25">
        <v>-1363.6194803198505</v>
      </c>
      <c r="CF38" s="25">
        <v>-1285.2618519979371</v>
      </c>
      <c r="CG38" s="25">
        <v>-1206.6756805934183</v>
      </c>
      <c r="CH38" s="25">
        <v>-1127.860299522303</v>
      </c>
      <c r="CI38" s="25">
        <v>-1048.8150402563967</v>
      </c>
      <c r="CJ38" s="25">
        <v>-969.53923231763179</v>
      </c>
      <c r="CK38" s="25">
        <v>-890.03220327237864</v>
      </c>
      <c r="CL38" s="25">
        <v>-810.29327872574356</v>
      </c>
      <c r="CM38" s="25">
        <v>-730.32178231584737</v>
      </c>
      <c r="CN38" s="25">
        <v>-650.11703570808902</v>
      </c>
      <c r="CO38" s="25">
        <v>-569.67835858939156</v>
      </c>
      <c r="CP38" s="25">
        <v>-489.00506866243103</v>
      </c>
      <c r="CQ38" s="25">
        <v>-408.09648163985014</v>
      </c>
      <c r="CR38" s="25">
        <v>-326.95191123845348</v>
      </c>
      <c r="CS38" s="25">
        <v>-245.57066917338614</v>
      </c>
      <c r="CT38" s="25">
        <v>-163.95206515229563</v>
      </c>
      <c r="CU38" s="25">
        <v>-82.095406869476903</v>
      </c>
    </row>
    <row r="39" spans="1:99" x14ac:dyDescent="0.25">
      <c r="A39" s="11" t="s">
        <v>4</v>
      </c>
      <c r="B39" s="11" t="s">
        <v>24</v>
      </c>
      <c r="C39" s="11" t="s">
        <v>39</v>
      </c>
      <c r="D39" s="38">
        <f>intereses!E5</f>
        <v>0.05</v>
      </c>
      <c r="E39" s="21">
        <f>-0.8*SUM(G2:G32,G41:G42)</f>
        <v>2221264.1308191619</v>
      </c>
      <c r="F39" s="21">
        <v>79487.47</v>
      </c>
      <c r="G39" s="19"/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-9255.2672083333327</v>
      </c>
      <c r="Y39" s="20">
        <v>-8694.6767552989186</v>
      </c>
      <c r="Z39" s="20">
        <v>-8131.7505087101954</v>
      </c>
      <c r="AA39" s="20">
        <v>-7566.4787360940172</v>
      </c>
      <c r="AB39" s="20">
        <v>-6998.8516644252732</v>
      </c>
      <c r="AC39" s="20">
        <v>-6428.8594799579105</v>
      </c>
      <c r="AD39" s="20">
        <v>-5856.4923280552639</v>
      </c>
      <c r="AE39" s="20">
        <v>-5281.7403130196926</v>
      </c>
      <c r="AF39" s="20">
        <v>-4704.5934979214717</v>
      </c>
      <c r="AG39" s="20">
        <v>-4125.0419044270084</v>
      </c>
      <c r="AH39" s="20">
        <v>-3543.0755126263184</v>
      </c>
      <c r="AI39" s="20">
        <v>-2958.6842608597917</v>
      </c>
      <c r="AJ39" s="20">
        <v>-2371.8580455442379</v>
      </c>
      <c r="AK39" s="20">
        <v>-1782.5867209982032</v>
      </c>
      <c r="AL39" s="20">
        <v>-1190.8600992665599</v>
      </c>
      <c r="AM39" s="20">
        <v>-596.66794994436782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38">
        <v>2.5000000000000001E-3</v>
      </c>
      <c r="E40" s="21">
        <f>-0.8*SUM(G2:G32,G41:G42)</f>
        <v>2221264.1308191619</v>
      </c>
      <c r="F40" s="21">
        <f>D40*E40</f>
        <v>5553.1603270479045</v>
      </c>
      <c r="G40" s="19">
        <f>-F40</f>
        <v>-5553.1603270479045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f>G40</f>
        <v>-5553.1603270479045</v>
      </c>
    </row>
    <row r="41" spans="1:99" x14ac:dyDescent="0.25">
      <c r="A41" s="11" t="s">
        <v>4</v>
      </c>
      <c r="B41" s="11" t="s">
        <v>1</v>
      </c>
      <c r="C41" s="11" t="s">
        <v>22</v>
      </c>
      <c r="D41" s="37">
        <f>10*8</f>
        <v>80</v>
      </c>
      <c r="E41" s="11">
        <v>700</v>
      </c>
      <c r="F41" s="21">
        <f>D41*E41</f>
        <v>56000</v>
      </c>
      <c r="G41" s="17">
        <f>-F41</f>
        <v>-56000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f t="shared" ref="Y41:AF41" si="6">$G$41/8</f>
        <v>-7000</v>
      </c>
      <c r="Z41" s="18">
        <f t="shared" si="6"/>
        <v>-7000</v>
      </c>
      <c r="AA41" s="18">
        <f t="shared" si="6"/>
        <v>-7000</v>
      </c>
      <c r="AB41" s="18">
        <f t="shared" si="6"/>
        <v>-7000</v>
      </c>
      <c r="AC41" s="18">
        <f t="shared" si="6"/>
        <v>-7000</v>
      </c>
      <c r="AD41" s="18">
        <f t="shared" si="6"/>
        <v>-7000</v>
      </c>
      <c r="AE41" s="18">
        <f t="shared" si="6"/>
        <v>-7000</v>
      </c>
      <c r="AF41" s="18">
        <f t="shared" si="6"/>
        <v>-7000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37">
        <f>10*8</f>
        <v>80</v>
      </c>
      <c r="E42" s="11">
        <v>200</v>
      </c>
      <c r="F42" s="21">
        <f>D42*E42</f>
        <v>16000</v>
      </c>
      <c r="G42" s="19">
        <f>-$F$42</f>
        <v>-16000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f t="shared" ref="Y42:AF42" si="7">$G$42/8</f>
        <v>-2000</v>
      </c>
      <c r="Z42" s="20">
        <f t="shared" si="7"/>
        <v>-2000</v>
      </c>
      <c r="AA42" s="20">
        <f t="shared" si="7"/>
        <v>-2000</v>
      </c>
      <c r="AB42" s="20">
        <f t="shared" si="7"/>
        <v>-2000</v>
      </c>
      <c r="AC42" s="20">
        <f t="shared" si="7"/>
        <v>-2000</v>
      </c>
      <c r="AD42" s="20">
        <f t="shared" si="7"/>
        <v>-2000</v>
      </c>
      <c r="AE42" s="20">
        <f t="shared" si="7"/>
        <v>-2000</v>
      </c>
      <c r="AF42" s="20">
        <f t="shared" si="7"/>
        <v>-2000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</row>
    <row r="43" spans="1:99" x14ac:dyDescent="0.25">
      <c r="A43" s="11" t="s">
        <v>5</v>
      </c>
      <c r="B43" s="11" t="s">
        <v>177</v>
      </c>
      <c r="C43" s="11" t="s">
        <v>145</v>
      </c>
      <c r="D43" s="37">
        <v>10</v>
      </c>
      <c r="E43" s="11">
        <f>65*2183.04</f>
        <v>141897.60000000001</v>
      </c>
      <c r="F43" s="11">
        <f>D43*E43</f>
        <v>1418976</v>
      </c>
      <c r="G43" s="19">
        <f>F43</f>
        <v>1418976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f>G43</f>
        <v>1418976</v>
      </c>
    </row>
    <row r="44" spans="1:99" x14ac:dyDescent="0.25">
      <c r="A44" s="11" t="s">
        <v>5</v>
      </c>
      <c r="B44" s="11" t="s">
        <v>178</v>
      </c>
      <c r="C44" s="11" t="s">
        <v>179</v>
      </c>
      <c r="D44" s="37">
        <v>40</v>
      </c>
      <c r="E44" s="16">
        <v>16000</v>
      </c>
      <c r="F44" s="11">
        <f>D44*E44</f>
        <v>640000</v>
      </c>
      <c r="G44" s="19">
        <f>F44</f>
        <v>640000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f>G44</f>
        <v>640000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</row>
    <row r="45" spans="1:99" x14ac:dyDescent="0.25">
      <c r="A45" s="11" t="s">
        <v>5</v>
      </c>
      <c r="B45" s="11" t="s">
        <v>178</v>
      </c>
      <c r="C45" s="11" t="s">
        <v>180</v>
      </c>
      <c r="D45" s="37">
        <v>40</v>
      </c>
      <c r="E45" s="11">
        <v>11000</v>
      </c>
      <c r="F45" s="11">
        <f>D45*E45</f>
        <v>440000</v>
      </c>
      <c r="G45" s="19">
        <f>F45</f>
        <v>440000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f>G45</f>
        <v>440000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  <c r="CT45" s="20">
        <v>0</v>
      </c>
      <c r="CU45" s="20">
        <v>0</v>
      </c>
    </row>
    <row r="46" spans="1:99" x14ac:dyDescent="0.25">
      <c r="A46" s="11" t="s">
        <v>5</v>
      </c>
      <c r="B46" s="11" t="s">
        <v>181</v>
      </c>
      <c r="C46" s="11" t="s">
        <v>182</v>
      </c>
      <c r="D46" s="37">
        <f>10*60</f>
        <v>600</v>
      </c>
      <c r="E46" s="11">
        <v>450</v>
      </c>
      <c r="F46" s="21">
        <f>D46*E46</f>
        <v>270000</v>
      </c>
      <c r="G46" s="19">
        <f>F46</f>
        <v>270000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f>($D$46*$E$46)/60</f>
        <v>4500</v>
      </c>
      <c r="AO46" s="20">
        <f t="shared" ref="AO46:CU46" si="8">($D$46*$E$46)/60</f>
        <v>4500</v>
      </c>
      <c r="AP46" s="20">
        <f t="shared" si="8"/>
        <v>4500</v>
      </c>
      <c r="AQ46" s="20">
        <f t="shared" si="8"/>
        <v>4500</v>
      </c>
      <c r="AR46" s="20">
        <f t="shared" si="8"/>
        <v>4500</v>
      </c>
      <c r="AS46" s="20">
        <f t="shared" si="8"/>
        <v>4500</v>
      </c>
      <c r="AT46" s="20">
        <f t="shared" si="8"/>
        <v>4500</v>
      </c>
      <c r="AU46" s="20">
        <f t="shared" si="8"/>
        <v>4500</v>
      </c>
      <c r="AV46" s="20">
        <f t="shared" si="8"/>
        <v>4500</v>
      </c>
      <c r="AW46" s="20">
        <f t="shared" si="8"/>
        <v>4500</v>
      </c>
      <c r="AX46" s="20">
        <f t="shared" si="8"/>
        <v>4500</v>
      </c>
      <c r="AY46" s="20">
        <f t="shared" si="8"/>
        <v>4500</v>
      </c>
      <c r="AZ46" s="20">
        <f t="shared" si="8"/>
        <v>4500</v>
      </c>
      <c r="BA46" s="20">
        <f t="shared" si="8"/>
        <v>4500</v>
      </c>
      <c r="BB46" s="20">
        <f t="shared" si="8"/>
        <v>4500</v>
      </c>
      <c r="BC46" s="20">
        <f t="shared" si="8"/>
        <v>4500</v>
      </c>
      <c r="BD46" s="20">
        <f t="shared" si="8"/>
        <v>4500</v>
      </c>
      <c r="BE46" s="20">
        <f t="shared" si="8"/>
        <v>4500</v>
      </c>
      <c r="BF46" s="20">
        <f t="shared" si="8"/>
        <v>4500</v>
      </c>
      <c r="BG46" s="20">
        <f t="shared" si="8"/>
        <v>4500</v>
      </c>
      <c r="BH46" s="20">
        <f t="shared" si="8"/>
        <v>4500</v>
      </c>
      <c r="BI46" s="20">
        <f t="shared" si="8"/>
        <v>4500</v>
      </c>
      <c r="BJ46" s="20">
        <f t="shared" si="8"/>
        <v>4500</v>
      </c>
      <c r="BK46" s="20">
        <f t="shared" si="8"/>
        <v>4500</v>
      </c>
      <c r="BL46" s="20">
        <f t="shared" si="8"/>
        <v>4500</v>
      </c>
      <c r="BM46" s="20">
        <f t="shared" si="8"/>
        <v>4500</v>
      </c>
      <c r="BN46" s="20">
        <f t="shared" si="8"/>
        <v>4500</v>
      </c>
      <c r="BO46" s="20">
        <f t="shared" si="8"/>
        <v>4500</v>
      </c>
      <c r="BP46" s="20">
        <f t="shared" si="8"/>
        <v>4500</v>
      </c>
      <c r="BQ46" s="20">
        <f t="shared" si="8"/>
        <v>4500</v>
      </c>
      <c r="BR46" s="20">
        <f t="shared" si="8"/>
        <v>4500</v>
      </c>
      <c r="BS46" s="20">
        <f t="shared" si="8"/>
        <v>4500</v>
      </c>
      <c r="BT46" s="20">
        <f t="shared" si="8"/>
        <v>4500</v>
      </c>
      <c r="BU46" s="20">
        <f t="shared" si="8"/>
        <v>4500</v>
      </c>
      <c r="BV46" s="20">
        <f t="shared" si="8"/>
        <v>4500</v>
      </c>
      <c r="BW46" s="20">
        <f t="shared" si="8"/>
        <v>4500</v>
      </c>
      <c r="BX46" s="20">
        <f t="shared" si="8"/>
        <v>4500</v>
      </c>
      <c r="BY46" s="20">
        <f t="shared" si="8"/>
        <v>4500</v>
      </c>
      <c r="BZ46" s="20">
        <f t="shared" si="8"/>
        <v>4500</v>
      </c>
      <c r="CA46" s="20">
        <f t="shared" si="8"/>
        <v>4500</v>
      </c>
      <c r="CB46" s="20">
        <f t="shared" si="8"/>
        <v>4500</v>
      </c>
      <c r="CC46" s="20">
        <f t="shared" si="8"/>
        <v>4500</v>
      </c>
      <c r="CD46" s="20">
        <f t="shared" si="8"/>
        <v>4500</v>
      </c>
      <c r="CE46" s="20">
        <f t="shared" si="8"/>
        <v>4500</v>
      </c>
      <c r="CF46" s="20">
        <f t="shared" si="8"/>
        <v>4500</v>
      </c>
      <c r="CG46" s="20">
        <f t="shared" si="8"/>
        <v>4500</v>
      </c>
      <c r="CH46" s="20">
        <f t="shared" si="8"/>
        <v>4500</v>
      </c>
      <c r="CI46" s="20">
        <f t="shared" si="8"/>
        <v>4500</v>
      </c>
      <c r="CJ46" s="20">
        <f t="shared" si="8"/>
        <v>4500</v>
      </c>
      <c r="CK46" s="20">
        <f t="shared" si="8"/>
        <v>4500</v>
      </c>
      <c r="CL46" s="20">
        <f t="shared" si="8"/>
        <v>4500</v>
      </c>
      <c r="CM46" s="20">
        <f t="shared" si="8"/>
        <v>4500</v>
      </c>
      <c r="CN46" s="20">
        <f t="shared" si="8"/>
        <v>4500</v>
      </c>
      <c r="CO46" s="20">
        <f t="shared" si="8"/>
        <v>4500</v>
      </c>
      <c r="CP46" s="20">
        <f t="shared" si="8"/>
        <v>4500</v>
      </c>
      <c r="CQ46" s="20">
        <f t="shared" si="8"/>
        <v>4500</v>
      </c>
      <c r="CR46" s="20">
        <f t="shared" si="8"/>
        <v>4500</v>
      </c>
      <c r="CS46" s="20">
        <f t="shared" si="8"/>
        <v>4500</v>
      </c>
      <c r="CT46" s="20">
        <f t="shared" si="8"/>
        <v>4500</v>
      </c>
      <c r="CU46" s="20">
        <f t="shared" si="8"/>
        <v>4500</v>
      </c>
    </row>
    <row r="47" spans="1:99" x14ac:dyDescent="0.25">
      <c r="A47" s="11" t="s">
        <v>5</v>
      </c>
      <c r="B47" s="11" t="s">
        <v>183</v>
      </c>
      <c r="C47" s="11" t="s">
        <v>157</v>
      </c>
      <c r="D47" s="37">
        <f>50*60</f>
        <v>3000</v>
      </c>
      <c r="E47" s="11">
        <v>50</v>
      </c>
      <c r="F47" s="21">
        <f>D47*E47</f>
        <v>150000</v>
      </c>
      <c r="G47" s="42">
        <f>F47</f>
        <v>150000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f>($D$47*$E$47)/60</f>
        <v>2500</v>
      </c>
      <c r="AO47" s="20">
        <f t="shared" ref="AO47:CU47" si="9">($D$47*$E$47)/60</f>
        <v>2500</v>
      </c>
      <c r="AP47" s="20">
        <f t="shared" si="9"/>
        <v>2500</v>
      </c>
      <c r="AQ47" s="20">
        <f t="shared" si="9"/>
        <v>2500</v>
      </c>
      <c r="AR47" s="20">
        <f t="shared" si="9"/>
        <v>2500</v>
      </c>
      <c r="AS47" s="20">
        <f t="shared" si="9"/>
        <v>2500</v>
      </c>
      <c r="AT47" s="20">
        <f t="shared" si="9"/>
        <v>2500</v>
      </c>
      <c r="AU47" s="20">
        <f t="shared" si="9"/>
        <v>2500</v>
      </c>
      <c r="AV47" s="20">
        <f t="shared" si="9"/>
        <v>2500</v>
      </c>
      <c r="AW47" s="20">
        <f t="shared" si="9"/>
        <v>2500</v>
      </c>
      <c r="AX47" s="20">
        <f t="shared" si="9"/>
        <v>2500</v>
      </c>
      <c r="AY47" s="20">
        <f t="shared" si="9"/>
        <v>2500</v>
      </c>
      <c r="AZ47" s="20">
        <f t="shared" si="9"/>
        <v>2500</v>
      </c>
      <c r="BA47" s="20">
        <f t="shared" si="9"/>
        <v>2500</v>
      </c>
      <c r="BB47" s="20">
        <f t="shared" si="9"/>
        <v>2500</v>
      </c>
      <c r="BC47" s="20">
        <f t="shared" si="9"/>
        <v>2500</v>
      </c>
      <c r="BD47" s="20">
        <f t="shared" si="9"/>
        <v>2500</v>
      </c>
      <c r="BE47" s="20">
        <f t="shared" si="9"/>
        <v>2500</v>
      </c>
      <c r="BF47" s="20">
        <f t="shared" si="9"/>
        <v>2500</v>
      </c>
      <c r="BG47" s="20">
        <f t="shared" si="9"/>
        <v>2500</v>
      </c>
      <c r="BH47" s="20">
        <f t="shared" si="9"/>
        <v>2500</v>
      </c>
      <c r="BI47" s="20">
        <f t="shared" si="9"/>
        <v>2500</v>
      </c>
      <c r="BJ47" s="20">
        <f t="shared" si="9"/>
        <v>2500</v>
      </c>
      <c r="BK47" s="20">
        <f t="shared" si="9"/>
        <v>2500</v>
      </c>
      <c r="BL47" s="20">
        <f t="shared" si="9"/>
        <v>2500</v>
      </c>
      <c r="BM47" s="20">
        <f t="shared" si="9"/>
        <v>2500</v>
      </c>
      <c r="BN47" s="20">
        <f t="shared" si="9"/>
        <v>2500</v>
      </c>
      <c r="BO47" s="20">
        <f t="shared" si="9"/>
        <v>2500</v>
      </c>
      <c r="BP47" s="20">
        <f t="shared" si="9"/>
        <v>2500</v>
      </c>
      <c r="BQ47" s="20">
        <f t="shared" si="9"/>
        <v>2500</v>
      </c>
      <c r="BR47" s="20">
        <f t="shared" si="9"/>
        <v>2500</v>
      </c>
      <c r="BS47" s="20">
        <f t="shared" si="9"/>
        <v>2500</v>
      </c>
      <c r="BT47" s="20">
        <f t="shared" si="9"/>
        <v>2500</v>
      </c>
      <c r="BU47" s="20">
        <f t="shared" si="9"/>
        <v>2500</v>
      </c>
      <c r="BV47" s="20">
        <f t="shared" si="9"/>
        <v>2500</v>
      </c>
      <c r="BW47" s="20">
        <f t="shared" si="9"/>
        <v>2500</v>
      </c>
      <c r="BX47" s="20">
        <f t="shared" si="9"/>
        <v>2500</v>
      </c>
      <c r="BY47" s="20">
        <f t="shared" si="9"/>
        <v>2500</v>
      </c>
      <c r="BZ47" s="20">
        <f t="shared" si="9"/>
        <v>2500</v>
      </c>
      <c r="CA47" s="20">
        <f t="shared" si="9"/>
        <v>2500</v>
      </c>
      <c r="CB47" s="20">
        <f t="shared" si="9"/>
        <v>2500</v>
      </c>
      <c r="CC47" s="20">
        <f t="shared" si="9"/>
        <v>2500</v>
      </c>
      <c r="CD47" s="20">
        <f t="shared" si="9"/>
        <v>2500</v>
      </c>
      <c r="CE47" s="20">
        <f t="shared" si="9"/>
        <v>2500</v>
      </c>
      <c r="CF47" s="20">
        <f t="shared" si="9"/>
        <v>2500</v>
      </c>
      <c r="CG47" s="20">
        <f t="shared" si="9"/>
        <v>2500</v>
      </c>
      <c r="CH47" s="20">
        <f t="shared" si="9"/>
        <v>2500</v>
      </c>
      <c r="CI47" s="20">
        <f t="shared" si="9"/>
        <v>2500</v>
      </c>
      <c r="CJ47" s="20">
        <f t="shared" si="9"/>
        <v>2500</v>
      </c>
      <c r="CK47" s="20">
        <f t="shared" si="9"/>
        <v>2500</v>
      </c>
      <c r="CL47" s="20">
        <f t="shared" si="9"/>
        <v>2500</v>
      </c>
      <c r="CM47" s="20">
        <f t="shared" si="9"/>
        <v>2500</v>
      </c>
      <c r="CN47" s="20">
        <f t="shared" si="9"/>
        <v>2500</v>
      </c>
      <c r="CO47" s="20">
        <f t="shared" si="9"/>
        <v>2500</v>
      </c>
      <c r="CP47" s="20">
        <f t="shared" si="9"/>
        <v>2500</v>
      </c>
      <c r="CQ47" s="20">
        <f t="shared" si="9"/>
        <v>2500</v>
      </c>
      <c r="CR47" s="20">
        <f t="shared" si="9"/>
        <v>2500</v>
      </c>
      <c r="CS47" s="20">
        <f t="shared" si="9"/>
        <v>2500</v>
      </c>
      <c r="CT47" s="20">
        <f t="shared" si="9"/>
        <v>2500</v>
      </c>
      <c r="CU47" s="20">
        <f t="shared" si="9"/>
        <v>2500</v>
      </c>
    </row>
    <row r="48" spans="1:99" x14ac:dyDescent="0.25">
      <c r="A48" s="11" t="s">
        <v>184</v>
      </c>
      <c r="B48" s="11" t="s">
        <v>185</v>
      </c>
      <c r="C48" s="11" t="s">
        <v>5</v>
      </c>
      <c r="F48" s="43"/>
      <c r="G48" s="45">
        <f>SUM(F43:F47)</f>
        <v>2918976</v>
      </c>
      <c r="H48" s="3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spans="1:99" x14ac:dyDescent="0.25">
      <c r="A49" s="11" t="s">
        <v>184</v>
      </c>
      <c r="B49" s="11" t="s">
        <v>185</v>
      </c>
      <c r="C49" s="11" t="s">
        <v>90</v>
      </c>
      <c r="F49" s="43"/>
      <c r="G49" s="45">
        <f>-SUM(F2:F42)</f>
        <v>-3019691.0586359156</v>
      </c>
      <c r="H49" s="39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spans="1:99" x14ac:dyDescent="0.25">
      <c r="A50" s="11" t="s">
        <v>184</v>
      </c>
      <c r="B50" s="11" t="s">
        <v>185</v>
      </c>
      <c r="C50" s="11" t="s">
        <v>186</v>
      </c>
      <c r="F50" s="43"/>
      <c r="G50" s="45">
        <f>SUM(G48:G49)</f>
        <v>-100715.05863591563</v>
      </c>
      <c r="H50" s="39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spans="1:99" x14ac:dyDescent="0.25">
      <c r="A51" s="11" t="s">
        <v>184</v>
      </c>
      <c r="B51" s="11" t="s">
        <v>185</v>
      </c>
      <c r="C51" s="11" t="s">
        <v>187</v>
      </c>
      <c r="F51" s="43"/>
      <c r="G51" s="46">
        <f>G50/-G49</f>
        <v>-3.3352769101290654E-2</v>
      </c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spans="1:99" x14ac:dyDescent="0.25">
      <c r="A52" s="11" t="s">
        <v>184</v>
      </c>
      <c r="B52" s="11" t="s">
        <v>188</v>
      </c>
      <c r="C52" s="11" t="s">
        <v>189</v>
      </c>
      <c r="F52" s="43"/>
      <c r="G52" s="47"/>
      <c r="H52" s="40">
        <f>SUM(H2:H47)</f>
        <v>0</v>
      </c>
      <c r="I52" s="25">
        <f>SUM(I2:I47)</f>
        <v>-7018</v>
      </c>
      <c r="J52" s="25">
        <f>SUM(J2:J47)</f>
        <v>0</v>
      </c>
      <c r="K52" s="25">
        <f>SUM(K2:K47)</f>
        <v>-9368.1069684400009</v>
      </c>
      <c r="L52" s="25">
        <f>SUM(L2:L47)</f>
        <v>0</v>
      </c>
      <c r="M52" s="25">
        <f>SUM(M2:M47)</f>
        <v>-56740.5441639696</v>
      </c>
      <c r="N52" s="25">
        <f>SUM(N2:N47)</f>
        <v>-316.46160000000003</v>
      </c>
      <c r="O52" s="25">
        <f>SUM(O2:O47)</f>
        <v>0</v>
      </c>
      <c r="P52" s="25">
        <f>SUM(P2:P47)</f>
        <v>-90567.724070834389</v>
      </c>
      <c r="Q52" s="25">
        <f>SUM(Q2:Q47)</f>
        <v>-20105.910040000002</v>
      </c>
      <c r="R52" s="25">
        <f>SUM(R2:R47)</f>
        <v>-2471.1069684399999</v>
      </c>
      <c r="S52" s="25">
        <f>SUM(S2:S47)</f>
        <v>0</v>
      </c>
      <c r="T52" s="25">
        <f>SUM(T2:T47)</f>
        <v>-80423.64016000001</v>
      </c>
      <c r="U52" s="25">
        <f>SUM(U2:U47)</f>
        <v>0</v>
      </c>
      <c r="V52" s="25">
        <f>SUM(V2:V47)</f>
        <v>0</v>
      </c>
      <c r="W52" s="25">
        <f>SUM(W2:W47)</f>
        <v>-16077.58478491497</v>
      </c>
      <c r="X52" s="25">
        <f>SUM(X2:X47)</f>
        <v>-27982.527432951334</v>
      </c>
      <c r="Y52" s="25">
        <f>SUM(Y2:Y47)</f>
        <v>-45027.541766604918</v>
      </c>
      <c r="Z52" s="25">
        <f>SUM(Z2:Z47)</f>
        <v>-38897.194380837056</v>
      </c>
      <c r="AA52" s="25">
        <f>SUM(AA2:AA47)</f>
        <v>-54221.850728220874</v>
      </c>
      <c r="AB52" s="25">
        <f>SUM(AB2:AB47)</f>
        <v>-91790.051144552126</v>
      </c>
      <c r="AC52" s="25">
        <f>SUM(AC2:AC47)</f>
        <v>-87247.576930084775</v>
      </c>
      <c r="AD52" s="25">
        <f>SUM(AD2:AD47)</f>
        <v>-98592.655868182104</v>
      </c>
      <c r="AE52" s="25">
        <f>SUM(AE2:AE47)</f>
        <v>-195352.76681914655</v>
      </c>
      <c r="AF52" s="25">
        <f>SUM(AF2:AF47)</f>
        <v>-237549.02760404834</v>
      </c>
      <c r="AG52" s="25">
        <f>SUM(AG2:AG47)</f>
        <v>-201383.08205775387</v>
      </c>
      <c r="AH52" s="25">
        <f>SUM(AH2:AH47)</f>
        <v>-292489.62221075315</v>
      </c>
      <c r="AI52" s="25">
        <f>SUM(AI2:AI47)</f>
        <v>-307018.76913498662</v>
      </c>
      <c r="AJ52" s="25">
        <f>SUM(AJ2:AJ47)</f>
        <v>-378213.52256967104</v>
      </c>
      <c r="AK52" s="25">
        <f>SUM(AK2:AK47)</f>
        <v>-236482.87004232506</v>
      </c>
      <c r="AL52" s="25">
        <f>SUM(AL2:AL47)</f>
        <v>-230529.99393019342</v>
      </c>
      <c r="AM52" s="25">
        <f>SUM(AM2:AM47)</f>
        <v>-58359.480002871227</v>
      </c>
      <c r="AN52" s="25">
        <f>SUM(AN2:AN47)</f>
        <v>1074556.4322819482</v>
      </c>
      <c r="AO52" s="25">
        <f>SUM(AO2:AO47)</f>
        <v>2543.1883730622149</v>
      </c>
      <c r="AP52" s="25">
        <f>SUM(AP2:AP47)</f>
        <v>2612.5241909564929</v>
      </c>
      <c r="AQ52" s="25">
        <f>SUM(AQ2:AQ47)</f>
        <v>2682.0622383196287</v>
      </c>
      <c r="AR52" s="25">
        <f>SUM(AR2:AR47)</f>
        <v>2751.8031049875735</v>
      </c>
      <c r="AS52" s="25">
        <f>SUM(AS2:AS47)</f>
        <v>2821.7473825166335</v>
      </c>
      <c r="AT52" s="25">
        <f>SUM(AT2:AT47)</f>
        <v>2891.895664188487</v>
      </c>
      <c r="AU52" s="25">
        <f>SUM(AU2:AU47)</f>
        <v>2962.2485450152158</v>
      </c>
      <c r="AV52" s="25">
        <f>SUM(AV2:AV47)</f>
        <v>3032.8066217443566</v>
      </c>
      <c r="AW52" s="25">
        <f>SUM(AW2:AW47)</f>
        <v>3103.5704928639566</v>
      </c>
      <c r="AX52" s="25">
        <f>SUM(AX2:AX47)</f>
        <v>3174.5407586076567</v>
      </c>
      <c r="AY52" s="25">
        <f>SUM(AY2:AY47)</f>
        <v>3245.7180209597755</v>
      </c>
      <c r="AZ52" s="25">
        <f>SUM(AZ2:AZ47)</f>
        <v>3317.1028836604205</v>
      </c>
      <c r="BA52" s="25">
        <f>SUM(BA2:BA47)</f>
        <v>3388.6959522106094</v>
      </c>
      <c r="BB52" s="25">
        <f>SUM(BB2:BB47)</f>
        <v>3460.4978338774035</v>
      </c>
      <c r="BC52" s="25">
        <f>SUM(BC2:BC47)</f>
        <v>3532.5091376990595</v>
      </c>
      <c r="BD52" s="25">
        <f>SUM(BD2:BD47)</f>
        <v>3604.7304744901944</v>
      </c>
      <c r="BE52" s="25">
        <f>SUM(BE2:BE47)</f>
        <v>3677.1624568469697</v>
      </c>
      <c r="BF52" s="25">
        <f>SUM(BF2:BF47)</f>
        <v>3749.8056991522867</v>
      </c>
      <c r="BG52" s="25">
        <f>SUM(BG2:BG47)</f>
        <v>3822.6608175809938</v>
      </c>
      <c r="BH52" s="25">
        <f>SUM(BH2:BH47)</f>
        <v>3895.7284301051182</v>
      </c>
      <c r="BI52" s="25">
        <f>SUM(BI2:BI47)</f>
        <v>3969.0091564991044</v>
      </c>
      <c r="BJ52" s="25">
        <f>SUM(BJ2:BJ47)</f>
        <v>4042.5036183450729</v>
      </c>
      <c r="BK52" s="25">
        <f>SUM(BK2:BK47)</f>
        <v>4116.2124390380923</v>
      </c>
      <c r="BL52" s="25">
        <f>SUM(BL2:BL47)</f>
        <v>4190.1362437914659</v>
      </c>
      <c r="BM52" s="25">
        <f>SUM(BM2:BM47)</f>
        <v>4264.2756596420368</v>
      </c>
      <c r="BN52" s="25">
        <f>SUM(BN2:BN47)</f>
        <v>4338.6313154555064</v>
      </c>
      <c r="BO52" s="25">
        <f>SUM(BO2:BO47)</f>
        <v>4413.2038419317641</v>
      </c>
      <c r="BP52" s="25">
        <f>SUM(BP2:BP47)</f>
        <v>4487.9938716102442</v>
      </c>
      <c r="BQ52" s="25">
        <f>SUM(BQ2:BQ47)</f>
        <v>4563.0020388752873</v>
      </c>
      <c r="BR52" s="25">
        <f>SUM(BR2:BR47)</f>
        <v>4638.2289799615201</v>
      </c>
      <c r="BS52" s="25">
        <f>SUM(BS2:BS47)</f>
        <v>4713.6753329592539</v>
      </c>
      <c r="BT52" s="25">
        <f>SUM(BT2:BT47)</f>
        <v>4789.3417378198983</v>
      </c>
      <c r="BU52" s="25">
        <f>SUM(BU2:BU47)</f>
        <v>4865.2288363613852</v>
      </c>
      <c r="BV52" s="25">
        <f>SUM(BV2:BV47)</f>
        <v>4941.3372722736185</v>
      </c>
      <c r="BW52" s="25">
        <f>SUM(BW2:BW47)</f>
        <v>5017.6676911239301</v>
      </c>
      <c r="BX52" s="25">
        <f>SUM(BX2:BX47)</f>
        <v>5094.2207403625544</v>
      </c>
      <c r="BY52" s="25">
        <f>SUM(BY2:BY47)</f>
        <v>5170.9970693281248</v>
      </c>
      <c r="BZ52" s="25">
        <f>SUM(BZ2:BZ47)</f>
        <v>5247.9973292531777</v>
      </c>
      <c r="CA52" s="25">
        <f>SUM(CA2:CA47)</f>
        <v>5325.2221732696798</v>
      </c>
      <c r="CB52" s="25">
        <f>SUM(CB2:CB47)</f>
        <v>5402.6722564145621</v>
      </c>
      <c r="CC52" s="25">
        <f>SUM(CC2:CC47)</f>
        <v>5480.3482356352843</v>
      </c>
      <c r="CD52" s="25">
        <f>SUM(CD2:CD47)</f>
        <v>5558.2507697953997</v>
      </c>
      <c r="CE52" s="25">
        <f>SUM(CE2:CE47)</f>
        <v>5636.3805196801495</v>
      </c>
      <c r="CF52" s="25">
        <f>SUM(CF2:CF47)</f>
        <v>5714.7381480020631</v>
      </c>
      <c r="CG52" s="25">
        <f>SUM(CG2:CG47)</f>
        <v>5793.3243194065817</v>
      </c>
      <c r="CH52" s="25">
        <f>SUM(CH2:CH47)</f>
        <v>5872.1397004776973</v>
      </c>
      <c r="CI52" s="25">
        <f>SUM(CI2:CI47)</f>
        <v>5951.184959743603</v>
      </c>
      <c r="CJ52" s="25">
        <f>SUM(CJ2:CJ47)</f>
        <v>6030.460767682368</v>
      </c>
      <c r="CK52" s="25">
        <f>SUM(CK2:CK47)</f>
        <v>6109.9677967276211</v>
      </c>
      <c r="CL52" s="25">
        <f>SUM(CL2:CL47)</f>
        <v>6189.7067212742568</v>
      </c>
      <c r="CM52" s="25">
        <f>SUM(CM2:CM47)</f>
        <v>6269.6782176841525</v>
      </c>
      <c r="CN52" s="25">
        <f>SUM(CN2:CN47)</f>
        <v>6349.8829642919109</v>
      </c>
      <c r="CO52" s="25">
        <f>SUM(CO2:CO47)</f>
        <v>6430.3216414106082</v>
      </c>
      <c r="CP52" s="25">
        <f>SUM(CP2:CP47)</f>
        <v>6510.9949313375691</v>
      </c>
      <c r="CQ52" s="25">
        <f>SUM(CQ2:CQ47)</f>
        <v>6591.90351836015</v>
      </c>
      <c r="CR52" s="25">
        <f>SUM(CR2:CR47)</f>
        <v>6673.0480887615468</v>
      </c>
      <c r="CS52" s="25">
        <f>SUM(CS2:CS47)</f>
        <v>6754.4293308266142</v>
      </c>
      <c r="CT52" s="25">
        <f>SUM(CT2:CT47)</f>
        <v>6836.0479348477047</v>
      </c>
      <c r="CU52" s="25">
        <f>SUM(CU2:CU47)</f>
        <v>1420340.7442660825</v>
      </c>
    </row>
    <row r="53" spans="1:99" x14ac:dyDescent="0.25">
      <c r="A53" s="11" t="s">
        <v>184</v>
      </c>
      <c r="B53" s="11" t="s">
        <v>188</v>
      </c>
      <c r="C53" s="11" t="s">
        <v>190</v>
      </c>
      <c r="F53" s="43"/>
      <c r="G53" s="46">
        <f>SUM(H52:CU52)</f>
        <v>-100715.06958264438</v>
      </c>
      <c r="H53" s="28">
        <f>SUM(H52:R52)</f>
        <v>-186587.85381168401</v>
      </c>
      <c r="I53" s="28"/>
      <c r="J53" s="28"/>
      <c r="K53" s="28"/>
      <c r="L53" s="28"/>
      <c r="M53" s="28"/>
      <c r="N53" s="28"/>
      <c r="O53" s="28"/>
      <c r="P53" s="28"/>
      <c r="Q53" s="28"/>
      <c r="R53" s="29"/>
      <c r="S53" s="27">
        <f>SUM(S52:AD52)</f>
        <v>-540260.6231963482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9"/>
      <c r="AE53" s="27">
        <f>SUM(AE52:AP52)</f>
        <v>-1057666.9895257822</v>
      </c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27">
        <f>SUM(AQ52:BB52)</f>
        <v>36832.689498951717</v>
      </c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9"/>
      <c r="BC53" s="27">
        <f>SUM(BC52:BN52)</f>
        <v>47203.365448645898</v>
      </c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9"/>
      <c r="BO53" s="27">
        <f>SUM(BO52:BZ52)</f>
        <v>57942.894741860757</v>
      </c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9"/>
      <c r="CA53" s="27">
        <f>SUM(CA52:CL52)</f>
        <v>69064.396368109257</v>
      </c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9"/>
      <c r="CM53" s="27">
        <f>SUM(CM52:CU52)</f>
        <v>1472757.0508936029</v>
      </c>
      <c r="CN53" s="28"/>
      <c r="CO53" s="28"/>
      <c r="CP53" s="28"/>
      <c r="CQ53" s="28"/>
      <c r="CR53" s="28"/>
      <c r="CS53" s="28"/>
      <c r="CT53" s="28"/>
      <c r="CU53" s="29"/>
    </row>
    <row r="54" spans="1:99" x14ac:dyDescent="0.25">
      <c r="A54" s="11" t="s">
        <v>184</v>
      </c>
      <c r="B54" s="11" t="s">
        <v>191</v>
      </c>
      <c r="C54" s="11" t="s">
        <v>192</v>
      </c>
      <c r="F54" s="43"/>
      <c r="G54" s="45">
        <v>0.06</v>
      </c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spans="1:99" x14ac:dyDescent="0.25">
      <c r="A55" s="11" t="s">
        <v>184</v>
      </c>
      <c r="B55" s="11" t="s">
        <v>191</v>
      </c>
      <c r="C55" s="11" t="s">
        <v>91</v>
      </c>
      <c r="F55" s="43"/>
      <c r="G55" s="45">
        <f xml:space="preserve"> (1+G54)^(1/12)-1</f>
        <v>4.8675505653430484E-3</v>
      </c>
      <c r="H55" s="39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spans="1:99" x14ac:dyDescent="0.25">
      <c r="A56" s="11" t="s">
        <v>184</v>
      </c>
      <c r="B56" s="11" t="s">
        <v>191</v>
      </c>
      <c r="C56" s="11" t="s">
        <v>92</v>
      </c>
      <c r="F56" s="43"/>
      <c r="G56" s="45">
        <v>5.0000000000000001E-4</v>
      </c>
      <c r="H56" s="39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spans="1:99" x14ac:dyDescent="0.25">
      <c r="A57" s="11" t="s">
        <v>184</v>
      </c>
      <c r="B57" s="11" t="s">
        <v>193</v>
      </c>
      <c r="C57" s="11" t="s">
        <v>93</v>
      </c>
      <c r="F57" s="43"/>
      <c r="G57" s="45">
        <f>NPV(G55,Q52:CU52)+SUM(H52:P52)</f>
        <v>-542112.98312161583</v>
      </c>
      <c r="H57" s="4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</row>
    <row r="58" spans="1:99" x14ac:dyDescent="0.25">
      <c r="A58" s="11" t="s">
        <v>184</v>
      </c>
      <c r="B58" s="11" t="s">
        <v>193</v>
      </c>
      <c r="C58" s="11" t="s">
        <v>94</v>
      </c>
      <c r="F58" s="43"/>
      <c r="G58" s="45">
        <f>CU58</f>
        <v>1.1964355958558048E-3</v>
      </c>
      <c r="H58" s="40"/>
      <c r="I58" s="25">
        <f>MIRR(H52:I52,G56,G55)</f>
        <v>-1</v>
      </c>
      <c r="J58" s="25">
        <f>MIRR($H$52:J52,$G$56,$G$55)</f>
        <v>-1</v>
      </c>
      <c r="K58" s="25">
        <f>MIRR($H$52:K52,$G$56,$G$55)</f>
        <v>-1</v>
      </c>
      <c r="L58" s="25">
        <f>MIRR($H$52:L52,$G$56,$G$55)</f>
        <v>-1</v>
      </c>
      <c r="M58" s="25">
        <f>MIRR($H$52:M52,$G$56,$G$55)</f>
        <v>-1</v>
      </c>
      <c r="N58" s="25">
        <f>MIRR($H$52:N52,$G$56,$G$55)</f>
        <v>-1</v>
      </c>
      <c r="O58" s="25">
        <f>MIRR($H$52:O52,$G$56,$G$55)</f>
        <v>-1</v>
      </c>
      <c r="P58" s="25">
        <f>MIRR($H$52:P52,$G$56,$G$55)</f>
        <v>-1</v>
      </c>
      <c r="Q58" s="25">
        <f>MIRR($H$52:Q52,$G$56,$G$55)</f>
        <v>-1</v>
      </c>
      <c r="R58" s="25">
        <f>MIRR($H$52:R52,$G$56,$G$55)</f>
        <v>-1</v>
      </c>
      <c r="S58" s="25">
        <f>MIRR($H$52:S52,$G$56,$G$55)</f>
        <v>-1</v>
      </c>
      <c r="T58" s="25">
        <f>MIRR($H$52:T52,$G$56,$G$55)</f>
        <v>-1</v>
      </c>
      <c r="U58" s="25">
        <f>MIRR($H$52:U52,$G$56,$G$55)</f>
        <v>-1</v>
      </c>
      <c r="V58" s="25">
        <f>MIRR($H$52:V52,$G$56,$G$55)</f>
        <v>-1</v>
      </c>
      <c r="W58" s="25">
        <f>MIRR($H$52:W52,$G$56,$G$55)</f>
        <v>-1</v>
      </c>
      <c r="X58" s="25">
        <f>MIRR($H$52:X52,$G$56,$G$55)</f>
        <v>-1</v>
      </c>
      <c r="Y58" s="25">
        <f>MIRR($H$52:Y52,$G$56,$G$55)</f>
        <v>-1</v>
      </c>
      <c r="Z58" s="25">
        <f>MIRR($H$52:Z52,$G$56,$G$55)</f>
        <v>-1</v>
      </c>
      <c r="AA58" s="25">
        <f>MIRR($H$52:AA52,$G$56,$G$55)</f>
        <v>-1</v>
      </c>
      <c r="AB58" s="25">
        <f>MIRR($H$52:AB52,$G$56,$G$55)</f>
        <v>-1</v>
      </c>
      <c r="AC58" s="25">
        <f>MIRR($H$52:AC52,$G$56,$G$55)</f>
        <v>-1</v>
      </c>
      <c r="AD58" s="25">
        <f>MIRR($H$52:AD52,$G$56,$G$55)</f>
        <v>-1</v>
      </c>
      <c r="AE58" s="25">
        <f>MIRR($H$52:AE52,$G$56,$G$55)</f>
        <v>-1</v>
      </c>
      <c r="AF58" s="25">
        <f>MIRR($H$52:AF52,$G$56,$G$55)</f>
        <v>-1</v>
      </c>
      <c r="AG58" s="25">
        <f>MIRR($H$52:AG52,$G$56,$G$55)</f>
        <v>-1</v>
      </c>
      <c r="AH58" s="25">
        <f>MIRR($H$52:AH52,$G$56,$G$55)</f>
        <v>-1</v>
      </c>
      <c r="AI58" s="25">
        <f>MIRR($H$52:AI52,$G$56,$G$55)</f>
        <v>-1</v>
      </c>
      <c r="AJ58" s="25">
        <f>MIRR($H$52:AJ52,$G$56,$G$55)</f>
        <v>-1</v>
      </c>
      <c r="AK58" s="25">
        <f>MIRR($H$52:AK52,$G$56,$G$55)</f>
        <v>-1</v>
      </c>
      <c r="AL58" s="25">
        <f>MIRR($H$52:AL52,$G$56,$G$55)</f>
        <v>-1</v>
      </c>
      <c r="AM58" s="25">
        <f>MIRR($H$52:AM52,$G$56,$G$55)</f>
        <v>-1</v>
      </c>
      <c r="AN58" s="25">
        <f>MIRR($H$52:AN52,$G$56,$G$55)</f>
        <v>-2.9810225023200299E-2</v>
      </c>
      <c r="AO58" s="25">
        <f>MIRR($H$52:AO52,$G$56,$G$55)</f>
        <v>-2.8707939293801665E-2</v>
      </c>
      <c r="AP58" s="25">
        <f>MIRR($H$52:AP52,$G$56,$G$55)</f>
        <v>-2.7668013687973891E-2</v>
      </c>
      <c r="AQ58" s="25">
        <f>MIRR($H$52:AQ52,$G$56,$G$55)</f>
        <v>-2.6685213435598598E-2</v>
      </c>
      <c r="AR58" s="25">
        <f>MIRR($H$52:AR52,$G$56,$G$55)</f>
        <v>-2.5754875807023403E-2</v>
      </c>
      <c r="AS58" s="25">
        <f>MIRR($H$52:AS52,$G$56,$G$55)</f>
        <v>-2.4872834048565218E-2</v>
      </c>
      <c r="AT58" s="25">
        <f>MIRR($H$52:AT52,$G$56,$G$55)</f>
        <v>-2.4035353138876947E-2</v>
      </c>
      <c r="AU58" s="25">
        <f>MIRR($H$52:AU52,$G$56,$G$55)</f>
        <v>-2.3239075277290744E-2</v>
      </c>
      <c r="AV58" s="25">
        <f>MIRR($H$52:AV52,$G$56,$G$55)</f>
        <v>-2.2480973426695861E-2</v>
      </c>
      <c r="AW58" s="25">
        <f>MIRR($H$52:AW52,$G$56,$G$55)</f>
        <v>-2.1758311555977738E-2</v>
      </c>
      <c r="AX58" s="25">
        <f>MIRR($H$52:AX52,$G$56,$G$55)</f>
        <v>-2.1068610481416061E-2</v>
      </c>
      <c r="AY58" s="25">
        <f>MIRR($H$52:AY52,$G$56,$G$55)</f>
        <v>-2.0409618408322894E-2</v>
      </c>
      <c r="AZ58" s="25">
        <f>MIRR($H$52:AZ52,$G$56,$G$55)</f>
        <v>-1.9779285435364002E-2</v>
      </c>
      <c r="BA58" s="25">
        <f>MIRR($H$52:BA52,$G$56,$G$55)</f>
        <v>-1.9175741413365532E-2</v>
      </c>
      <c r="BB58" s="25">
        <f>MIRR($H$52:BB52,$G$56,$G$55)</f>
        <v>-1.8597276654797712E-2</v>
      </c>
      <c r="BC58" s="25">
        <f>MIRR($H$52:BC52,$G$56,$G$55)</f>
        <v>-1.8042325074780541E-2</v>
      </c>
      <c r="BD58" s="25">
        <f>MIRR($H$52:BD52,$G$56,$G$55)</f>
        <v>-1.7509449413440015E-2</v>
      </c>
      <c r="BE58" s="25">
        <f>MIRR($H$52:BE52,$G$56,$G$55)</f>
        <v>-1.6997328245911048E-2</v>
      </c>
      <c r="BF58" s="25">
        <f>MIRR($H$52:BF52,$G$56,$G$55)</f>
        <v>-1.6504744532711002E-2</v>
      </c>
      <c r="BG58" s="25">
        <f>MIRR($H$52:BG52,$G$56,$G$55)</f>
        <v>-1.6030575501539079E-2</v>
      </c>
      <c r="BH58" s="25">
        <f>MIRR($H$52:BH52,$G$56,$G$55)</f>
        <v>-1.5573783683331177E-2</v>
      </c>
      <c r="BI58" s="25">
        <f>MIRR($H$52:BI52,$G$56,$G$55)</f>
        <v>-1.5133408951836902E-2</v>
      </c>
      <c r="BJ58" s="25">
        <f>MIRR($H$52:BJ52,$G$56,$G$55)</f>
        <v>-1.4708561438073309E-2</v>
      </c>
      <c r="BK58" s="25">
        <f>MIRR($H$52:BK52,$G$56,$G$55)</f>
        <v>-1.4298415209510917E-2</v>
      </c>
      <c r="BL58" s="25">
        <f>MIRR($H$52:BL52,$G$56,$G$55)</f>
        <v>-1.3902202619421211E-2</v>
      </c>
      <c r="BM58" s="25">
        <f>MIRR($H$52:BM52,$G$56,$G$55)</f>
        <v>-1.3519209244941544E-2</v>
      </c>
      <c r="BN58" s="25">
        <f>MIRR($H$52:BN52,$G$56,$G$55)</f>
        <v>-1.3148769343538036E-2</v>
      </c>
      <c r="BO58" s="25">
        <f>MIRR($H$52:BO52,$G$56,$G$55)</f>
        <v>-1.279026176697684E-2</v>
      </c>
      <c r="BP58" s="25">
        <f>MIRR($H$52:BP52,$G$56,$G$55)</f>
        <v>-1.2443106279960814E-2</v>
      </c>
      <c r="BQ58" s="25">
        <f>MIRR($H$52:BQ52,$G$56,$G$55)</f>
        <v>-1.2106760237442837E-2</v>
      </c>
      <c r="BR58" s="25">
        <f>MIRR($H$52:BR52,$G$56,$G$55)</f>
        <v>-1.1780715580508638E-2</v>
      </c>
      <c r="BS58" s="25">
        <f>MIRR($H$52:BS52,$G$56,$G$55)</f>
        <v>-1.1464496115766054E-2</v>
      </c>
      <c r="BT58" s="25">
        <f>MIRR($H$52:BT52,$G$56,$G$55)</f>
        <v>-1.1157655047516424E-2</v>
      </c>
      <c r="BU58" s="25">
        <f>MIRR($H$52:BU52,$G$56,$G$55)</f>
        <v>-1.0859772735735573E-2</v>
      </c>
      <c r="BV58" s="25">
        <f>MIRR($H$52:BV52,$G$56,$G$55)</f>
        <v>-1.0570454656126271E-2</v>
      </c>
      <c r="BW58" s="25">
        <f>MIRR($H$52:BW52,$G$56,$G$55)</f>
        <v>-1.0289329541318115E-2</v>
      </c>
      <c r="BX58" s="25">
        <f>MIRR($H$52:BX52,$G$56,$G$55)</f>
        <v>-1.0016047684726748E-2</v>
      </c>
      <c r="BY58" s="25">
        <f>MIRR($H$52:BY52,$G$56,$G$55)</f>
        <v>-9.7502793907119356E-3</v>
      </c>
      <c r="BZ58" s="25">
        <f>MIRR($H$52:BZ52,$G$56,$G$55)</f>
        <v>-9.4917135565271149E-3</v>
      </c>
      <c r="CA58" s="25">
        <f>MIRR($H$52:CA52,$G$56,$G$55)</f>
        <v>-9.2400563731729335E-3</v>
      </c>
      <c r="CB58" s="25">
        <f>MIRR($H$52:CB52,$G$56,$G$55)</f>
        <v>-8.9950301336896299E-3</v>
      </c>
      <c r="CC58" s="25">
        <f>MIRR($H$52:CC52,$G$56,$G$55)</f>
        <v>-8.756372138666535E-3</v>
      </c>
      <c r="CD58" s="25">
        <f>MIRR($H$52:CD52,$G$56,$G$55)</f>
        <v>-8.5238336898456613E-3</v>
      </c>
      <c r="CE58" s="25">
        <f>MIRR($H$52:CE52,$G$56,$G$55)</f>
        <v>-8.2971791636599068E-3</v>
      </c>
      <c r="CF58" s="25">
        <f>MIRR($H$52:CF52,$G$56,$G$55)</f>
        <v>-8.0761851573993848E-3</v>
      </c>
      <c r="CG58" s="25">
        <f>MIRR($H$52:CG52,$G$56,$G$55)</f>
        <v>-7.8606397014533425E-3</v>
      </c>
      <c r="CH58" s="25">
        <f>MIRR($H$52:CH52,$G$56,$G$55)</f>
        <v>-7.6503415317397128E-3</v>
      </c>
      <c r="CI58" s="25">
        <f>MIRR($H$52:CI52,$G$56,$G$55)</f>
        <v>-7.4450994170293106E-3</v>
      </c>
      <c r="CJ58" s="25">
        <f>MIRR($H$52:CJ52,$G$56,$G$55)</f>
        <v>-7.2447315363945997E-3</v>
      </c>
      <c r="CK58" s="25">
        <f>MIRR($H$52:CK52,$G$56,$G$55)</f>
        <v>-7.0490649024811391E-3</v>
      </c>
      <c r="CL58" s="25">
        <f>MIRR($H$52:CL52,$G$56,$G$55)</f>
        <v>-6.8579348267173712E-3</v>
      </c>
      <c r="CM58" s="25">
        <f>MIRR($H$52:CM52,$G$56,$G$55)</f>
        <v>-6.671184422950116E-3</v>
      </c>
      <c r="CN58" s="25">
        <f>MIRR($H$52:CN52,$G$56,$G$55)</f>
        <v>-6.4886641463227646E-3</v>
      </c>
      <c r="CO58" s="25">
        <f>MIRR($H$52:CO52,$G$56,$G$55)</f>
        <v>-6.3102313645153618E-3</v>
      </c>
      <c r="CP58" s="25">
        <f>MIRR($H$52:CP52,$G$56,$G$55)</f>
        <v>-6.1357499587265663E-3</v>
      </c>
      <c r="CQ58" s="25">
        <f>MIRR($H$52:CQ52,$G$56,$G$55)</f>
        <v>-5.9650899520220513E-3</v>
      </c>
      <c r="CR58" s="25">
        <f>MIRR($H$52:CR52,$G$56,$G$55)</f>
        <v>-5.7981271628835263E-3</v>
      </c>
      <c r="CS58" s="25">
        <f>MIRR($H$52:CS52,$G$56,$G$55)</f>
        <v>-5.6347428819895073E-3</v>
      </c>
      <c r="CT58" s="25">
        <f>MIRR($H$52:CT52,$G$56,$G$55)</f>
        <v>-5.4748235704313863E-3</v>
      </c>
      <c r="CU58" s="25">
        <f>MIRR($H$52:CU52,$G$56,$G$55)</f>
        <v>1.1964355958558048E-3</v>
      </c>
    </row>
    <row r="59" spans="1:99" x14ac:dyDescent="0.25">
      <c r="F59" s="44"/>
      <c r="G59" s="45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78" priority="9" stopIfTrue="1" operator="equal">
      <formula>#REF!</formula>
    </cfRule>
  </conditionalFormatting>
  <conditionalFormatting sqref="Y19:AF19 Y22:AF22 AH19:AI19 AH22:AI22 AK19:AL19 AK22:AL22 AN22:AO22 H33:V39 W33:CU36 W38:BC38 W39:CU39 N24:R24 H23:M24 N23:CU23 H16:W17 Y16:CU16 X17:CU17 H6:W12 Y7:AM7 X8:AM8 X6:AM6 Z9:AM9 AN6:CU9 X9:Y12 Z10:CU12 H2:CU5 H13:CU15 H18:H22 H25:CU32 K22:R22 K18:K21 Z18:AM18 Z21:AM21 X20:AK20 AQ22:CU22 AT18:CU21 H40:CU47">
    <cfRule type="cellIs" dxfId="77" priority="11" stopIfTrue="1" operator="equal">
      <formula>#REF!</formula>
    </cfRule>
  </conditionalFormatting>
  <conditionalFormatting sqref="X7 X16 X19 S22:X22 W37:CU37 S24:CU24">
    <cfRule type="cellIs" dxfId="76" priority="10" stopIfTrue="1" operator="equal">
      <formula>#REF!</formula>
    </cfRule>
  </conditionalFormatting>
  <conditionalFormatting sqref="I18:J22">
    <cfRule type="cellIs" dxfId="75" priority="8" stopIfTrue="1" operator="equal">
      <formula>#REF!</formula>
    </cfRule>
  </conditionalFormatting>
  <conditionalFormatting sqref="L18:Q21">
    <cfRule type="cellIs" dxfId="74" priority="7" stopIfTrue="1" operator="equal">
      <formula>#REF!</formula>
    </cfRule>
  </conditionalFormatting>
  <conditionalFormatting sqref="R18:W21">
    <cfRule type="cellIs" dxfId="73" priority="6" stopIfTrue="1" operator="equal">
      <formula>#REF!</formula>
    </cfRule>
  </conditionalFormatting>
  <conditionalFormatting sqref="X21:Y21">
    <cfRule type="cellIs" dxfId="72" priority="5" stopIfTrue="1" operator="equal">
      <formula>#REF!</formula>
    </cfRule>
  </conditionalFormatting>
  <conditionalFormatting sqref="X18:Y18">
    <cfRule type="cellIs" dxfId="71" priority="4" stopIfTrue="1" operator="equal">
      <formula>#REF!</formula>
    </cfRule>
  </conditionalFormatting>
  <conditionalFormatting sqref="AL20:AM20">
    <cfRule type="cellIs" dxfId="70" priority="3" stopIfTrue="1" operator="equal">
      <formula>#REF!</formula>
    </cfRule>
  </conditionalFormatting>
  <conditionalFormatting sqref="AN18:AS20">
    <cfRule type="cellIs" dxfId="69" priority="2" stopIfTrue="1" operator="equal">
      <formula>#REF!</formula>
    </cfRule>
  </conditionalFormatting>
  <conditionalFormatting sqref="AN21:AS21">
    <cfRule type="cellIs" dxfId="68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3638-AA42-4B08-9A93-1522293A428F}">
  <sheetPr codeName="Hoja8"/>
  <dimension ref="A1:CU59"/>
  <sheetViews>
    <sheetView zoomScale="85" zoomScaleNormal="85" workbookViewId="0">
      <pane xSplit="7" ySplit="1" topLeftCell="H2" activePane="bottomRight" state="frozen"/>
      <selection pane="topRight" activeCell="J1" sqref="J1"/>
      <selection pane="bottomLeft" activeCell="A9" sqref="A9"/>
      <selection pane="bottomRight" activeCell="A47" sqref="A47:XFD47"/>
    </sheetView>
  </sheetViews>
  <sheetFormatPr baseColWidth="10" defaultColWidth="10.7109375" defaultRowHeight="15" x14ac:dyDescent="0.25"/>
  <cols>
    <col min="1" max="1" width="10.7109375" style="11"/>
    <col min="2" max="2" width="24.140625" style="11" bestFit="1" customWidth="1"/>
    <col min="3" max="3" width="57.85546875" style="11" bestFit="1" customWidth="1"/>
    <col min="4" max="4" width="10.7109375" style="37"/>
    <col min="5" max="5" width="14" style="11" customWidth="1"/>
    <col min="6" max="6" width="18" style="11" customWidth="1"/>
    <col min="7" max="7" width="18.28515625" style="34" bestFit="1" customWidth="1"/>
    <col min="8" max="10" width="10.7109375" style="34"/>
    <col min="11" max="11" width="11.42578125" style="34" bestFit="1" customWidth="1"/>
    <col min="12" max="15" width="10.7109375" style="34"/>
    <col min="16" max="16" width="11.42578125" style="34" bestFit="1" customWidth="1"/>
    <col min="17" max="17" width="10.7109375" style="34"/>
    <col min="18" max="18" width="11.42578125" style="34" bestFit="1" customWidth="1"/>
    <col min="19" max="19" width="10.7109375" style="34"/>
    <col min="20" max="20" width="11.42578125" style="34" bestFit="1" customWidth="1"/>
    <col min="21" max="27" width="10.7109375" style="34"/>
    <col min="28" max="39" width="11.42578125" style="34" bestFit="1" customWidth="1"/>
    <col min="40" max="40" width="12.28515625" style="34" bestFit="1" customWidth="1"/>
    <col min="41" max="55" width="10.7109375" style="34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10" t="s">
        <v>159</v>
      </c>
      <c r="B1" s="10" t="s">
        <v>160</v>
      </c>
      <c r="C1" s="10" t="s">
        <v>161</v>
      </c>
      <c r="D1" s="12" t="s">
        <v>187</v>
      </c>
      <c r="E1" s="13" t="s">
        <v>194</v>
      </c>
      <c r="F1" s="13" t="s">
        <v>195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4" t="s">
        <v>62</v>
      </c>
      <c r="AC1" s="14" t="s">
        <v>63</v>
      </c>
      <c r="AD1" s="14" t="s">
        <v>64</v>
      </c>
      <c r="AE1" s="14" t="s">
        <v>65</v>
      </c>
      <c r="AF1" s="14" t="s">
        <v>66</v>
      </c>
      <c r="AG1" s="14" t="s">
        <v>67</v>
      </c>
      <c r="AH1" s="14" t="s">
        <v>68</v>
      </c>
      <c r="AI1" s="14" t="s">
        <v>69</v>
      </c>
      <c r="AJ1" s="14" t="s">
        <v>70</v>
      </c>
      <c r="AK1" s="14" t="s">
        <v>71</v>
      </c>
      <c r="AL1" s="14" t="s">
        <v>72</v>
      </c>
      <c r="AM1" s="14" t="s">
        <v>73</v>
      </c>
      <c r="AN1" s="14" t="s">
        <v>74</v>
      </c>
      <c r="AO1" s="14" t="s">
        <v>75</v>
      </c>
      <c r="AP1" s="14" t="s">
        <v>76</v>
      </c>
      <c r="AQ1" s="14" t="s">
        <v>77</v>
      </c>
      <c r="AR1" s="14" t="s">
        <v>78</v>
      </c>
      <c r="AS1" s="14" t="s">
        <v>79</v>
      </c>
      <c r="AT1" s="14" t="s">
        <v>80</v>
      </c>
      <c r="AU1" s="14" t="s">
        <v>81</v>
      </c>
      <c r="AV1" s="14" t="s">
        <v>82</v>
      </c>
      <c r="AW1" s="14" t="s">
        <v>83</v>
      </c>
      <c r="AX1" s="14" t="s">
        <v>84</v>
      </c>
      <c r="AY1" s="14" t="s">
        <v>85</v>
      </c>
      <c r="AZ1" s="14" t="s">
        <v>86</v>
      </c>
      <c r="BA1" s="14" t="s">
        <v>87</v>
      </c>
      <c r="BB1" s="14" t="s">
        <v>88</v>
      </c>
      <c r="BC1" s="14" t="s">
        <v>89</v>
      </c>
      <c r="BD1" s="14" t="s">
        <v>97</v>
      </c>
      <c r="BE1" s="14" t="s">
        <v>98</v>
      </c>
      <c r="BF1" s="14" t="s">
        <v>99</v>
      </c>
      <c r="BG1" s="14" t="s">
        <v>100</v>
      </c>
      <c r="BH1" s="14" t="s">
        <v>101</v>
      </c>
      <c r="BI1" s="14" t="s">
        <v>102</v>
      </c>
      <c r="BJ1" s="14" t="s">
        <v>103</v>
      </c>
      <c r="BK1" s="14" t="s">
        <v>104</v>
      </c>
      <c r="BL1" s="14" t="s">
        <v>105</v>
      </c>
      <c r="BM1" s="14" t="s">
        <v>106</v>
      </c>
      <c r="BN1" s="14" t="s">
        <v>107</v>
      </c>
      <c r="BO1" s="14" t="s">
        <v>108</v>
      </c>
      <c r="BP1" s="14" t="s">
        <v>109</v>
      </c>
      <c r="BQ1" s="14" t="s">
        <v>110</v>
      </c>
      <c r="BR1" s="14" t="s">
        <v>111</v>
      </c>
      <c r="BS1" s="14" t="s">
        <v>112</v>
      </c>
      <c r="BT1" s="14" t="s">
        <v>113</v>
      </c>
      <c r="BU1" s="14" t="s">
        <v>114</v>
      </c>
      <c r="BV1" s="14" t="s">
        <v>115</v>
      </c>
      <c r="BW1" s="14" t="s">
        <v>116</v>
      </c>
      <c r="BX1" s="14" t="s">
        <v>117</v>
      </c>
      <c r="BY1" s="14" t="s">
        <v>118</v>
      </c>
      <c r="BZ1" s="14" t="s">
        <v>119</v>
      </c>
      <c r="CA1" s="14" t="s">
        <v>120</v>
      </c>
      <c r="CB1" s="14" t="s">
        <v>121</v>
      </c>
      <c r="CC1" s="14" t="s">
        <v>122</v>
      </c>
      <c r="CD1" s="14" t="s">
        <v>123</v>
      </c>
      <c r="CE1" s="14" t="s">
        <v>124</v>
      </c>
      <c r="CF1" s="14" t="s">
        <v>125</v>
      </c>
      <c r="CG1" s="14" t="s">
        <v>126</v>
      </c>
      <c r="CH1" s="14" t="s">
        <v>127</v>
      </c>
      <c r="CI1" s="14" t="s">
        <v>128</v>
      </c>
      <c r="CJ1" s="14" t="s">
        <v>129</v>
      </c>
      <c r="CK1" s="14" t="s">
        <v>130</v>
      </c>
      <c r="CL1" s="14" t="s">
        <v>131</v>
      </c>
      <c r="CM1" s="14" t="s">
        <v>132</v>
      </c>
      <c r="CN1" s="14" t="s">
        <v>133</v>
      </c>
      <c r="CO1" s="14" t="s">
        <v>134</v>
      </c>
      <c r="CP1" s="14" t="s">
        <v>135</v>
      </c>
      <c r="CQ1" s="14" t="s">
        <v>136</v>
      </c>
      <c r="CR1" s="14" t="s">
        <v>137</v>
      </c>
      <c r="CS1" s="14" t="s">
        <v>138</v>
      </c>
      <c r="CT1" s="14" t="s">
        <v>139</v>
      </c>
      <c r="CU1" s="14" t="s">
        <v>140</v>
      </c>
    </row>
    <row r="2" spans="1:99" x14ac:dyDescent="0.25">
      <c r="A2" s="11" t="s">
        <v>4</v>
      </c>
      <c r="B2" s="11" t="s">
        <v>162</v>
      </c>
      <c r="C2" s="11" t="s">
        <v>31</v>
      </c>
      <c r="D2" s="35">
        <v>1</v>
      </c>
      <c r="E2" s="15">
        <v>5800</v>
      </c>
      <c r="F2" s="16">
        <f>D2*E2</f>
        <v>5800</v>
      </c>
      <c r="G2" s="17">
        <v>-5800</v>
      </c>
      <c r="H2" s="18">
        <v>0</v>
      </c>
      <c r="I2" s="18">
        <f>G2</f>
        <v>-5800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0</v>
      </c>
      <c r="BU2" s="18">
        <v>0</v>
      </c>
      <c r="BV2" s="18">
        <v>0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8">
        <v>0</v>
      </c>
      <c r="CC2" s="18">
        <v>0</v>
      </c>
      <c r="CD2" s="18">
        <v>0</v>
      </c>
      <c r="CE2" s="18">
        <v>0</v>
      </c>
      <c r="CF2" s="18">
        <v>0</v>
      </c>
      <c r="CG2" s="18">
        <v>0</v>
      </c>
      <c r="CH2" s="18">
        <v>0</v>
      </c>
      <c r="CI2" s="18">
        <v>0</v>
      </c>
      <c r="CJ2" s="18">
        <v>0</v>
      </c>
      <c r="CK2" s="18">
        <v>0</v>
      </c>
      <c r="CL2" s="18">
        <v>0</v>
      </c>
      <c r="CM2" s="18">
        <v>0</v>
      </c>
      <c r="CN2" s="18">
        <v>0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</row>
    <row r="3" spans="1:99" x14ac:dyDescent="0.25">
      <c r="A3" s="11" t="s">
        <v>4</v>
      </c>
      <c r="B3" s="11" t="s">
        <v>162</v>
      </c>
      <c r="C3" s="11" t="s">
        <v>18</v>
      </c>
      <c r="D3" s="36">
        <v>1</v>
      </c>
      <c r="E3" s="16">
        <v>1200</v>
      </c>
      <c r="F3" s="16">
        <f>D3*E3</f>
        <v>1200</v>
      </c>
      <c r="G3" s="19">
        <v>-1200</v>
      </c>
      <c r="H3" s="20">
        <v>0</v>
      </c>
      <c r="I3" s="20">
        <v>0</v>
      </c>
      <c r="J3" s="20">
        <v>0</v>
      </c>
      <c r="K3" s="20">
        <f>G3</f>
        <v>-1200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0</v>
      </c>
      <c r="CL3" s="20">
        <v>0</v>
      </c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</row>
    <row r="4" spans="1:99" x14ac:dyDescent="0.25">
      <c r="A4" s="11" t="s">
        <v>4</v>
      </c>
      <c r="B4" s="11" t="s">
        <v>162</v>
      </c>
      <c r="C4" s="11" t="s">
        <v>19</v>
      </c>
      <c r="D4" s="36">
        <v>1</v>
      </c>
      <c r="E4" s="16">
        <v>4500</v>
      </c>
      <c r="F4" s="16">
        <f>E4*D4</f>
        <v>4500</v>
      </c>
      <c r="G4" s="19">
        <v>-4500</v>
      </c>
      <c r="H4" s="20">
        <v>0</v>
      </c>
      <c r="I4" s="20">
        <v>0</v>
      </c>
      <c r="J4" s="20">
        <v>0</v>
      </c>
      <c r="K4" s="20">
        <f>G4</f>
        <v>-4500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</row>
    <row r="5" spans="1:99" x14ac:dyDescent="0.25">
      <c r="A5" s="11" t="s">
        <v>4</v>
      </c>
      <c r="B5" s="11" t="s">
        <v>162</v>
      </c>
      <c r="C5" s="11" t="s">
        <v>9</v>
      </c>
      <c r="D5" s="36">
        <v>0.21</v>
      </c>
      <c r="E5" s="16">
        <f>F3+F4+F2</f>
        <v>11500</v>
      </c>
      <c r="F5" s="16">
        <f>D5*E5</f>
        <v>2415</v>
      </c>
      <c r="G5" s="19">
        <f>(G2+G3+G4)*0.21</f>
        <v>-2415</v>
      </c>
      <c r="H5" s="20">
        <f>(H2+H3+H4)*0.21</f>
        <v>0</v>
      </c>
      <c r="I5" s="20">
        <f>(I2+I3+I4)*0.21</f>
        <v>-1218</v>
      </c>
      <c r="J5" s="20">
        <v>0</v>
      </c>
      <c r="K5" s="20">
        <f>(K2+K3+K4)*0.21</f>
        <v>-1197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</row>
    <row r="6" spans="1:99" x14ac:dyDescent="0.25">
      <c r="A6" s="11" t="s">
        <v>4</v>
      </c>
      <c r="B6" s="11" t="s">
        <v>163</v>
      </c>
      <c r="C6" s="11" t="s">
        <v>15</v>
      </c>
      <c r="D6" s="37">
        <v>5.6099999999999997E-2</v>
      </c>
      <c r="E6" s="11">
        <f>F16</f>
        <v>31646.16</v>
      </c>
      <c r="F6" s="11">
        <f>E6*D6</f>
        <v>1775.3495759999998</v>
      </c>
      <c r="G6" s="17">
        <f>-F6</f>
        <v>-1775.3495759999998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f>G6</f>
        <v>-1775.3495759999998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</row>
    <row r="7" spans="1:99" x14ac:dyDescent="0.25">
      <c r="A7" s="11" t="s">
        <v>4</v>
      </c>
      <c r="B7" s="11" t="s">
        <v>163</v>
      </c>
      <c r="C7" s="11" t="s">
        <v>16</v>
      </c>
      <c r="D7" s="37">
        <v>4.7699999999999999E-2</v>
      </c>
      <c r="E7" s="11">
        <f>F16</f>
        <v>31646.16</v>
      </c>
      <c r="F7" s="11">
        <f>E7*D7</f>
        <v>1509.5218319999999</v>
      </c>
      <c r="G7" s="19">
        <f>-F7</f>
        <v>-1509.5218319999999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f>G7*0.3</f>
        <v>-452.85654959999994</v>
      </c>
      <c r="Y7" s="20">
        <f>0.7*G7</f>
        <v>-1056.6652823999998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</row>
    <row r="8" spans="1:99" x14ac:dyDescent="0.25">
      <c r="A8" s="11" t="s">
        <v>4</v>
      </c>
      <c r="B8" s="11" t="s">
        <v>163</v>
      </c>
      <c r="C8" s="11" t="s">
        <v>164</v>
      </c>
      <c r="D8" s="37">
        <v>7.0000000000000001E-3</v>
      </c>
      <c r="E8" s="11">
        <f>F16</f>
        <v>31646.16</v>
      </c>
      <c r="F8" s="11">
        <f>D8*E8</f>
        <v>221.52312000000001</v>
      </c>
      <c r="G8" s="19">
        <f>-F8</f>
        <v>-221.52312000000001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f>G8*0.5</f>
        <v>-110.76156</v>
      </c>
      <c r="Y8" s="20">
        <f>G8*0.5</f>
        <v>-110.76156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</row>
    <row r="9" spans="1:99" x14ac:dyDescent="0.25">
      <c r="A9" s="11" t="s">
        <v>4</v>
      </c>
      <c r="B9" s="11" t="s">
        <v>163</v>
      </c>
      <c r="C9" s="11" t="s">
        <v>13</v>
      </c>
      <c r="D9" s="37">
        <v>5.6099999999999997E-2</v>
      </c>
      <c r="E9" s="11">
        <f>F18+F19</f>
        <v>2576643.088</v>
      </c>
      <c r="F9" s="11">
        <f>D9*E9</f>
        <v>144549.67723679999</v>
      </c>
      <c r="G9" s="19">
        <f>-F9</f>
        <v>-144549.67723679999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f>G9*0.4</f>
        <v>-57819.870894719999</v>
      </c>
      <c r="N9" s="20">
        <v>0</v>
      </c>
      <c r="O9" s="20">
        <v>0</v>
      </c>
      <c r="P9" s="20">
        <f>G9*0.6</f>
        <v>-86729.806342079988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</row>
    <row r="10" spans="1:99" x14ac:dyDescent="0.25">
      <c r="A10" s="11" t="s">
        <v>4</v>
      </c>
      <c r="B10" s="11" t="s">
        <v>163</v>
      </c>
      <c r="C10" s="11" t="s">
        <v>14</v>
      </c>
      <c r="D10" s="37">
        <v>4.7699999999999999E-2</v>
      </c>
      <c r="E10" s="11">
        <f>F18+F19</f>
        <v>2576643.088</v>
      </c>
      <c r="F10" s="11">
        <f>D10*E10</f>
        <v>122905.8752976</v>
      </c>
      <c r="G10" s="19">
        <f>-F10</f>
        <v>-122905.8752976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f>$G10/14</f>
        <v>-8778.9910926857137</v>
      </c>
      <c r="AA10" s="20">
        <f t="shared" ref="AA10:AM10" si="0">$G10/14</f>
        <v>-8778.9910926857137</v>
      </c>
      <c r="AB10" s="20">
        <f t="shared" si="0"/>
        <v>-8778.9910926857137</v>
      </c>
      <c r="AC10" s="20">
        <f t="shared" si="0"/>
        <v>-8778.9910926857137</v>
      </c>
      <c r="AD10" s="20">
        <f t="shared" si="0"/>
        <v>-8778.9910926857137</v>
      </c>
      <c r="AE10" s="20">
        <f t="shared" si="0"/>
        <v>-8778.9910926857137</v>
      </c>
      <c r="AF10" s="20">
        <f t="shared" si="0"/>
        <v>-8778.9910926857137</v>
      </c>
      <c r="AG10" s="20">
        <f t="shared" si="0"/>
        <v>-8778.9910926857137</v>
      </c>
      <c r="AH10" s="20">
        <f t="shared" si="0"/>
        <v>-8778.9910926857137</v>
      </c>
      <c r="AI10" s="20">
        <f t="shared" si="0"/>
        <v>-8778.9910926857137</v>
      </c>
      <c r="AJ10" s="20">
        <f t="shared" si="0"/>
        <v>-8778.9910926857137</v>
      </c>
      <c r="AK10" s="20">
        <f t="shared" si="0"/>
        <v>-8778.9910926857137</v>
      </c>
      <c r="AL10" s="20">
        <f t="shared" si="0"/>
        <v>-8778.9910926857137</v>
      </c>
      <c r="AM10" s="20">
        <f t="shared" si="0"/>
        <v>-8778.9910926857137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</row>
    <row r="11" spans="1:99" x14ac:dyDescent="0.25">
      <c r="A11" s="11" t="s">
        <v>4</v>
      </c>
      <c r="B11" s="11" t="s">
        <v>163</v>
      </c>
      <c r="C11" s="11" t="s">
        <v>165</v>
      </c>
      <c r="D11" s="37">
        <v>7.0000000000000001E-3</v>
      </c>
      <c r="E11" s="11">
        <f>F18+F19</f>
        <v>2576643.088</v>
      </c>
      <c r="F11" s="11">
        <f>D11*E11</f>
        <v>18036.501616000001</v>
      </c>
      <c r="G11" s="19">
        <f>-F11</f>
        <v>-18036.501616000001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f>$G$11/14</f>
        <v>-1288.3215440000001</v>
      </c>
      <c r="AA11" s="20">
        <f t="shared" ref="AA11:AM11" si="1">$G$11/14</f>
        <v>-1288.3215440000001</v>
      </c>
      <c r="AB11" s="20">
        <f t="shared" si="1"/>
        <v>-1288.3215440000001</v>
      </c>
      <c r="AC11" s="20">
        <f t="shared" si="1"/>
        <v>-1288.3215440000001</v>
      </c>
      <c r="AD11" s="20">
        <f t="shared" si="1"/>
        <v>-1288.3215440000001</v>
      </c>
      <c r="AE11" s="20">
        <f t="shared" si="1"/>
        <v>-1288.3215440000001</v>
      </c>
      <c r="AF11" s="20">
        <f t="shared" si="1"/>
        <v>-1288.3215440000001</v>
      </c>
      <c r="AG11" s="20">
        <f t="shared" si="1"/>
        <v>-1288.3215440000001</v>
      </c>
      <c r="AH11" s="20">
        <f t="shared" si="1"/>
        <v>-1288.3215440000001</v>
      </c>
      <c r="AI11" s="20">
        <f t="shared" si="1"/>
        <v>-1288.3215440000001</v>
      </c>
      <c r="AJ11" s="20">
        <f t="shared" si="1"/>
        <v>-1288.3215440000001</v>
      </c>
      <c r="AK11" s="20">
        <f t="shared" si="1"/>
        <v>-1288.3215440000001</v>
      </c>
      <c r="AL11" s="20">
        <f t="shared" si="1"/>
        <v>-1288.3215440000001</v>
      </c>
      <c r="AM11" s="20">
        <f t="shared" si="1"/>
        <v>-1288.3215440000001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</row>
    <row r="12" spans="1:99" x14ac:dyDescent="0.25">
      <c r="A12" s="11" t="s">
        <v>4</v>
      </c>
      <c r="B12" s="11" t="s">
        <v>163</v>
      </c>
      <c r="C12" s="11" t="s">
        <v>141</v>
      </c>
      <c r="D12" s="37">
        <v>0.02</v>
      </c>
      <c r="E12" s="11">
        <f>F19+F18+F16</f>
        <v>2608289.2480000001</v>
      </c>
      <c r="F12" s="11">
        <f>D12*E12</f>
        <v>52165.784960000005</v>
      </c>
      <c r="G12" s="19">
        <f>-F12</f>
        <v>-52165.784960000005</v>
      </c>
      <c r="H12" s="20">
        <v>0</v>
      </c>
      <c r="I12" s="20">
        <v>0</v>
      </c>
      <c r="J12" s="20">
        <v>0</v>
      </c>
      <c r="K12" s="20">
        <f>G12*0.05</f>
        <v>-2608.2892480000005</v>
      </c>
      <c r="L12" s="20">
        <v>0</v>
      </c>
      <c r="M12" s="20">
        <v>0</v>
      </c>
      <c r="N12" s="20">
        <v>0</v>
      </c>
      <c r="O12" s="20">
        <v>0</v>
      </c>
      <c r="P12" s="20">
        <f>G12*0.15</f>
        <v>-7824.8677440000001</v>
      </c>
      <c r="Q12" s="20">
        <v>0</v>
      </c>
      <c r="R12" s="20">
        <f>G12*0.05</f>
        <v>-2608.2892480000005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f t="shared" ref="X12:AL12" si="2">$G$12*0.04</f>
        <v>-2086.6313984000003</v>
      </c>
      <c r="Y12" s="20">
        <f t="shared" si="2"/>
        <v>-2086.6313984000003</v>
      </c>
      <c r="Z12" s="20">
        <f t="shared" si="2"/>
        <v>-2086.6313984000003</v>
      </c>
      <c r="AA12" s="20">
        <f t="shared" si="2"/>
        <v>-2086.6313984000003</v>
      </c>
      <c r="AB12" s="20">
        <f t="shared" si="2"/>
        <v>-2086.6313984000003</v>
      </c>
      <c r="AC12" s="20">
        <f t="shared" si="2"/>
        <v>-2086.6313984000003</v>
      </c>
      <c r="AD12" s="20">
        <f t="shared" si="2"/>
        <v>-2086.6313984000003</v>
      </c>
      <c r="AE12" s="20">
        <f t="shared" si="2"/>
        <v>-2086.6313984000003</v>
      </c>
      <c r="AF12" s="20">
        <f t="shared" si="2"/>
        <v>-2086.6313984000003</v>
      </c>
      <c r="AG12" s="20">
        <f t="shared" si="2"/>
        <v>-2086.6313984000003</v>
      </c>
      <c r="AH12" s="20">
        <f t="shared" si="2"/>
        <v>-2086.6313984000003</v>
      </c>
      <c r="AI12" s="20">
        <f t="shared" si="2"/>
        <v>-2086.6313984000003</v>
      </c>
      <c r="AJ12" s="20">
        <f t="shared" si="2"/>
        <v>-2086.6313984000003</v>
      </c>
      <c r="AK12" s="20">
        <f t="shared" si="2"/>
        <v>-2086.6313984000003</v>
      </c>
      <c r="AL12" s="20">
        <f t="shared" si="2"/>
        <v>-2086.6313984000003</v>
      </c>
      <c r="AM12" s="20">
        <f>$G$12*0.04</f>
        <v>-2086.6313984000003</v>
      </c>
      <c r="AN12" s="20">
        <f>G12*0.11</f>
        <v>-5738.2363456000003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</row>
    <row r="13" spans="1:99" x14ac:dyDescent="0.25">
      <c r="A13" s="11" t="s">
        <v>4</v>
      </c>
      <c r="B13" s="11" t="s">
        <v>163</v>
      </c>
      <c r="C13" s="11" t="s">
        <v>166</v>
      </c>
      <c r="D13" s="37">
        <v>0.21</v>
      </c>
      <c r="E13" s="11">
        <f>F6+F7+F8</f>
        <v>3506.3945279999998</v>
      </c>
      <c r="F13" s="11">
        <f>D13*E13</f>
        <v>736.3428508799999</v>
      </c>
      <c r="G13" s="19">
        <f>-F13</f>
        <v>-736.3428508799999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f>SUM(M6:M8)*0.21</f>
        <v>-372.82341095999993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f>(X7+X8)*0.21</f>
        <v>-118.35980301599997</v>
      </c>
      <c r="Y13" s="20">
        <f>(Y7+Y8)*0.21</f>
        <v>-245.15963690399994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</row>
    <row r="14" spans="1:99" x14ac:dyDescent="0.25">
      <c r="A14" s="11" t="s">
        <v>4</v>
      </c>
      <c r="B14" s="11" t="s">
        <v>163</v>
      </c>
      <c r="C14" s="11" t="s">
        <v>167</v>
      </c>
      <c r="D14" s="37">
        <v>0.21</v>
      </c>
      <c r="E14" s="11">
        <f>F9+F10+F11+F12</f>
        <v>337657.83911040006</v>
      </c>
      <c r="F14" s="11">
        <f>D14*E14</f>
        <v>70908.146213184009</v>
      </c>
      <c r="G14" s="19">
        <f>-F14</f>
        <v>-70908.146213184009</v>
      </c>
      <c r="H14" s="20">
        <v>0</v>
      </c>
      <c r="I14" s="20">
        <v>0</v>
      </c>
      <c r="J14" s="20">
        <v>0</v>
      </c>
      <c r="K14" s="20">
        <f>SUM(K9:K12)*0.21</f>
        <v>-547.74074208000013</v>
      </c>
      <c r="L14" s="20">
        <v>0</v>
      </c>
      <c r="M14" s="20">
        <f>SUM(M9:M12)*0.21</f>
        <v>-12142.1728878912</v>
      </c>
      <c r="N14" s="20">
        <v>0</v>
      </c>
      <c r="O14" s="20">
        <v>0</v>
      </c>
      <c r="P14" s="20">
        <f>SUM(P9:P12)*0.21</f>
        <v>-19856.481558076797</v>
      </c>
      <c r="Q14" s="20">
        <v>0</v>
      </c>
      <c r="R14" s="20">
        <f>SUM(R9:R12)*0.21</f>
        <v>-547.74074208000013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f>SUM(X9:X12)*0.21</f>
        <v>-438.19259366400007</v>
      </c>
      <c r="Y14" s="20">
        <f>SUM(Y9:Y12)*0.21</f>
        <v>-438.19259366400007</v>
      </c>
      <c r="Z14" s="20">
        <f>SUM(Z9:Z12)*0.21</f>
        <v>-2552.3282473680001</v>
      </c>
      <c r="AA14" s="20">
        <f>SUM(AA9:AA12)*0.21</f>
        <v>-2552.3282473680001</v>
      </c>
      <c r="AB14" s="20">
        <f>SUM(AB9:AB12)*0.21</f>
        <v>-2552.3282473680001</v>
      </c>
      <c r="AC14" s="20">
        <f>SUM(AC9:AC12)*0.21</f>
        <v>-2552.3282473680001</v>
      </c>
      <c r="AD14" s="20">
        <f>SUM(AD9:AD12)*0.21</f>
        <v>-2552.3282473680001</v>
      </c>
      <c r="AE14" s="20">
        <f>SUM(AE9:AE12)*0.21</f>
        <v>-2552.3282473680001</v>
      </c>
      <c r="AF14" s="20">
        <f>SUM(AF9:AF12)*0.21</f>
        <v>-2552.3282473680001</v>
      </c>
      <c r="AG14" s="20">
        <f>SUM(AG9:AG12)*0.21</f>
        <v>-2552.3282473680001</v>
      </c>
      <c r="AH14" s="20">
        <f>SUM(AH9:AH12)*0.21</f>
        <v>-2552.3282473680001</v>
      </c>
      <c r="AI14" s="20">
        <f>SUM(AI9:AI12)*0.21</f>
        <v>-2552.3282473680001</v>
      </c>
      <c r="AJ14" s="20">
        <f>SUM(AJ9:AJ12)*0.21</f>
        <v>-2552.3282473680001</v>
      </c>
      <c r="AK14" s="20">
        <f>SUM(AK9:AK12)*0.21</f>
        <v>-2552.3282473680001</v>
      </c>
      <c r="AL14" s="20">
        <f>SUM(AL9:AL12)*0.21</f>
        <v>-2552.3282473680001</v>
      </c>
      <c r="AM14" s="20">
        <f>SUM(AM9:AM12)*0.21</f>
        <v>-2552.3282473680001</v>
      </c>
      <c r="AN14" s="20">
        <f>SUM(AN9:AN12)*0.21</f>
        <v>-1205.029632576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</row>
    <row r="15" spans="1:99" x14ac:dyDescent="0.25">
      <c r="A15" s="11" t="s">
        <v>4</v>
      </c>
      <c r="B15" s="11" t="s">
        <v>163</v>
      </c>
      <c r="C15" s="11" t="s">
        <v>20</v>
      </c>
      <c r="D15" s="37">
        <v>3.0000000000000001E-3</v>
      </c>
      <c r="E15" s="11">
        <f>F18+F19</f>
        <v>2576643.088</v>
      </c>
      <c r="F15" s="11">
        <f>D15*E15</f>
        <v>7729.9292640000003</v>
      </c>
      <c r="G15" s="19">
        <f>-F15</f>
        <v>-7729.9292640000003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f>$G$15/14</f>
        <v>-552.13780457142855</v>
      </c>
      <c r="AA15" s="20">
        <f t="shared" ref="AA15:AM15" si="3">$G$15/14</f>
        <v>-552.13780457142855</v>
      </c>
      <c r="AB15" s="20">
        <f t="shared" si="3"/>
        <v>-552.13780457142855</v>
      </c>
      <c r="AC15" s="20">
        <f t="shared" si="3"/>
        <v>-552.13780457142855</v>
      </c>
      <c r="AD15" s="20">
        <f t="shared" si="3"/>
        <v>-552.13780457142855</v>
      </c>
      <c r="AE15" s="20">
        <f t="shared" si="3"/>
        <v>-552.13780457142855</v>
      </c>
      <c r="AF15" s="20">
        <f t="shared" si="3"/>
        <v>-552.13780457142855</v>
      </c>
      <c r="AG15" s="20">
        <f t="shared" si="3"/>
        <v>-552.13780457142855</v>
      </c>
      <c r="AH15" s="20">
        <f t="shared" si="3"/>
        <v>-552.13780457142855</v>
      </c>
      <c r="AI15" s="20">
        <f t="shared" si="3"/>
        <v>-552.13780457142855</v>
      </c>
      <c r="AJ15" s="20">
        <f t="shared" si="3"/>
        <v>-552.13780457142855</v>
      </c>
      <c r="AK15" s="20">
        <f t="shared" si="3"/>
        <v>-552.13780457142855</v>
      </c>
      <c r="AL15" s="20">
        <f t="shared" si="3"/>
        <v>-552.13780457142855</v>
      </c>
      <c r="AM15" s="20">
        <f t="shared" si="3"/>
        <v>-552.13780457142855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</row>
    <row r="16" spans="1:99" x14ac:dyDescent="0.25">
      <c r="A16" s="11" t="s">
        <v>4</v>
      </c>
      <c r="B16" s="11" t="s">
        <v>168</v>
      </c>
      <c r="C16" s="11" t="s">
        <v>8</v>
      </c>
      <c r="D16" s="37">
        <f>(8.4*44.5*3)+(8.4*15.3*3)</f>
        <v>1506.96</v>
      </c>
      <c r="E16" s="11">
        <v>21</v>
      </c>
      <c r="F16" s="11">
        <f>D16*E16</f>
        <v>31646.16</v>
      </c>
      <c r="G16" s="19">
        <f>-F16</f>
        <v>-31646.16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f>G16*0.4</f>
        <v>-12658.464</v>
      </c>
      <c r="Y16" s="20">
        <f>G16*0.6</f>
        <v>-18987.696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</row>
    <row r="17" spans="1:99" x14ac:dyDescent="0.25">
      <c r="A17" s="11" t="s">
        <v>4</v>
      </c>
      <c r="B17" s="11" t="s">
        <v>168</v>
      </c>
      <c r="C17" s="11" t="s">
        <v>12</v>
      </c>
      <c r="D17" s="36">
        <v>188.37</v>
      </c>
      <c r="E17" s="11">
        <v>5.75</v>
      </c>
      <c r="F17" s="11">
        <f>D17*E17</f>
        <v>1083.1275000000001</v>
      </c>
      <c r="G17" s="19">
        <f>-F17</f>
        <v>-1083.1275000000001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f>G17*0.4</f>
        <v>-433.25100000000003</v>
      </c>
      <c r="Y17" s="20">
        <f>G17*0.6</f>
        <v>-649.87649999999996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</row>
    <row r="18" spans="1:99" x14ac:dyDescent="0.25">
      <c r="A18" s="11" t="s">
        <v>4</v>
      </c>
      <c r="B18" s="11" t="s">
        <v>168</v>
      </c>
      <c r="C18" s="11" t="s">
        <v>2</v>
      </c>
      <c r="D18" s="37">
        <f>20*65*1.2</f>
        <v>1560</v>
      </c>
      <c r="E18" s="11">
        <f>684.63*1.06</f>
        <v>725.70780000000002</v>
      </c>
      <c r="F18" s="11">
        <f>D18*E18</f>
        <v>1132104.1680000001</v>
      </c>
      <c r="G18" s="19">
        <f>-F18</f>
        <v>-1132104.1680000001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f>'evolucion certificaciones nuevo'!J33</f>
        <v>-33963.125039999999</v>
      </c>
      <c r="AF18" s="20">
        <f>'evolucion certificaciones nuevo'!K33</f>
        <v>-45284.166720000001</v>
      </c>
      <c r="AG18" s="20">
        <f>'evolucion certificaciones nuevo'!L33</f>
        <v>-105285.687624</v>
      </c>
      <c r="AH18" s="20">
        <f>'evolucion certificaciones nuevo'!M33</f>
        <v>-118870.93764</v>
      </c>
      <c r="AI18" s="20">
        <f>'evolucion certificaciones nuevo'!N33</f>
        <v>-186797.18772000002</v>
      </c>
      <c r="AJ18" s="20">
        <f>'evolucion certificaciones nuevo'!O33</f>
        <v>-232081.35444</v>
      </c>
      <c r="AK18" s="20">
        <f>'evolucion certificaciones nuevo'!P33</f>
        <v>-235477.666944</v>
      </c>
      <c r="AL18" s="20">
        <f>'evolucion certificaciones nuevo'!Q33</f>
        <v>-92832.541776000013</v>
      </c>
      <c r="AM18" s="20">
        <f>'evolucion certificaciones nuevo'!R33</f>
        <v>-81511.500096000003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</row>
    <row r="19" spans="1:99" x14ac:dyDescent="0.25">
      <c r="A19" s="11" t="s">
        <v>4</v>
      </c>
      <c r="B19" s="11" t="s">
        <v>168</v>
      </c>
      <c r="C19" s="11" t="s">
        <v>40</v>
      </c>
      <c r="D19" s="37">
        <v>1</v>
      </c>
      <c r="E19" s="11">
        <v>1444538.92</v>
      </c>
      <c r="F19" s="11">
        <f>D19*E19</f>
        <v>1444538.92</v>
      </c>
      <c r="G19" s="19">
        <f>-F19</f>
        <v>-1444538.92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f>'evolucion certificaciones nuevo'!E35</f>
        <v>-8667.2335199999998</v>
      </c>
      <c r="AA19" s="20">
        <f>'evolucion certificaciones nuevo'!F35</f>
        <v>-23112.622719999999</v>
      </c>
      <c r="AB19" s="20">
        <f>'evolucion certificaciones nuevo'!G35</f>
        <v>-57781.556799999998</v>
      </c>
      <c r="AC19" s="20">
        <f>'evolucion certificaciones nuevo'!H35</f>
        <v>-54170.209499999997</v>
      </c>
      <c r="AD19" s="20">
        <f>'evolucion certificaciones nuevo'!I35</f>
        <v>-65004.251399999994</v>
      </c>
      <c r="AE19" s="20">
        <f>'evolucion certificaciones nuevo'!J35</f>
        <v>-136508.92793999999</v>
      </c>
      <c r="AF19" s="20">
        <f>'evolucion certificaciones nuevo'!K35</f>
        <v>-169733.32309999998</v>
      </c>
      <c r="AG19" s="20">
        <f>'evolucion certificaciones nuevo'!L35</f>
        <v>-115563.1136</v>
      </c>
      <c r="AH19" s="20">
        <f>'evolucion certificaciones nuevo'!M35</f>
        <v>-192123.67636000001</v>
      </c>
      <c r="AI19" s="20">
        <f>'evolucion certificaciones nuevo'!N35</f>
        <v>-171900.13147999998</v>
      </c>
      <c r="AJ19" s="20">
        <f>'evolucion certificaciones nuevo'!O35</f>
        <v>-214514.02961999999</v>
      </c>
      <c r="AK19" s="20">
        <f>'evolucion certificaciones nuevo'!P35</f>
        <v>-84505.526819999999</v>
      </c>
      <c r="AL19" s="20">
        <f>'evolucion certificaciones nuevo'!Q35</f>
        <v>-150954.31714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</row>
    <row r="20" spans="1:99" x14ac:dyDescent="0.25">
      <c r="A20" s="11" t="s">
        <v>4</v>
      </c>
      <c r="B20" s="11" t="s">
        <v>168</v>
      </c>
      <c r="C20" s="11" t="s">
        <v>11</v>
      </c>
      <c r="D20" s="37">
        <v>0.21</v>
      </c>
      <c r="E20" s="11">
        <f>F16</f>
        <v>31646.16</v>
      </c>
      <c r="F20" s="11">
        <f>E20*D20</f>
        <v>6645.6935999999996</v>
      </c>
      <c r="G20" s="19">
        <f>-F20</f>
        <v>-6645.6935999999996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f>X16*0.21</f>
        <v>-2658.2774399999998</v>
      </c>
      <c r="Y20" s="20">
        <f>Y16*0.21</f>
        <v>-3987.4161599999998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</row>
    <row r="21" spans="1:99" x14ac:dyDescent="0.25">
      <c r="A21" s="11" t="s">
        <v>4</v>
      </c>
      <c r="B21" s="11" t="s">
        <v>168</v>
      </c>
      <c r="C21" s="11" t="s">
        <v>10</v>
      </c>
      <c r="D21" s="37">
        <v>0.1</v>
      </c>
      <c r="E21" s="11">
        <f>F18+F19</f>
        <v>2576643.088</v>
      </c>
      <c r="F21" s="11">
        <f>E21*D21</f>
        <v>257664.3088</v>
      </c>
      <c r="G21" s="19">
        <f>-F21</f>
        <v>-257664.3088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f>(Z18+Z19)*0.1</f>
        <v>-866.72335199999998</v>
      </c>
      <c r="AA21" s="20">
        <f>(AA18+AA19)*0.1</f>
        <v>-2311.2622719999999</v>
      </c>
      <c r="AB21" s="20">
        <f>(AB18+AB19)*0.1</f>
        <v>-5778.1556799999998</v>
      </c>
      <c r="AC21" s="20">
        <f>(AC18+AC19)*0.1</f>
        <v>-5417.0209500000001</v>
      </c>
      <c r="AD21" s="20">
        <f>(AD18+AD19)*0.1</f>
        <v>-6500.4251399999994</v>
      </c>
      <c r="AE21" s="20">
        <f>(AE18+AE19)*0.1</f>
        <v>-17047.205297999997</v>
      </c>
      <c r="AF21" s="20">
        <f>(AF18+AF19)*0.1</f>
        <v>-21501.748982000001</v>
      </c>
      <c r="AG21" s="20">
        <f>(AG18+AG19)*0.1</f>
        <v>-22084.880122400002</v>
      </c>
      <c r="AH21" s="20">
        <f>(AH18+AH19)*0.1</f>
        <v>-31099.4614</v>
      </c>
      <c r="AI21" s="20">
        <f>(AI18+AI19)*0.1</f>
        <v>-35869.731920000006</v>
      </c>
      <c r="AJ21" s="20">
        <f>(AJ18+AJ19)*0.1</f>
        <v>-44659.538406</v>
      </c>
      <c r="AK21" s="20">
        <f>(AK18+AK19)*0.1</f>
        <v>-31998.319376399999</v>
      </c>
      <c r="AL21" s="20">
        <f>(AL18+AL19)*0.1</f>
        <v>-24378.685891600002</v>
      </c>
      <c r="AM21" s="20">
        <f>(AM18+AM19)*0.1</f>
        <v>-8151.1500096000009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</row>
    <row r="22" spans="1:99" x14ac:dyDescent="0.25">
      <c r="A22" s="11" t="s">
        <v>4</v>
      </c>
      <c r="B22" s="11" t="s">
        <v>168</v>
      </c>
      <c r="C22" s="11" t="s">
        <v>21</v>
      </c>
      <c r="D22" s="37">
        <v>1</v>
      </c>
      <c r="E22" s="11">
        <v>700</v>
      </c>
      <c r="F22" s="11">
        <f>D22*E22</f>
        <v>700</v>
      </c>
      <c r="G22" s="19">
        <f>-F22</f>
        <v>-700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f>G22</f>
        <v>-700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37">
        <f>5%</f>
        <v>0.05</v>
      </c>
      <c r="E23" s="11">
        <f>(F18+F19)</f>
        <v>2576643.088</v>
      </c>
      <c r="F23" s="11">
        <f>D23*E23</f>
        <v>128832.1544</v>
      </c>
      <c r="G23" s="17">
        <f>-F23</f>
        <v>-128832.1544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f>G23*0.2</f>
        <v>-25766.43088</v>
      </c>
      <c r="R23" s="18">
        <v>0</v>
      </c>
      <c r="S23" s="18">
        <v>0</v>
      </c>
      <c r="T23" s="18">
        <f>G23*0.8</f>
        <v>-103065.72352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37">
        <f>5%</f>
        <v>0.05</v>
      </c>
      <c r="E24" s="11">
        <f>F16</f>
        <v>31646.16</v>
      </c>
      <c r="F24" s="11">
        <f>D24*E24</f>
        <v>1582.308</v>
      </c>
      <c r="G24" s="19">
        <f>-F24</f>
        <v>-1582.308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>G24*0.2</f>
        <v>-316.46160000000003</v>
      </c>
      <c r="O24" s="20">
        <v>0</v>
      </c>
      <c r="P24" s="20">
        <f>G24*0.8</f>
        <v>-1265.8464000000001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</row>
    <row r="25" spans="1:99" x14ac:dyDescent="0.25">
      <c r="A25" s="11" t="s">
        <v>4</v>
      </c>
      <c r="B25" s="11" t="s">
        <v>0</v>
      </c>
      <c r="C25" s="11" t="s">
        <v>169</v>
      </c>
      <c r="D25" s="37">
        <v>2.9999999999999997E-4</v>
      </c>
      <c r="E25" s="11">
        <f>F18</f>
        <v>1132104.1680000001</v>
      </c>
      <c r="F25" s="11">
        <f>D25*E25</f>
        <v>339.6312504</v>
      </c>
      <c r="G25" s="19">
        <f>-F25</f>
        <v>-339.6312504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f>G25</f>
        <v>-339.6312504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</row>
    <row r="26" spans="1:99" x14ac:dyDescent="0.25">
      <c r="A26" s="11" t="s">
        <v>4</v>
      </c>
      <c r="B26" s="11" t="s">
        <v>0</v>
      </c>
      <c r="C26" s="11" t="s">
        <v>170</v>
      </c>
      <c r="D26" s="37">
        <v>2.0000000000000001E-4</v>
      </c>
      <c r="E26" s="11">
        <f>F18</f>
        <v>1132104.1680000001</v>
      </c>
      <c r="F26" s="11">
        <f>D26*E26</f>
        <v>226.42083360000004</v>
      </c>
      <c r="G26" s="19">
        <f>-F26</f>
        <v>-226.42083360000004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f>G26</f>
        <v>-226.42083360000004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</row>
    <row r="27" spans="1:99" x14ac:dyDescent="0.25">
      <c r="A27" s="11" t="s">
        <v>4</v>
      </c>
      <c r="B27" s="11" t="s">
        <v>0</v>
      </c>
      <c r="C27" s="11" t="s">
        <v>171</v>
      </c>
      <c r="D27" s="37">
        <v>1</v>
      </c>
      <c r="E27" s="11">
        <v>250</v>
      </c>
      <c r="F27" s="11">
        <f>D27*E27</f>
        <v>250</v>
      </c>
      <c r="G27" s="19">
        <f>-F27</f>
        <v>-250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f>G27</f>
        <v>-250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</row>
    <row r="28" spans="1:99" x14ac:dyDescent="0.25">
      <c r="A28" s="11" t="s">
        <v>4</v>
      </c>
      <c r="B28" s="11" t="s">
        <v>0</v>
      </c>
      <c r="C28" s="11" t="s">
        <v>172</v>
      </c>
      <c r="D28" s="37">
        <v>2.9999999999999997E-4</v>
      </c>
      <c r="E28" s="11">
        <f>F18</f>
        <v>1132104.1680000001</v>
      </c>
      <c r="F28" s="11">
        <f>D28*E28</f>
        <v>339.6312504</v>
      </c>
      <c r="G28" s="19">
        <f>-F28</f>
        <v>-339.6312504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f>G28</f>
        <v>-339.6312504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</row>
    <row r="29" spans="1:99" x14ac:dyDescent="0.25">
      <c r="A29" s="11" t="s">
        <v>4</v>
      </c>
      <c r="B29" s="11" t="s">
        <v>0</v>
      </c>
      <c r="C29" s="11" t="s">
        <v>173</v>
      </c>
      <c r="D29" s="37">
        <v>2.0000000000000001E-4</v>
      </c>
      <c r="E29" s="11">
        <f>F18</f>
        <v>1132104.1680000001</v>
      </c>
      <c r="F29" s="11">
        <f>D29*E29</f>
        <v>226.42083360000004</v>
      </c>
      <c r="G29" s="19">
        <f>-F29</f>
        <v>-226.42083360000004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f t="shared" ref="AN29:AN32" si="4">G29</f>
        <v>-226.42083360000004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</row>
    <row r="30" spans="1:99" x14ac:dyDescent="0.25">
      <c r="A30" s="11" t="s">
        <v>4</v>
      </c>
      <c r="B30" s="11" t="s">
        <v>0</v>
      </c>
      <c r="C30" s="11" t="s">
        <v>174</v>
      </c>
      <c r="D30" s="37">
        <v>1</v>
      </c>
      <c r="E30" s="11">
        <v>250</v>
      </c>
      <c r="F30" s="11">
        <f>D30*E30</f>
        <v>250</v>
      </c>
      <c r="G30" s="19">
        <f>-F30</f>
        <v>-250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f t="shared" si="4"/>
        <v>-250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37">
        <v>8.9999999999999993E-3</v>
      </c>
      <c r="E31" s="11">
        <f>F18</f>
        <v>1132104.1680000001</v>
      </c>
      <c r="F31" s="11">
        <f>D31*E31</f>
        <v>10188.937512</v>
      </c>
      <c r="G31" s="19">
        <f>-F31</f>
        <v>-10188.937512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f>$G$31/16</f>
        <v>-636.80859450000003</v>
      </c>
      <c r="Y31" s="20">
        <f t="shared" ref="Y31:AM31" si="5">$G$31/16</f>
        <v>-636.80859450000003</v>
      </c>
      <c r="Z31" s="20">
        <f t="shared" si="5"/>
        <v>-636.80859450000003</v>
      </c>
      <c r="AA31" s="20">
        <f t="shared" si="5"/>
        <v>-636.80859450000003</v>
      </c>
      <c r="AB31" s="20">
        <f t="shared" si="5"/>
        <v>-636.80859450000003</v>
      </c>
      <c r="AC31" s="20">
        <f t="shared" si="5"/>
        <v>-636.80859450000003</v>
      </c>
      <c r="AD31" s="20">
        <f t="shared" si="5"/>
        <v>-636.80859450000003</v>
      </c>
      <c r="AE31" s="20">
        <f t="shared" si="5"/>
        <v>-636.80859450000003</v>
      </c>
      <c r="AF31" s="20">
        <f t="shared" si="5"/>
        <v>-636.80859450000003</v>
      </c>
      <c r="AG31" s="20">
        <f t="shared" si="5"/>
        <v>-636.80859450000003</v>
      </c>
      <c r="AH31" s="20">
        <f t="shared" si="5"/>
        <v>-636.80859450000003</v>
      </c>
      <c r="AI31" s="20">
        <f t="shared" si="5"/>
        <v>-636.80859450000003</v>
      </c>
      <c r="AJ31" s="20">
        <f t="shared" si="5"/>
        <v>-636.80859450000003</v>
      </c>
      <c r="AK31" s="20">
        <f t="shared" si="5"/>
        <v>-636.80859450000003</v>
      </c>
      <c r="AL31" s="20">
        <f t="shared" si="5"/>
        <v>-636.80859450000003</v>
      </c>
      <c r="AM31" s="20">
        <f t="shared" si="5"/>
        <v>-636.80859450000003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</row>
    <row r="32" spans="1:99" x14ac:dyDescent="0.25">
      <c r="A32" s="11" t="s">
        <v>4</v>
      </c>
      <c r="B32" s="11" t="s">
        <v>0</v>
      </c>
      <c r="C32" s="11" t="s">
        <v>175</v>
      </c>
      <c r="D32" s="37">
        <v>2.5000000000000001E-3</v>
      </c>
      <c r="E32" s="11">
        <f>20*65*1.2*725.71</f>
        <v>1132107.6000000001</v>
      </c>
      <c r="F32" s="11">
        <f>D32*E32</f>
        <v>2830.2690000000002</v>
      </c>
      <c r="G32" s="19">
        <f>-F32</f>
        <v>-2830.2690000000002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f t="shared" si="4"/>
        <v>-2830.2690000000002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0</v>
      </c>
      <c r="CS32" s="20">
        <v>0</v>
      </c>
      <c r="CT32" s="20">
        <v>0</v>
      </c>
      <c r="CU32" s="20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35">
        <v>1</v>
      </c>
      <c r="E33" s="21">
        <v>2500</v>
      </c>
      <c r="F33" s="21">
        <f>D33*E33</f>
        <v>2500</v>
      </c>
      <c r="G33" s="22">
        <f>-F33</f>
        <v>-2500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4">
        <f>G33</f>
        <v>-2500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</row>
    <row r="34" spans="1:99" x14ac:dyDescent="0.25">
      <c r="A34" s="11" t="s">
        <v>4</v>
      </c>
      <c r="B34" s="11" t="s">
        <v>24</v>
      </c>
      <c r="C34" s="11" t="s">
        <v>176</v>
      </c>
      <c r="D34" s="38">
        <v>2.5000000000000001E-3</v>
      </c>
      <c r="E34" s="21">
        <f>-0.8*SUM(G2:G32,G41:G42)</f>
        <v>2820721.4423571713</v>
      </c>
      <c r="F34" s="21">
        <f>D34*E34</f>
        <v>7051.8036058929283</v>
      </c>
      <c r="G34" s="19">
        <f>-F34</f>
        <v>-7051.8036058929283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f>G34</f>
        <v>-7051.8036058929283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35">
        <v>1</v>
      </c>
      <c r="E35" s="21">
        <v>250</v>
      </c>
      <c r="F35" s="21">
        <f>D35*E35</f>
        <v>250</v>
      </c>
      <c r="G35" s="19">
        <f>-F35</f>
        <v>-250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f>G35</f>
        <v>-250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38">
        <v>2.5000000000000001E-3</v>
      </c>
      <c r="E36" s="21">
        <f>-0.8*SUM(G2:G32,G41:G42)</f>
        <v>2820721.4423571713</v>
      </c>
      <c r="F36" s="21">
        <f>D36*E36</f>
        <v>7051.8036058929283</v>
      </c>
      <c r="G36" s="19">
        <f>-F36</f>
        <v>-7051.8036058929283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f>G36</f>
        <v>-7051.8036058929283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38">
        <v>1E-3</v>
      </c>
      <c r="E37" s="21">
        <f>-0.8*SUM(G2:G32,G41:G42)</f>
        <v>2820721.4423571713</v>
      </c>
      <c r="F37" s="21">
        <f>D37*E37</f>
        <v>2820.7214423571713</v>
      </c>
      <c r="G37" s="19">
        <f>-F37</f>
        <v>-2820.7214423571713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f>G37</f>
        <v>-2820.7214423571713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</row>
    <row r="38" spans="1:99" x14ac:dyDescent="0.25">
      <c r="A38" s="11" t="s">
        <v>4</v>
      </c>
      <c r="B38" s="11" t="s">
        <v>24</v>
      </c>
      <c r="C38" s="11" t="s">
        <v>96</v>
      </c>
      <c r="D38" s="38">
        <f>intereses!C5</f>
        <v>3.5000000000000003E-2</v>
      </c>
      <c r="E38" s="21">
        <f>0.8*(SUM(F2:F42)-F44-F45)</f>
        <v>2221473.5001651994</v>
      </c>
      <c r="F38" s="21">
        <v>203275.24</v>
      </c>
      <c r="G38" s="19"/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-6479.2977083333335</v>
      </c>
      <c r="AO38" s="20">
        <v>-6380.3259284862716</v>
      </c>
      <c r="AP38" s="20">
        <v>-6281.0654809479902</v>
      </c>
      <c r="AQ38" s="20">
        <v>-6181.5155237710551</v>
      </c>
      <c r="AR38" s="20">
        <v>-6081.6752125523544</v>
      </c>
      <c r="AS38" s="20">
        <v>-5981.5437004259329</v>
      </c>
      <c r="AT38" s="20">
        <v>-5881.1201380558077</v>
      </c>
      <c r="AU38" s="20">
        <v>-5780.4036736287699</v>
      </c>
      <c r="AV38" s="20">
        <v>-5679.3934528471545</v>
      </c>
      <c r="AW38" s="20">
        <v>-5578.0886189215926</v>
      </c>
      <c r="AX38" s="20">
        <v>-5476.4883125637461</v>
      </c>
      <c r="AY38" s="20">
        <v>-5374.5916719790239</v>
      </c>
      <c r="AZ38" s="20">
        <v>-5272.3978328592621</v>
      </c>
      <c r="BA38" s="20">
        <v>-5169.9059283754023</v>
      </c>
      <c r="BB38" s="20">
        <v>-5067.11508917013</v>
      </c>
      <c r="BC38" s="20">
        <v>-4964.0244433505095</v>
      </c>
      <c r="BD38" s="25">
        <v>-4860.6331164805815</v>
      </c>
      <c r="BE38" s="25">
        <v>-4756.9402315739508</v>
      </c>
      <c r="BF38" s="25">
        <v>-4652.9449090863409</v>
      </c>
      <c r="BG38" s="25">
        <v>-4548.646266908142</v>
      </c>
      <c r="BH38" s="25">
        <v>-4444.0434203569239</v>
      </c>
      <c r="BI38" s="25">
        <v>-4339.1354821699306</v>
      </c>
      <c r="BJ38" s="25">
        <v>-4233.9215624965609</v>
      </c>
      <c r="BK38" s="25">
        <v>-4128.4007688908086</v>
      </c>
      <c r="BL38" s="25">
        <v>-4022.5722063037069</v>
      </c>
      <c r="BM38" s="25">
        <v>-3916.4349770757262</v>
      </c>
      <c r="BN38" s="25">
        <v>-3809.9881809291633</v>
      </c>
      <c r="BO38" s="25">
        <v>-3703.2309149605071</v>
      </c>
      <c r="BP38" s="25">
        <v>-3596.1622736327759</v>
      </c>
      <c r="BQ38" s="25">
        <v>-3488.7813487678368</v>
      </c>
      <c r="BR38" s="25">
        <v>-3381.0872295387098</v>
      </c>
      <c r="BS38" s="25">
        <v>-3273.0790024618309</v>
      </c>
      <c r="BT38" s="25">
        <v>-3164.7557513893116</v>
      </c>
      <c r="BU38" s="25">
        <v>-3056.1165575011637</v>
      </c>
      <c r="BV38" s="25">
        <v>-2947.1604992975085</v>
      </c>
      <c r="BW38" s="25">
        <v>-2837.8866525907597</v>
      </c>
      <c r="BX38" s="25">
        <v>-2728.2940904977822</v>
      </c>
      <c r="BY38" s="25">
        <v>-2618.3818834320346</v>
      </c>
      <c r="BZ38" s="25">
        <v>-2508.1490990956777</v>
      </c>
      <c r="CA38" s="25">
        <v>-2397.5948024716727</v>
      </c>
      <c r="CB38" s="25">
        <v>-2286.7180558158484</v>
      </c>
      <c r="CC38" s="25">
        <v>-2175.5179186489449</v>
      </c>
      <c r="CD38" s="25">
        <v>-2063.9934477486377</v>
      </c>
      <c r="CE38" s="25">
        <v>-1952.1436971415374</v>
      </c>
      <c r="CF38" s="25">
        <v>-1839.9677180951669</v>
      </c>
      <c r="CG38" s="25">
        <v>-1727.4645591099113</v>
      </c>
      <c r="CH38" s="25">
        <v>-1614.6332659109485</v>
      </c>
      <c r="CI38" s="25">
        <v>-1501.4728814401551</v>
      </c>
      <c r="CJ38" s="25">
        <v>-1387.9824458479891</v>
      </c>
      <c r="CK38" s="25">
        <v>-1274.1609964853453</v>
      </c>
      <c r="CL38" s="25">
        <v>-1160.0075678953945</v>
      </c>
      <c r="CM38" s="25">
        <v>-1045.521191805389</v>
      </c>
      <c r="CN38" s="25">
        <v>-930.70089711845469</v>
      </c>
      <c r="CO38" s="25">
        <v>-815.54570990535035</v>
      </c>
      <c r="CP38" s="25">
        <v>-700.05465339620741</v>
      </c>
      <c r="CQ38" s="25">
        <v>-584.22674797224613</v>
      </c>
      <c r="CR38" s="25">
        <v>-468.06101115746515</v>
      </c>
      <c r="CS38" s="25">
        <v>-351.55645761030775</v>
      </c>
      <c r="CT38" s="25">
        <v>-234.7120991153044</v>
      </c>
      <c r="CU38" s="25">
        <v>-117.52694457469057</v>
      </c>
    </row>
    <row r="39" spans="1:99" x14ac:dyDescent="0.25">
      <c r="A39" s="11" t="s">
        <v>4</v>
      </c>
      <c r="B39" s="11" t="s">
        <v>24</v>
      </c>
      <c r="C39" s="11" t="s">
        <v>39</v>
      </c>
      <c r="D39" s="38">
        <f>intereses!E5</f>
        <v>0.05</v>
      </c>
      <c r="E39" s="21">
        <f>-0.8*SUM(G2:G32,G41:G42)</f>
        <v>2820721.4423571713</v>
      </c>
      <c r="F39" s="21">
        <v>100938.7</v>
      </c>
      <c r="G39" s="19"/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-11753.005999999999</v>
      </c>
      <c r="Y39" s="20">
        <v>-11041.127800295095</v>
      </c>
      <c r="Z39" s="20">
        <v>-10326.283441424752</v>
      </c>
      <c r="AA39" s="20">
        <v>-9608.4605643924478</v>
      </c>
      <c r="AB39" s="20">
        <v>-8887.6467587058451</v>
      </c>
      <c r="AC39" s="20">
        <v>-8163.8295621622128</v>
      </c>
      <c r="AD39" s="20">
        <v>-7436.9964606329813</v>
      </c>
      <c r="AE39" s="20">
        <v>-6707.13488784738</v>
      </c>
      <c r="AF39" s="20">
        <v>-5974.2322251751721</v>
      </c>
      <c r="AG39" s="20">
        <v>-5238.2758014084957</v>
      </c>
      <c r="AH39" s="20">
        <v>-4499.2528925427914</v>
      </c>
      <c r="AI39" s="20">
        <v>-3757.1507215568136</v>
      </c>
      <c r="AJ39" s="20">
        <v>-3011.956458191728</v>
      </c>
      <c r="AK39" s="20">
        <v>-2263.6572187292873</v>
      </c>
      <c r="AL39" s="20">
        <v>-1512.2400657690873</v>
      </c>
      <c r="AM39" s="20">
        <v>-757.69200800488568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38">
        <v>2.5000000000000001E-3</v>
      </c>
      <c r="E40" s="21">
        <f>-0.8*SUM(G2:G32,G41:G42)</f>
        <v>2820721.4423571713</v>
      </c>
      <c r="F40" s="21">
        <f>D40*E40</f>
        <v>7051.8036058929283</v>
      </c>
      <c r="G40" s="19">
        <f>-F40</f>
        <v>-7051.8036058929283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f>G40</f>
        <v>-7051.8036058929283</v>
      </c>
    </row>
    <row r="41" spans="1:99" x14ac:dyDescent="0.25">
      <c r="A41" s="11" t="s">
        <v>4</v>
      </c>
      <c r="B41" s="11" t="s">
        <v>1</v>
      </c>
      <c r="C41" s="11" t="s">
        <v>22</v>
      </c>
      <c r="D41" s="37">
        <f>10*8</f>
        <v>80</v>
      </c>
      <c r="E41" s="11">
        <v>700</v>
      </c>
      <c r="F41" s="21">
        <f>D41*E41</f>
        <v>56000</v>
      </c>
      <c r="G41" s="17">
        <f>-F41</f>
        <v>-56000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f t="shared" ref="Y41:AF41" si="6">$G$41/8</f>
        <v>-7000</v>
      </c>
      <c r="Z41" s="18">
        <f t="shared" si="6"/>
        <v>-7000</v>
      </c>
      <c r="AA41" s="18">
        <f t="shared" si="6"/>
        <v>-7000</v>
      </c>
      <c r="AB41" s="18">
        <f t="shared" si="6"/>
        <v>-7000</v>
      </c>
      <c r="AC41" s="18">
        <f t="shared" si="6"/>
        <v>-7000</v>
      </c>
      <c r="AD41" s="18">
        <f t="shared" si="6"/>
        <v>-7000</v>
      </c>
      <c r="AE41" s="18">
        <f t="shared" si="6"/>
        <v>-7000</v>
      </c>
      <c r="AF41" s="18">
        <f t="shared" si="6"/>
        <v>-7000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37">
        <f>10*8</f>
        <v>80</v>
      </c>
      <c r="E42" s="11">
        <v>200</v>
      </c>
      <c r="F42" s="21">
        <f>D42*E42</f>
        <v>16000</v>
      </c>
      <c r="G42" s="19">
        <f>-$F$42</f>
        <v>-16000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f t="shared" ref="Y42:AF42" si="7">$G$42/8</f>
        <v>-2000</v>
      </c>
      <c r="Z42" s="20">
        <f t="shared" si="7"/>
        <v>-2000</v>
      </c>
      <c r="AA42" s="20">
        <f t="shared" si="7"/>
        <v>-2000</v>
      </c>
      <c r="AB42" s="20">
        <f t="shared" si="7"/>
        <v>-2000</v>
      </c>
      <c r="AC42" s="20">
        <f t="shared" si="7"/>
        <v>-2000</v>
      </c>
      <c r="AD42" s="20">
        <f t="shared" si="7"/>
        <v>-2000</v>
      </c>
      <c r="AE42" s="20">
        <f t="shared" si="7"/>
        <v>-2000</v>
      </c>
      <c r="AF42" s="20">
        <f t="shared" si="7"/>
        <v>-2000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</row>
    <row r="43" spans="1:99" x14ac:dyDescent="0.25">
      <c r="A43" s="11" t="s">
        <v>5</v>
      </c>
      <c r="B43" s="11" t="s">
        <v>177</v>
      </c>
      <c r="C43" s="11" t="s">
        <v>145</v>
      </c>
      <c r="D43" s="37">
        <v>20</v>
      </c>
      <c r="E43" s="11">
        <f>65*2183.04</f>
        <v>141897.60000000001</v>
      </c>
      <c r="F43" s="11">
        <f>D43*E43</f>
        <v>2837952</v>
      </c>
      <c r="G43" s="19">
        <f>F43</f>
        <v>2837952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f>G43</f>
        <v>2837952</v>
      </c>
    </row>
    <row r="44" spans="1:99" x14ac:dyDescent="0.25">
      <c r="A44" s="11" t="s">
        <v>5</v>
      </c>
      <c r="B44" s="11" t="s">
        <v>178</v>
      </c>
      <c r="C44" s="11" t="s">
        <v>179</v>
      </c>
      <c r="D44" s="37">
        <v>40</v>
      </c>
      <c r="E44" s="16">
        <v>16000</v>
      </c>
      <c r="F44" s="11">
        <f>D44*E44</f>
        <v>640000</v>
      </c>
      <c r="G44" s="19">
        <f>F44</f>
        <v>640000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f>G44</f>
        <v>640000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</row>
    <row r="45" spans="1:99" x14ac:dyDescent="0.25">
      <c r="A45" s="11" t="s">
        <v>5</v>
      </c>
      <c r="B45" s="11" t="s">
        <v>178</v>
      </c>
      <c r="C45" s="11" t="s">
        <v>180</v>
      </c>
      <c r="D45" s="37">
        <v>40</v>
      </c>
      <c r="E45" s="11">
        <v>11000</v>
      </c>
      <c r="F45" s="11">
        <f>D45*E45</f>
        <v>440000</v>
      </c>
      <c r="G45" s="19">
        <f>F45</f>
        <v>440000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f>G45</f>
        <v>440000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  <c r="CT45" s="20">
        <v>0</v>
      </c>
      <c r="CU45" s="20">
        <v>0</v>
      </c>
    </row>
    <row r="46" spans="1:99" x14ac:dyDescent="0.25">
      <c r="A46" s="11" t="s">
        <v>5</v>
      </c>
      <c r="B46" s="11" t="s">
        <v>181</v>
      </c>
      <c r="C46" s="11" t="s">
        <v>182</v>
      </c>
      <c r="D46" s="37">
        <f>20*60</f>
        <v>1200</v>
      </c>
      <c r="E46" s="11">
        <v>450</v>
      </c>
      <c r="F46" s="21">
        <f>D46*E46</f>
        <v>540000</v>
      </c>
      <c r="G46" s="19">
        <f>F46</f>
        <v>540000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f>($D$46*$E$46)/60</f>
        <v>9000</v>
      </c>
      <c r="AO46" s="20">
        <f t="shared" ref="AO46:CU46" si="8">($D$46*$E$46)/60</f>
        <v>9000</v>
      </c>
      <c r="AP46" s="20">
        <f t="shared" si="8"/>
        <v>9000</v>
      </c>
      <c r="AQ46" s="20">
        <f t="shared" si="8"/>
        <v>9000</v>
      </c>
      <c r="AR46" s="20">
        <f t="shared" si="8"/>
        <v>9000</v>
      </c>
      <c r="AS46" s="20">
        <f t="shared" si="8"/>
        <v>9000</v>
      </c>
      <c r="AT46" s="20">
        <f t="shared" si="8"/>
        <v>9000</v>
      </c>
      <c r="AU46" s="20">
        <f t="shared" si="8"/>
        <v>9000</v>
      </c>
      <c r="AV46" s="20">
        <f t="shared" si="8"/>
        <v>9000</v>
      </c>
      <c r="AW46" s="20">
        <f t="shared" si="8"/>
        <v>9000</v>
      </c>
      <c r="AX46" s="20">
        <f t="shared" si="8"/>
        <v>9000</v>
      </c>
      <c r="AY46" s="20">
        <f t="shared" si="8"/>
        <v>9000</v>
      </c>
      <c r="AZ46" s="20">
        <f t="shared" si="8"/>
        <v>9000</v>
      </c>
      <c r="BA46" s="20">
        <f t="shared" si="8"/>
        <v>9000</v>
      </c>
      <c r="BB46" s="20">
        <f t="shared" si="8"/>
        <v>9000</v>
      </c>
      <c r="BC46" s="20">
        <f t="shared" si="8"/>
        <v>9000</v>
      </c>
      <c r="BD46" s="20">
        <f t="shared" si="8"/>
        <v>9000</v>
      </c>
      <c r="BE46" s="20">
        <f t="shared" si="8"/>
        <v>9000</v>
      </c>
      <c r="BF46" s="20">
        <f t="shared" si="8"/>
        <v>9000</v>
      </c>
      <c r="BG46" s="20">
        <f t="shared" si="8"/>
        <v>9000</v>
      </c>
      <c r="BH46" s="20">
        <f t="shared" si="8"/>
        <v>9000</v>
      </c>
      <c r="BI46" s="20">
        <f t="shared" si="8"/>
        <v>9000</v>
      </c>
      <c r="BJ46" s="20">
        <f t="shared" si="8"/>
        <v>9000</v>
      </c>
      <c r="BK46" s="20">
        <f t="shared" si="8"/>
        <v>9000</v>
      </c>
      <c r="BL46" s="20">
        <f t="shared" si="8"/>
        <v>9000</v>
      </c>
      <c r="BM46" s="20">
        <f t="shared" si="8"/>
        <v>9000</v>
      </c>
      <c r="BN46" s="20">
        <f t="shared" si="8"/>
        <v>9000</v>
      </c>
      <c r="BO46" s="20">
        <f t="shared" si="8"/>
        <v>9000</v>
      </c>
      <c r="BP46" s="20">
        <f t="shared" si="8"/>
        <v>9000</v>
      </c>
      <c r="BQ46" s="20">
        <f t="shared" si="8"/>
        <v>9000</v>
      </c>
      <c r="BR46" s="20">
        <f t="shared" si="8"/>
        <v>9000</v>
      </c>
      <c r="BS46" s="20">
        <f t="shared" si="8"/>
        <v>9000</v>
      </c>
      <c r="BT46" s="20">
        <f t="shared" si="8"/>
        <v>9000</v>
      </c>
      <c r="BU46" s="20">
        <f t="shared" si="8"/>
        <v>9000</v>
      </c>
      <c r="BV46" s="20">
        <f t="shared" si="8"/>
        <v>9000</v>
      </c>
      <c r="BW46" s="20">
        <f t="shared" si="8"/>
        <v>9000</v>
      </c>
      <c r="BX46" s="20">
        <f t="shared" si="8"/>
        <v>9000</v>
      </c>
      <c r="BY46" s="20">
        <f t="shared" si="8"/>
        <v>9000</v>
      </c>
      <c r="BZ46" s="20">
        <f t="shared" si="8"/>
        <v>9000</v>
      </c>
      <c r="CA46" s="20">
        <f t="shared" si="8"/>
        <v>9000</v>
      </c>
      <c r="CB46" s="20">
        <f t="shared" si="8"/>
        <v>9000</v>
      </c>
      <c r="CC46" s="20">
        <f t="shared" si="8"/>
        <v>9000</v>
      </c>
      <c r="CD46" s="20">
        <f t="shared" si="8"/>
        <v>9000</v>
      </c>
      <c r="CE46" s="20">
        <f t="shared" si="8"/>
        <v>9000</v>
      </c>
      <c r="CF46" s="20">
        <f t="shared" si="8"/>
        <v>9000</v>
      </c>
      <c r="CG46" s="20">
        <f t="shared" si="8"/>
        <v>9000</v>
      </c>
      <c r="CH46" s="20">
        <f t="shared" si="8"/>
        <v>9000</v>
      </c>
      <c r="CI46" s="20">
        <f t="shared" si="8"/>
        <v>9000</v>
      </c>
      <c r="CJ46" s="20">
        <f t="shared" si="8"/>
        <v>9000</v>
      </c>
      <c r="CK46" s="20">
        <f t="shared" si="8"/>
        <v>9000</v>
      </c>
      <c r="CL46" s="20">
        <f t="shared" si="8"/>
        <v>9000</v>
      </c>
      <c r="CM46" s="20">
        <f t="shared" si="8"/>
        <v>9000</v>
      </c>
      <c r="CN46" s="20">
        <f t="shared" si="8"/>
        <v>9000</v>
      </c>
      <c r="CO46" s="20">
        <f t="shared" si="8"/>
        <v>9000</v>
      </c>
      <c r="CP46" s="20">
        <f t="shared" si="8"/>
        <v>9000</v>
      </c>
      <c r="CQ46" s="20">
        <f t="shared" si="8"/>
        <v>9000</v>
      </c>
      <c r="CR46" s="20">
        <f t="shared" si="8"/>
        <v>9000</v>
      </c>
      <c r="CS46" s="20">
        <f t="shared" si="8"/>
        <v>9000</v>
      </c>
      <c r="CT46" s="20">
        <f t="shared" si="8"/>
        <v>9000</v>
      </c>
      <c r="CU46" s="20">
        <f t="shared" si="8"/>
        <v>9000</v>
      </c>
    </row>
    <row r="47" spans="1:99" x14ac:dyDescent="0.25">
      <c r="A47" s="11" t="s">
        <v>5</v>
      </c>
      <c r="B47" s="11" t="s">
        <v>183</v>
      </c>
      <c r="C47" s="11" t="s">
        <v>157</v>
      </c>
      <c r="D47" s="37">
        <v>0</v>
      </c>
      <c r="E47" s="11">
        <v>50</v>
      </c>
      <c r="F47" s="11">
        <f>D47*E47</f>
        <v>0</v>
      </c>
      <c r="G47" s="42">
        <f>F47</f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f>($D$47*$E$47)/60</f>
        <v>0</v>
      </c>
      <c r="AO47" s="20">
        <f t="shared" ref="AO47:CU47" si="9">($D$47*$E$47)/60</f>
        <v>0</v>
      </c>
      <c r="AP47" s="20">
        <f t="shared" si="9"/>
        <v>0</v>
      </c>
      <c r="AQ47" s="20">
        <f t="shared" si="9"/>
        <v>0</v>
      </c>
      <c r="AR47" s="20">
        <f t="shared" si="9"/>
        <v>0</v>
      </c>
      <c r="AS47" s="20">
        <f t="shared" si="9"/>
        <v>0</v>
      </c>
      <c r="AT47" s="20">
        <f t="shared" si="9"/>
        <v>0</v>
      </c>
      <c r="AU47" s="20">
        <f t="shared" si="9"/>
        <v>0</v>
      </c>
      <c r="AV47" s="20">
        <f t="shared" si="9"/>
        <v>0</v>
      </c>
      <c r="AW47" s="20">
        <f t="shared" si="9"/>
        <v>0</v>
      </c>
      <c r="AX47" s="20">
        <f t="shared" si="9"/>
        <v>0</v>
      </c>
      <c r="AY47" s="20">
        <f t="shared" si="9"/>
        <v>0</v>
      </c>
      <c r="AZ47" s="20">
        <f t="shared" si="9"/>
        <v>0</v>
      </c>
      <c r="BA47" s="20">
        <f t="shared" si="9"/>
        <v>0</v>
      </c>
      <c r="BB47" s="20">
        <f t="shared" si="9"/>
        <v>0</v>
      </c>
      <c r="BC47" s="20">
        <f t="shared" si="9"/>
        <v>0</v>
      </c>
      <c r="BD47" s="20">
        <f t="shared" si="9"/>
        <v>0</v>
      </c>
      <c r="BE47" s="20">
        <f t="shared" si="9"/>
        <v>0</v>
      </c>
      <c r="BF47" s="20">
        <f t="shared" si="9"/>
        <v>0</v>
      </c>
      <c r="BG47" s="20">
        <f t="shared" si="9"/>
        <v>0</v>
      </c>
      <c r="BH47" s="20">
        <f t="shared" si="9"/>
        <v>0</v>
      </c>
      <c r="BI47" s="20">
        <f t="shared" si="9"/>
        <v>0</v>
      </c>
      <c r="BJ47" s="20">
        <f t="shared" si="9"/>
        <v>0</v>
      </c>
      <c r="BK47" s="20">
        <f t="shared" si="9"/>
        <v>0</v>
      </c>
      <c r="BL47" s="20">
        <f t="shared" si="9"/>
        <v>0</v>
      </c>
      <c r="BM47" s="20">
        <f t="shared" si="9"/>
        <v>0</v>
      </c>
      <c r="BN47" s="20">
        <f t="shared" si="9"/>
        <v>0</v>
      </c>
      <c r="BO47" s="20">
        <f t="shared" si="9"/>
        <v>0</v>
      </c>
      <c r="BP47" s="20">
        <f t="shared" si="9"/>
        <v>0</v>
      </c>
      <c r="BQ47" s="20">
        <f t="shared" si="9"/>
        <v>0</v>
      </c>
      <c r="BR47" s="20">
        <f t="shared" si="9"/>
        <v>0</v>
      </c>
      <c r="BS47" s="20">
        <f t="shared" si="9"/>
        <v>0</v>
      </c>
      <c r="BT47" s="20">
        <f t="shared" si="9"/>
        <v>0</v>
      </c>
      <c r="BU47" s="20">
        <f t="shared" si="9"/>
        <v>0</v>
      </c>
      <c r="BV47" s="20">
        <f t="shared" si="9"/>
        <v>0</v>
      </c>
      <c r="BW47" s="20">
        <f t="shared" si="9"/>
        <v>0</v>
      </c>
      <c r="BX47" s="20">
        <f t="shared" si="9"/>
        <v>0</v>
      </c>
      <c r="BY47" s="20">
        <f t="shared" si="9"/>
        <v>0</v>
      </c>
      <c r="BZ47" s="20">
        <f t="shared" si="9"/>
        <v>0</v>
      </c>
      <c r="CA47" s="20">
        <f t="shared" si="9"/>
        <v>0</v>
      </c>
      <c r="CB47" s="20">
        <f t="shared" si="9"/>
        <v>0</v>
      </c>
      <c r="CC47" s="20">
        <f t="shared" si="9"/>
        <v>0</v>
      </c>
      <c r="CD47" s="20">
        <f t="shared" si="9"/>
        <v>0</v>
      </c>
      <c r="CE47" s="20">
        <f t="shared" si="9"/>
        <v>0</v>
      </c>
      <c r="CF47" s="20">
        <f t="shared" si="9"/>
        <v>0</v>
      </c>
      <c r="CG47" s="20">
        <f t="shared" si="9"/>
        <v>0</v>
      </c>
      <c r="CH47" s="20">
        <f t="shared" si="9"/>
        <v>0</v>
      </c>
      <c r="CI47" s="20">
        <f t="shared" si="9"/>
        <v>0</v>
      </c>
      <c r="CJ47" s="20">
        <f t="shared" si="9"/>
        <v>0</v>
      </c>
      <c r="CK47" s="20">
        <f t="shared" si="9"/>
        <v>0</v>
      </c>
      <c r="CL47" s="20">
        <f t="shared" si="9"/>
        <v>0</v>
      </c>
      <c r="CM47" s="20">
        <f t="shared" si="9"/>
        <v>0</v>
      </c>
      <c r="CN47" s="20">
        <f t="shared" si="9"/>
        <v>0</v>
      </c>
      <c r="CO47" s="20">
        <f t="shared" si="9"/>
        <v>0</v>
      </c>
      <c r="CP47" s="20">
        <f t="shared" si="9"/>
        <v>0</v>
      </c>
      <c r="CQ47" s="20">
        <f t="shared" si="9"/>
        <v>0</v>
      </c>
      <c r="CR47" s="20">
        <f t="shared" si="9"/>
        <v>0</v>
      </c>
      <c r="CS47" s="20">
        <f t="shared" si="9"/>
        <v>0</v>
      </c>
      <c r="CT47" s="20">
        <f t="shared" si="9"/>
        <v>0</v>
      </c>
      <c r="CU47" s="20">
        <f t="shared" si="9"/>
        <v>0</v>
      </c>
    </row>
    <row r="48" spans="1:99" x14ac:dyDescent="0.25">
      <c r="A48" s="11" t="s">
        <v>184</v>
      </c>
      <c r="B48" s="11" t="s">
        <v>185</v>
      </c>
      <c r="C48" s="11" t="s">
        <v>5</v>
      </c>
      <c r="F48" s="43"/>
      <c r="G48" s="45">
        <f>SUM(F43:F47)</f>
        <v>4457952</v>
      </c>
      <c r="H48" s="3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spans="1:99" x14ac:dyDescent="0.25">
      <c r="A49" s="11" t="s">
        <v>184</v>
      </c>
      <c r="B49" s="11" t="s">
        <v>185</v>
      </c>
      <c r="C49" s="11" t="s">
        <v>90</v>
      </c>
      <c r="F49" s="43"/>
      <c r="G49" s="45">
        <f>-SUM(F2:F42)</f>
        <v>-3856841.8752064994</v>
      </c>
      <c r="H49" s="39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spans="1:99" x14ac:dyDescent="0.25">
      <c r="A50" s="11" t="s">
        <v>184</v>
      </c>
      <c r="B50" s="11" t="s">
        <v>185</v>
      </c>
      <c r="C50" s="11" t="s">
        <v>186</v>
      </c>
      <c r="F50" s="43"/>
      <c r="G50" s="45">
        <f>SUM(G48:G49)</f>
        <v>601110.12479350064</v>
      </c>
      <c r="H50" s="39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spans="1:99" x14ac:dyDescent="0.25">
      <c r="A51" s="11" t="s">
        <v>184</v>
      </c>
      <c r="B51" s="11" t="s">
        <v>185</v>
      </c>
      <c r="C51" s="11" t="s">
        <v>187</v>
      </c>
      <c r="F51" s="43"/>
      <c r="G51" s="46">
        <f>G50/-G49</f>
        <v>0.15585552746087539</v>
      </c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spans="1:99" x14ac:dyDescent="0.25">
      <c r="A52" s="11" t="s">
        <v>184</v>
      </c>
      <c r="B52" s="11" t="s">
        <v>188</v>
      </c>
      <c r="C52" s="11" t="s">
        <v>189</v>
      </c>
      <c r="F52" s="43"/>
      <c r="G52" s="47"/>
      <c r="H52" s="40">
        <v>1E-3</v>
      </c>
      <c r="I52" s="25">
        <f>SUM(I2:I47)</f>
        <v>-7018</v>
      </c>
      <c r="J52" s="25">
        <v>1E-3</v>
      </c>
      <c r="K52" s="25">
        <f>SUM(K2:K47)</f>
        <v>-10053.029990080002</v>
      </c>
      <c r="L52" s="25">
        <v>1E-3</v>
      </c>
      <c r="M52" s="25">
        <f>SUM(M2:M47)</f>
        <v>-72110.216769571198</v>
      </c>
      <c r="N52" s="25">
        <f>SUM(N2:N47)</f>
        <v>-316.46160000000003</v>
      </c>
      <c r="O52" s="25">
        <v>1E-3</v>
      </c>
      <c r="P52" s="25">
        <f>SUM(P2:P47)</f>
        <v>-115677.00204415679</v>
      </c>
      <c r="Q52" s="25">
        <f>SUM(Q2:Q47)</f>
        <v>-25766.43088</v>
      </c>
      <c r="R52" s="25">
        <f>SUM(R2:R47)</f>
        <v>-3156.0299900800005</v>
      </c>
      <c r="S52" s="25">
        <v>1E-3</v>
      </c>
      <c r="T52" s="25">
        <f>SUM(T2:T47)</f>
        <v>-103065.72352</v>
      </c>
      <c r="U52" s="25">
        <v>1E-3</v>
      </c>
      <c r="V52" s="25">
        <v>1E-3</v>
      </c>
      <c r="W52" s="25">
        <f>SUM(W2:W47)</f>
        <v>-19674.328654143028</v>
      </c>
      <c r="X52" s="25">
        <f>SUM(X2:X47)</f>
        <v>-31346.608939179998</v>
      </c>
      <c r="Y52" s="25">
        <f>SUM(Y2:Y47)</f>
        <v>-48240.335526163093</v>
      </c>
      <c r="Z52" s="25">
        <f>SUM(Z2:Z47)</f>
        <v>-44755.458994949891</v>
      </c>
      <c r="AA52" s="25">
        <f>SUM(AA2:AA47)</f>
        <v>-59927.564237917584</v>
      </c>
      <c r="AB52" s="25">
        <f>SUM(AB2:AB47)</f>
        <v>-97342.577920230993</v>
      </c>
      <c r="AC52" s="25">
        <f>SUM(AC2:AC47)</f>
        <v>-92646.27869368736</v>
      </c>
      <c r="AD52" s="25">
        <f>SUM(AD2:AD47)</f>
        <v>-103836.89168215811</v>
      </c>
      <c r="AE52" s="25">
        <f>SUM(AE2:AE47)</f>
        <v>-219121.61184737249</v>
      </c>
      <c r="AF52" s="25">
        <f>SUM(AF2:AF47)</f>
        <v>-267388.68970870029</v>
      </c>
      <c r="AG52" s="25">
        <f>SUM(AG2:AG47)</f>
        <v>-264067.17582933366</v>
      </c>
      <c r="AH52" s="25">
        <f>SUM(AH2:AH47)</f>
        <v>-362488.54697406804</v>
      </c>
      <c r="AI52" s="25">
        <f>SUM(AI2:AI47)</f>
        <v>-414219.42052308196</v>
      </c>
      <c r="AJ52" s="25">
        <f>SUM(AJ2:AJ47)</f>
        <v>-510162.09760571684</v>
      </c>
      <c r="AK52" s="25">
        <f>SUM(AK2:AK47)</f>
        <v>-370140.38904065435</v>
      </c>
      <c r="AL52" s="25">
        <f>SUM(AL2:AL47)</f>
        <v>-285573.00355489418</v>
      </c>
      <c r="AM52" s="25">
        <f>SUM(AM2:AM47)</f>
        <v>-107015.56079513003</v>
      </c>
      <c r="AN52" s="25">
        <f>SUM(AN2:AN47)</f>
        <v>1071115.0631454908</v>
      </c>
      <c r="AO52" s="25">
        <f>SUM(AO2:AO47)</f>
        <v>2619.6740715137284</v>
      </c>
      <c r="AP52" s="25">
        <f>SUM(AP2:AP47)</f>
        <v>2718.9345190520098</v>
      </c>
      <c r="AQ52" s="25">
        <f>SUM(AQ2:AQ47)</f>
        <v>2818.4844762289449</v>
      </c>
      <c r="AR52" s="25">
        <f>SUM(AR2:AR47)</f>
        <v>2918.3247874476456</v>
      </c>
      <c r="AS52" s="25">
        <f>SUM(AS2:AS47)</f>
        <v>3018.4562995740671</v>
      </c>
      <c r="AT52" s="25">
        <f>SUM(AT2:AT47)</f>
        <v>3118.8798619441923</v>
      </c>
      <c r="AU52" s="25">
        <f>SUM(AU2:AU47)</f>
        <v>3219.5963263712301</v>
      </c>
      <c r="AV52" s="25">
        <f>SUM(AV2:AV47)</f>
        <v>3320.6065471528455</v>
      </c>
      <c r="AW52" s="25">
        <f>SUM(AW2:AW47)</f>
        <v>3421.9113810784074</v>
      </c>
      <c r="AX52" s="25">
        <f>SUM(AX2:AX47)</f>
        <v>3523.5116874362539</v>
      </c>
      <c r="AY52" s="25">
        <f>SUM(AY2:AY47)</f>
        <v>3625.4083280209761</v>
      </c>
      <c r="AZ52" s="25">
        <f>SUM(AZ2:AZ47)</f>
        <v>3727.6021671407379</v>
      </c>
      <c r="BA52" s="25">
        <f>SUM(BA2:BA47)</f>
        <v>3830.0940716245977</v>
      </c>
      <c r="BB52" s="25">
        <f>SUM(BB2:BB47)</f>
        <v>3932.88491082987</v>
      </c>
      <c r="BC52" s="25">
        <f>SUM(BC2:BC47)</f>
        <v>4035.9755566494905</v>
      </c>
      <c r="BD52" s="25">
        <f>SUM(BD2:BD47)</f>
        <v>4139.3668835194185</v>
      </c>
      <c r="BE52" s="25">
        <f>SUM(BE2:BE47)</f>
        <v>4243.0597684260492</v>
      </c>
      <c r="BF52" s="25">
        <f>SUM(BF2:BF47)</f>
        <v>4347.0550909136591</v>
      </c>
      <c r="BG52" s="25">
        <f>SUM(BG2:BG47)</f>
        <v>4451.353733091858</v>
      </c>
      <c r="BH52" s="25">
        <f>SUM(BH2:BH47)</f>
        <v>4555.9565796430761</v>
      </c>
      <c r="BI52" s="25">
        <f>SUM(BI2:BI47)</f>
        <v>4660.8645178300694</v>
      </c>
      <c r="BJ52" s="25">
        <f>SUM(BJ2:BJ47)</f>
        <v>4766.0784375034391</v>
      </c>
      <c r="BK52" s="25">
        <f>SUM(BK2:BK47)</f>
        <v>4871.5992311091914</v>
      </c>
      <c r="BL52" s="25">
        <f>SUM(BL2:BL47)</f>
        <v>4977.4277936962935</v>
      </c>
      <c r="BM52" s="25">
        <f>SUM(BM2:BM47)</f>
        <v>5083.5650229242738</v>
      </c>
      <c r="BN52" s="25">
        <f>SUM(BN2:BN47)</f>
        <v>5190.0118190708363</v>
      </c>
      <c r="BO52" s="25">
        <f>SUM(BO2:BO47)</f>
        <v>5296.7690850394929</v>
      </c>
      <c r="BP52" s="25">
        <f>SUM(BP2:BP47)</f>
        <v>5403.8377263672246</v>
      </c>
      <c r="BQ52" s="25">
        <f>SUM(BQ2:BQ47)</f>
        <v>5511.2186512321632</v>
      </c>
      <c r="BR52" s="25">
        <f>SUM(BR2:BR47)</f>
        <v>5618.9127704612902</v>
      </c>
      <c r="BS52" s="25">
        <f>SUM(BS2:BS47)</f>
        <v>5726.9209975381691</v>
      </c>
      <c r="BT52" s="25">
        <f>SUM(BT2:BT47)</f>
        <v>5835.2442486106884</v>
      </c>
      <c r="BU52" s="25">
        <f>SUM(BU2:BU47)</f>
        <v>5943.8834424988363</v>
      </c>
      <c r="BV52" s="25">
        <f>SUM(BV2:BV47)</f>
        <v>6052.8395007024919</v>
      </c>
      <c r="BW52" s="25">
        <f>SUM(BW2:BW47)</f>
        <v>6162.1133474092403</v>
      </c>
      <c r="BX52" s="25">
        <f>SUM(BX2:BX47)</f>
        <v>6271.7059095022178</v>
      </c>
      <c r="BY52" s="25">
        <f>SUM(BY2:BY47)</f>
        <v>6381.6181165679654</v>
      </c>
      <c r="BZ52" s="25">
        <f>SUM(BZ2:BZ47)</f>
        <v>6491.8509009043228</v>
      </c>
      <c r="CA52" s="25">
        <f>SUM(CA2:CA47)</f>
        <v>6602.4051975283273</v>
      </c>
      <c r="CB52" s="25">
        <f>SUM(CB2:CB47)</f>
        <v>6713.2819441841511</v>
      </c>
      <c r="CC52" s="25">
        <f>SUM(CC2:CC47)</f>
        <v>6824.4820813510551</v>
      </c>
      <c r="CD52" s="25">
        <f>SUM(CD2:CD47)</f>
        <v>6936.0065522513623</v>
      </c>
      <c r="CE52" s="25">
        <f>SUM(CE2:CE47)</f>
        <v>7047.8563028584631</v>
      </c>
      <c r="CF52" s="25">
        <f>SUM(CF2:CF47)</f>
        <v>7160.0322819048333</v>
      </c>
      <c r="CG52" s="25">
        <f>SUM(CG2:CG47)</f>
        <v>7272.5354408900885</v>
      </c>
      <c r="CH52" s="25">
        <f>SUM(CH2:CH47)</f>
        <v>7385.3667340890515</v>
      </c>
      <c r="CI52" s="25">
        <f>SUM(CI2:CI47)</f>
        <v>7498.5271185598449</v>
      </c>
      <c r="CJ52" s="25">
        <f>SUM(CJ2:CJ47)</f>
        <v>7612.0175541520111</v>
      </c>
      <c r="CK52" s="25">
        <f>SUM(CK2:CK47)</f>
        <v>7725.8390035146549</v>
      </c>
      <c r="CL52" s="25">
        <f>SUM(CL2:CL47)</f>
        <v>7839.9924321046055</v>
      </c>
      <c r="CM52" s="25">
        <f>SUM(CM2:CM47)</f>
        <v>7954.4788081946108</v>
      </c>
      <c r="CN52" s="25">
        <f>SUM(CN2:CN47)</f>
        <v>8069.299102881545</v>
      </c>
      <c r="CO52" s="25">
        <f>SUM(CO2:CO47)</f>
        <v>8184.4542900946499</v>
      </c>
      <c r="CP52" s="25">
        <f>SUM(CP2:CP47)</f>
        <v>8299.9453466037921</v>
      </c>
      <c r="CQ52" s="25">
        <f>SUM(CQ2:CQ47)</f>
        <v>8415.7732520277532</v>
      </c>
      <c r="CR52" s="25">
        <f>SUM(CR2:CR47)</f>
        <v>8531.9389888425358</v>
      </c>
      <c r="CS52" s="25">
        <f>SUM(CS2:CS47)</f>
        <v>8648.4435423896921</v>
      </c>
      <c r="CT52" s="25">
        <f>SUM(CT2:CT47)</f>
        <v>8765.2879008846958</v>
      </c>
      <c r="CU52" s="25">
        <f>SUM(CU2:CU47)</f>
        <v>2839782.6694495324</v>
      </c>
    </row>
    <row r="53" spans="1:99" x14ac:dyDescent="0.25">
      <c r="A53" s="11" t="s">
        <v>184</v>
      </c>
      <c r="B53" s="11" t="s">
        <v>188</v>
      </c>
      <c r="C53" s="11" t="s">
        <v>190</v>
      </c>
      <c r="F53" s="43"/>
      <c r="G53" s="46">
        <f>SUM(H52:CU52)</f>
        <v>601109.86671568686</v>
      </c>
      <c r="H53" s="28">
        <f>SUM(H52:R52)</f>
        <v>-234097.16727388796</v>
      </c>
      <c r="I53" s="28"/>
      <c r="J53" s="28"/>
      <c r="K53" s="28"/>
      <c r="L53" s="28"/>
      <c r="M53" s="28"/>
      <c r="N53" s="28"/>
      <c r="O53" s="28"/>
      <c r="P53" s="28"/>
      <c r="Q53" s="28"/>
      <c r="R53" s="29"/>
      <c r="S53" s="27">
        <f>SUM(S52:AD52)</f>
        <v>-600835.76516843005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9"/>
      <c r="AE53" s="27">
        <f>SUM(AE52:AP52)</f>
        <v>-1723722.8241428954</v>
      </c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27">
        <f>SUM(AQ52:BB52)</f>
        <v>40475.760844849763</v>
      </c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9"/>
      <c r="BC53" s="27">
        <f>SUM(BC52:BN52)</f>
        <v>55322.314434377658</v>
      </c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9"/>
      <c r="BO53" s="27">
        <f>SUM(BO52:BZ52)</f>
        <v>70696.914696834108</v>
      </c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9"/>
      <c r="CA53" s="27">
        <f>SUM(CA52:CL52)</f>
        <v>86618.34264338846</v>
      </c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9"/>
      <c r="CM53" s="27">
        <f>SUM(CM52:CU52)</f>
        <v>2906652.2906814516</v>
      </c>
      <c r="CN53" s="28"/>
      <c r="CO53" s="28"/>
      <c r="CP53" s="28"/>
      <c r="CQ53" s="28"/>
      <c r="CR53" s="28"/>
      <c r="CS53" s="28"/>
      <c r="CT53" s="28"/>
      <c r="CU53" s="29"/>
    </row>
    <row r="54" spans="1:99" x14ac:dyDescent="0.25">
      <c r="A54" s="11" t="s">
        <v>184</v>
      </c>
      <c r="B54" s="11" t="s">
        <v>191</v>
      </c>
      <c r="C54" s="11" t="s">
        <v>192</v>
      </c>
      <c r="F54" s="43"/>
      <c r="G54" s="45">
        <v>0.06</v>
      </c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spans="1:99" x14ac:dyDescent="0.25">
      <c r="A55" s="11" t="s">
        <v>184</v>
      </c>
      <c r="B55" s="11" t="s">
        <v>191</v>
      </c>
      <c r="C55" s="11" t="s">
        <v>91</v>
      </c>
      <c r="F55" s="43"/>
      <c r="G55" s="45">
        <f xml:space="preserve"> (1+G54)^(1/12)-1</f>
        <v>4.8675505653430484E-3</v>
      </c>
      <c r="H55" s="39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spans="1:99" x14ac:dyDescent="0.25">
      <c r="A56" s="11" t="s">
        <v>184</v>
      </c>
      <c r="B56" s="11" t="s">
        <v>191</v>
      </c>
      <c r="C56" s="11" t="s">
        <v>92</v>
      </c>
      <c r="F56" s="43"/>
      <c r="G56" s="45">
        <v>5.0000000000000001E-4</v>
      </c>
      <c r="H56" s="39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spans="1:99" x14ac:dyDescent="0.25">
      <c r="A57" s="11" t="s">
        <v>184</v>
      </c>
      <c r="B57" s="11" t="s">
        <v>193</v>
      </c>
      <c r="C57" s="11" t="s">
        <v>93</v>
      </c>
      <c r="F57" s="43"/>
      <c r="G57" s="45">
        <f>NPV(G55,Q52:CU52)+SUM(H52:P52)</f>
        <v>-263075.92961526441</v>
      </c>
      <c r="H57" s="4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</row>
    <row r="58" spans="1:99" x14ac:dyDescent="0.25">
      <c r="A58" s="11" t="s">
        <v>184</v>
      </c>
      <c r="B58" s="11" t="s">
        <v>193</v>
      </c>
      <c r="C58" s="11" t="s">
        <v>94</v>
      </c>
      <c r="F58" s="43"/>
      <c r="G58" s="45">
        <f>CU58</f>
        <v>2.802774711905931E-3</v>
      </c>
      <c r="H58" s="40"/>
      <c r="I58" s="25">
        <f>MIRR(H52:I52,G56,G55)</f>
        <v>-0.99999985674408887</v>
      </c>
      <c r="J58" s="25">
        <f>MIRR($H$52:J52,$G$56,$G$55)</f>
        <v>-0.99946472885376048</v>
      </c>
      <c r="K58" s="25">
        <f>MIRR($H$52:K52,$G$56,$G$55)</f>
        <v>-0.995089165990656</v>
      </c>
      <c r="L58" s="25">
        <f>MIRR($H$52:L52,$G$56,$G$55)</f>
        <v>-0.97946988466495488</v>
      </c>
      <c r="M58" s="25">
        <f>MIRR($H$52:M52,$G$56,$G$55)</f>
        <v>-0.96787588376659794</v>
      </c>
      <c r="N58" s="25">
        <f>MIRR($H$52:N52,$G$56,$G$55)</f>
        <v>-0.9430114078014592</v>
      </c>
      <c r="O58" s="25">
        <f>MIRR($H$52:O52,$G$56,$G$55)</f>
        <v>-0.91060596882498623</v>
      </c>
      <c r="P58" s="25">
        <f>MIRR($H$52:P52,$G$56,$G$55)</f>
        <v>-0.8909379553422232</v>
      </c>
      <c r="Q58" s="25">
        <f>MIRR($H$52:Q52,$G$56,$G$55)</f>
        <v>-0.86223739976983427</v>
      </c>
      <c r="R58" s="25">
        <f>MIRR($H$52:R52,$G$56,$G$55)</f>
        <v>-0.83218122455217125</v>
      </c>
      <c r="S58" s="25">
        <f>MIRR($H$52:S52,$G$56,$G$55)</f>
        <v>-0.79861923563911985</v>
      </c>
      <c r="T58" s="25">
        <f>MIRR($H$52:T52,$G$56,$G$55)</f>
        <v>-0.77663382714272</v>
      </c>
      <c r="U58" s="25">
        <f>MIRR($H$52:U52,$G$56,$G$55)</f>
        <v>-0.74582837167598881</v>
      </c>
      <c r="V58" s="25">
        <f>MIRR($H$52:V52,$G$56,$G$55)</f>
        <v>-0.71661060224634876</v>
      </c>
      <c r="W58" s="25">
        <f>MIRR($H$52:W52,$G$56,$G$55)</f>
        <v>-0.69281840035108511</v>
      </c>
      <c r="X58" s="25">
        <f>MIRR($H$52:X52,$G$56,$G$55)</f>
        <v>-0.67093076428839993</v>
      </c>
      <c r="Y58" s="25">
        <f>MIRR($H$52:Y52,$G$56,$G$55)</f>
        <v>-0.65100068341228035</v>
      </c>
      <c r="Z58" s="25">
        <f>MIRR($H$52:Z52,$G$56,$G$55)</f>
        <v>-0.63187639793692985</v>
      </c>
      <c r="AA58" s="25">
        <f>MIRR($H$52:AA52,$G$56,$G$55)</f>
        <v>-0.61427803373664136</v>
      </c>
      <c r="AB58" s="25">
        <f>MIRR($H$52:AB52,$G$56,$G$55)</f>
        <v>-0.59868307388671704</v>
      </c>
      <c r="AC58" s="25">
        <f>MIRR($H$52:AC52,$G$56,$G$55)</f>
        <v>-0.58343998706187028</v>
      </c>
      <c r="AD58" s="25">
        <f>MIRR($H$52:AD52,$G$56,$G$55)</f>
        <v>-0.56902818798425792</v>
      </c>
      <c r="AE58" s="25">
        <f>MIRR($H$52:AE52,$G$56,$G$55)</f>
        <v>-0.55736150531828632</v>
      </c>
      <c r="AF58" s="25">
        <f>MIRR($H$52:AF52,$G$56,$G$55)</f>
        <v>-0.54625975761963053</v>
      </c>
      <c r="AG58" s="25">
        <f>MIRR($H$52:AG52,$G$56,$G$55)</f>
        <v>-0.53498773902875651</v>
      </c>
      <c r="AH58" s="25">
        <f>MIRR($H$52:AH52,$G$56,$G$55)</f>
        <v>-0.52476708000502836</v>
      </c>
      <c r="AI58" s="25">
        <f>MIRR($H$52:AI52,$G$56,$G$55)</f>
        <v>-0.51486906214561401</v>
      </c>
      <c r="AJ58" s="25">
        <f>MIRR($H$52:AJ52,$G$56,$G$55)</f>
        <v>-0.50554203429493971</v>
      </c>
      <c r="AK58" s="25">
        <f>MIRR($H$52:AK52,$G$56,$G$55)</f>
        <v>-0.49540905865899487</v>
      </c>
      <c r="AL58" s="25">
        <f>MIRR($H$52:AL52,$G$56,$G$55)</f>
        <v>-0.48513467002801747</v>
      </c>
      <c r="AM58" s="25">
        <f>MIRR($H$52:AM52,$G$56,$G$55)</f>
        <v>-0.4744129094352747</v>
      </c>
      <c r="AN58" s="25">
        <f>MIRR($H$52:AN52,$G$56,$G$55)</f>
        <v>-3.7101240600901031E-2</v>
      </c>
      <c r="AO58" s="25">
        <f>MIRR($H$52:AO52,$G$56,$G$55)</f>
        <v>-3.5784563799709068E-2</v>
      </c>
      <c r="AP58" s="25">
        <f>MIRR($H$52:AP52,$G$56,$G$55)</f>
        <v>-3.4541601185271054E-2</v>
      </c>
      <c r="AQ58" s="25">
        <f>MIRR($H$52:AQ52,$G$56,$G$55)</f>
        <v>-3.3366193217645002E-2</v>
      </c>
      <c r="AR58" s="25">
        <f>MIRR($H$52:AR52,$G$56,$G$55)</f>
        <v>-3.2252851378387404E-2</v>
      </c>
      <c r="AS58" s="25">
        <f>MIRR($H$52:AS52,$G$56,$G$55)</f>
        <v>-3.1196669224671236E-2</v>
      </c>
      <c r="AT58" s="25">
        <f>MIRR($H$52:AT52,$G$56,$G$55)</f>
        <v>-3.0193247221819708E-2</v>
      </c>
      <c r="AU58" s="25">
        <f>MIRR($H$52:AU52,$G$56,$G$55)</f>
        <v>-2.9238628927179766E-2</v>
      </c>
      <c r="AV58" s="25">
        <f>MIRR($H$52:AV52,$G$56,$G$55)</f>
        <v>-2.8329246574822942E-2</v>
      </c>
      <c r="AW58" s="25">
        <f>MIRR($H$52:AW52,$G$56,$G$55)</f>
        <v>-2.746187448437587E-2</v>
      </c>
      <c r="AX58" s="25">
        <f>MIRR($H$52:AX52,$G$56,$G$55)</f>
        <v>-2.6633589012405312E-2</v>
      </c>
      <c r="AY58" s="25">
        <f>MIRR($H$52:AY52,$G$56,$G$55)</f>
        <v>-2.5841733999180327E-2</v>
      </c>
      <c r="AZ58" s="25">
        <f>MIRR($H$52:AZ52,$G$56,$G$55)</f>
        <v>-2.5083890850884694E-2</v>
      </c>
      <c r="BA58" s="25">
        <f>MIRR($H$52:BA52,$G$56,$G$55)</f>
        <v>-2.4357852547765346E-2</v>
      </c>
      <c r="BB58" s="25">
        <f>MIRR($H$52:BB52,$G$56,$G$55)</f>
        <v>-2.36616009901498E-2</v>
      </c>
      <c r="BC58" s="25">
        <f>MIRR($H$52:BC52,$G$56,$G$55)</f>
        <v>-2.2993287192818457E-2</v>
      </c>
      <c r="BD58" s="25">
        <f>MIRR($H$52:BD52,$G$56,$G$55)</f>
        <v>-2.2351213918572865E-2</v>
      </c>
      <c r="BE58" s="25">
        <f>MIRR($H$52:BE52,$G$56,$G$55)</f>
        <v>-2.1733820407657811E-2</v>
      </c>
      <c r="BF58" s="25">
        <f>MIRR($H$52:BF52,$G$56,$G$55)</f>
        <v>-2.1139668913831899E-2</v>
      </c>
      <c r="BG58" s="25">
        <f>MIRR($H$52:BG52,$G$56,$G$55)</f>
        <v>-2.0567432802608088E-2</v>
      </c>
      <c r="BH58" s="25">
        <f>MIRR($H$52:BH52,$G$56,$G$55)</f>
        <v>-2.0015886004272287E-2</v>
      </c>
      <c r="BI58" s="25">
        <f>MIRR($H$52:BI52,$G$56,$G$55)</f>
        <v>-1.9483893645167116E-2</v>
      </c>
      <c r="BJ58" s="25">
        <f>MIRR($H$52:BJ52,$G$56,$G$55)</f>
        <v>-1.897040370653047E-2</v>
      </c>
      <c r="BK58" s="25">
        <f>MIRR($H$52:BK52,$G$56,$G$55)</f>
        <v>-1.8474439581807611E-2</v>
      </c>
      <c r="BL58" s="25">
        <f>MIRR($H$52:BL52,$G$56,$G$55)</f>
        <v>-1.7995093421565911E-2</v>
      </c>
      <c r="BM58" s="25">
        <f>MIRR($H$52:BM52,$G$56,$G$55)</f>
        <v>-1.7531520170496528E-2</v>
      </c>
      <c r="BN58" s="25">
        <f>MIRR($H$52:BN52,$G$56,$G$55)</f>
        <v>-1.7082932214006252E-2</v>
      </c>
      <c r="BO58" s="25">
        <f>MIRR($H$52:BO52,$G$56,$G$55)</f>
        <v>-1.664859456294665E-2</v>
      </c>
      <c r="BP58" s="25">
        <f>MIRR($H$52:BP52,$G$56,$G$55)</f>
        <v>-1.6227820514443603E-2</v>
      </c>
      <c r="BQ58" s="25">
        <f>MIRR($H$52:BQ52,$G$56,$G$55)</f>
        <v>-1.5819967734827634E-2</v>
      </c>
      <c r="BR58" s="25">
        <f>MIRR($H$52:BR52,$G$56,$G$55)</f>
        <v>-1.5424434717554947E-2</v>
      </c>
      <c r="BS58" s="25">
        <f>MIRR($H$52:BS52,$G$56,$G$55)</f>
        <v>-1.5040657574921346E-2</v>
      </c>
      <c r="BT58" s="25">
        <f>MIRR($H$52:BT52,$G$56,$G$55)</f>
        <v>-1.4668107127461916E-2</v>
      </c>
      <c r="BU58" s="25">
        <f>MIRR($H$52:BU52,$G$56,$G$55)</f>
        <v>-1.4306286259327949E-2</v>
      </c>
      <c r="BV58" s="25">
        <f>MIRR($H$52:BV52,$G$56,$G$55)</f>
        <v>-1.3954727511729437E-2</v>
      </c>
      <c r="BW58" s="25">
        <f>MIRR($H$52:BW52,$G$56,$G$55)</f>
        <v>-1.3612990889831922E-2</v>
      </c>
      <c r="BX58" s="25">
        <f>MIRR($H$52:BX52,$G$56,$G$55)</f>
        <v>-1.3280661861359677E-2</v>
      </c>
      <c r="BY58" s="25">
        <f>MIRR($H$52:BY52,$G$56,$G$55)</f>
        <v>-1.2957349527652706E-2</v>
      </c>
      <c r="BZ58" s="25">
        <f>MIRR($H$52:BZ52,$G$56,$G$55)</f>
        <v>-1.26426849501029E-2</v>
      </c>
      <c r="CA58" s="25">
        <f>MIRR($H$52:CA52,$G$56,$G$55)</f>
        <v>-1.2336319616799818E-2</v>
      </c>
      <c r="CB58" s="25">
        <f>MIRR($H$52:CB52,$G$56,$G$55)</f>
        <v>-1.2037924035882441E-2</v>
      </c>
      <c r="CC58" s="25">
        <f>MIRR($H$52:CC52,$G$56,$G$55)</f>
        <v>-1.1747186443562985E-2</v>
      </c>
      <c r="CD58" s="25">
        <f>MIRR($H$52:CD52,$G$56,$G$55)</f>
        <v>-1.146381161607346E-2</v>
      </c>
      <c r="CE58" s="25">
        <f>MIRR($H$52:CE52,$G$56,$G$55)</f>
        <v>-1.1187519775923138E-2</v>
      </c>
      <c r="CF58" s="25">
        <f>MIRR($H$52:CF52,$G$56,$G$55)</f>
        <v>-1.0918045583856117E-2</v>
      </c>
      <c r="CG58" s="25">
        <f>MIRR($H$52:CG52,$G$56,$G$55)</f>
        <v>-1.0655137208786525E-2</v>
      </c>
      <c r="CH58" s="25">
        <f>MIRR($H$52:CH52,$G$56,$G$55)</f>
        <v>-1.0398555468770998E-2</v>
      </c>
      <c r="CI58" s="25">
        <f>MIRR($H$52:CI52,$G$56,$G$55)</f>
        <v>-1.0148073036777672E-2</v>
      </c>
      <c r="CJ58" s="25">
        <f>MIRR($H$52:CJ52,$G$56,$G$55)</f>
        <v>-9.9034737056251654E-3</v>
      </c>
      <c r="CK58" s="25">
        <f>MIRR($H$52:CK52,$G$56,$G$55)</f>
        <v>-9.6645517070216291E-3</v>
      </c>
      <c r="CL58" s="25">
        <f>MIRR($H$52:CL52,$G$56,$G$55)</f>
        <v>-9.4311110801182929E-3</v>
      </c>
      <c r="CM58" s="25">
        <f>MIRR($H$52:CM52,$G$56,$G$55)</f>
        <v>-9.2029650854347222E-3</v>
      </c>
      <c r="CN58" s="25">
        <f>MIRR($H$52:CN52,$G$56,$G$55)</f>
        <v>-8.9799356604013392E-3</v>
      </c>
      <c r="CO58" s="25">
        <f>MIRR($H$52:CO52,$G$56,$G$55)</f>
        <v>-8.761852913117818E-3</v>
      </c>
      <c r="CP58" s="25">
        <f>MIRR($H$52:CP52,$G$56,$G$55)</f>
        <v>-8.5485546512368282E-3</v>
      </c>
      <c r="CQ58" s="25">
        <f>MIRR($H$52:CQ52,$G$56,$G$55)</f>
        <v>-8.3398859431661476E-3</v>
      </c>
      <c r="CR58" s="25">
        <f>MIRR($H$52:CR52,$G$56,$G$55)</f>
        <v>-8.1356987090374089E-3</v>
      </c>
      <c r="CS58" s="25">
        <f>MIRR($H$52:CS52,$G$56,$G$55)</f>
        <v>-7.9358513391113439E-3</v>
      </c>
      <c r="CT58" s="25">
        <f>MIRR($H$52:CT52,$G$56,$G$55)</f>
        <v>-7.7402083375026631E-3</v>
      </c>
      <c r="CU58" s="25">
        <f>MIRR($H$52:CU52,$G$56,$G$55)</f>
        <v>2.802774711905931E-3</v>
      </c>
    </row>
    <row r="59" spans="1:99" x14ac:dyDescent="0.25">
      <c r="F59" s="44"/>
      <c r="G59" s="45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67" priority="10" stopIfTrue="1" operator="equal">
      <formula>#REF!</formula>
    </cfRule>
  </conditionalFormatting>
  <conditionalFormatting sqref="Y19:AF19 Y22:AF22 AH19:AI19 AH22:AI22 AK19:AL19 AK22:AL22 AN22:AO22 H33:V39 W33:CU36 W38:BC38 W39:CU39 N24:R24 H23:M24 N23:CU23 H16:W16 Y16:CU16 H6:W12 Y7:AM7 X8:AM8 X6:AM6 Z9:AM9 AN6:CU9 X9:Y12 Z10:CU12 H2:CU5 H13:CU15 H17:H22 K17:CU17 K22:R22 K18:K21 Z18:AM18 Z21:AM21 H25:CU32 X20:AK20 AQ22:AS22 AZ18:CU22 H40:CU46">
    <cfRule type="cellIs" dxfId="66" priority="12" stopIfTrue="1" operator="equal">
      <formula>#REF!</formula>
    </cfRule>
  </conditionalFormatting>
  <conditionalFormatting sqref="X7 X16 X19 S22:X22 W37:CU37 S24:CU24">
    <cfRule type="cellIs" dxfId="65" priority="11" stopIfTrue="1" operator="equal">
      <formula>#REF!</formula>
    </cfRule>
  </conditionalFormatting>
  <conditionalFormatting sqref="H47:CU47">
    <cfRule type="cellIs" dxfId="64" priority="9" stopIfTrue="1" operator="equal">
      <formula>#REF!</formula>
    </cfRule>
  </conditionalFormatting>
  <conditionalFormatting sqref="I17:J22">
    <cfRule type="cellIs" dxfId="63" priority="8" stopIfTrue="1" operator="equal">
      <formula>#REF!</formula>
    </cfRule>
  </conditionalFormatting>
  <conditionalFormatting sqref="L18:Q21">
    <cfRule type="cellIs" dxfId="62" priority="7" stopIfTrue="1" operator="equal">
      <formula>#REF!</formula>
    </cfRule>
  </conditionalFormatting>
  <conditionalFormatting sqref="R18:W21">
    <cfRule type="cellIs" dxfId="61" priority="6" stopIfTrue="1" operator="equal">
      <formula>#REF!</formula>
    </cfRule>
  </conditionalFormatting>
  <conditionalFormatting sqref="X18:Y18">
    <cfRule type="cellIs" dxfId="60" priority="5" stopIfTrue="1" operator="equal">
      <formula>#REF!</formula>
    </cfRule>
  </conditionalFormatting>
  <conditionalFormatting sqref="X21:Y21">
    <cfRule type="cellIs" dxfId="59" priority="4" stopIfTrue="1" operator="equal">
      <formula>#REF!</formula>
    </cfRule>
  </conditionalFormatting>
  <conditionalFormatting sqref="AL20:AM20">
    <cfRule type="cellIs" dxfId="58" priority="3" stopIfTrue="1" operator="equal">
      <formula>#REF!</formula>
    </cfRule>
  </conditionalFormatting>
  <conditionalFormatting sqref="AN18:AS21">
    <cfRule type="cellIs" dxfId="57" priority="2" stopIfTrue="1" operator="equal">
      <formula>#REF!</formula>
    </cfRule>
  </conditionalFormatting>
  <conditionalFormatting sqref="AT18:AY22">
    <cfRule type="cellIs" dxfId="56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C175-D85F-4DAF-BA1B-114CB66CAC32}">
  <sheetPr codeName="Hoja2"/>
  <dimension ref="A1:CU59"/>
  <sheetViews>
    <sheetView zoomScale="85" zoomScaleNormal="85" workbookViewId="0">
      <pane xSplit="7" ySplit="1" topLeftCell="H2" activePane="bottomRight" state="frozen"/>
      <selection pane="topRight" activeCell="J1" sqref="J1"/>
      <selection pane="bottomLeft" activeCell="A9" sqref="A9"/>
      <selection pane="bottomRight" activeCell="D1" sqref="D1:F1"/>
    </sheetView>
  </sheetViews>
  <sheetFormatPr baseColWidth="10" defaultColWidth="10.7109375" defaultRowHeight="15" x14ac:dyDescent="0.25"/>
  <cols>
    <col min="1" max="2" width="10.7109375" style="11"/>
    <col min="3" max="3" width="57.85546875" style="11" bestFit="1" customWidth="1"/>
    <col min="4" max="4" width="12.28515625" style="37" bestFit="1" customWidth="1"/>
    <col min="5" max="5" width="14" style="11" customWidth="1"/>
    <col min="6" max="6" width="18" style="11" customWidth="1"/>
    <col min="7" max="7" width="18.28515625" style="34" bestFit="1" customWidth="1"/>
    <col min="8" max="10" width="10.7109375" style="34"/>
    <col min="11" max="11" width="11.42578125" style="34" bestFit="1" customWidth="1"/>
    <col min="12" max="15" width="10.7109375" style="34"/>
    <col min="16" max="16" width="11.42578125" style="34" bestFit="1" customWidth="1"/>
    <col min="17" max="17" width="10.7109375" style="34"/>
    <col min="18" max="18" width="11.42578125" style="34" bestFit="1" customWidth="1"/>
    <col min="19" max="19" width="10.7109375" style="34"/>
    <col min="20" max="20" width="11.42578125" style="34" bestFit="1" customWidth="1"/>
    <col min="21" max="27" width="10.7109375" style="34"/>
    <col min="28" max="39" width="11.42578125" style="34" bestFit="1" customWidth="1"/>
    <col min="40" max="40" width="12.28515625" style="34" bestFit="1" customWidth="1"/>
    <col min="41" max="55" width="10.7109375" style="34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10" t="s">
        <v>159</v>
      </c>
      <c r="B1" s="10" t="s">
        <v>160</v>
      </c>
      <c r="C1" s="10" t="s">
        <v>161</v>
      </c>
      <c r="D1" s="12" t="s">
        <v>187</v>
      </c>
      <c r="E1" s="13" t="s">
        <v>194</v>
      </c>
      <c r="F1" s="13" t="s">
        <v>195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4" t="s">
        <v>62</v>
      </c>
      <c r="AC1" s="14" t="s">
        <v>63</v>
      </c>
      <c r="AD1" s="14" t="s">
        <v>64</v>
      </c>
      <c r="AE1" s="14" t="s">
        <v>65</v>
      </c>
      <c r="AF1" s="14" t="s">
        <v>66</v>
      </c>
      <c r="AG1" s="14" t="s">
        <v>67</v>
      </c>
      <c r="AH1" s="14" t="s">
        <v>68</v>
      </c>
      <c r="AI1" s="14" t="s">
        <v>69</v>
      </c>
      <c r="AJ1" s="14" t="s">
        <v>70</v>
      </c>
      <c r="AK1" s="14" t="s">
        <v>71</v>
      </c>
      <c r="AL1" s="14" t="s">
        <v>72</v>
      </c>
      <c r="AM1" s="14" t="s">
        <v>73</v>
      </c>
      <c r="AN1" s="14" t="s">
        <v>74</v>
      </c>
      <c r="AO1" s="14" t="s">
        <v>75</v>
      </c>
      <c r="AP1" s="14" t="s">
        <v>76</v>
      </c>
      <c r="AQ1" s="14" t="s">
        <v>77</v>
      </c>
      <c r="AR1" s="14" t="s">
        <v>78</v>
      </c>
      <c r="AS1" s="14" t="s">
        <v>79</v>
      </c>
      <c r="AT1" s="14" t="s">
        <v>80</v>
      </c>
      <c r="AU1" s="14" t="s">
        <v>81</v>
      </c>
      <c r="AV1" s="14" t="s">
        <v>82</v>
      </c>
      <c r="AW1" s="14" t="s">
        <v>83</v>
      </c>
      <c r="AX1" s="14" t="s">
        <v>84</v>
      </c>
      <c r="AY1" s="14" t="s">
        <v>85</v>
      </c>
      <c r="AZ1" s="14" t="s">
        <v>86</v>
      </c>
      <c r="BA1" s="14" t="s">
        <v>87</v>
      </c>
      <c r="BB1" s="14" t="s">
        <v>88</v>
      </c>
      <c r="BC1" s="14" t="s">
        <v>89</v>
      </c>
      <c r="BD1" s="14" t="s">
        <v>97</v>
      </c>
      <c r="BE1" s="14" t="s">
        <v>98</v>
      </c>
      <c r="BF1" s="14" t="s">
        <v>99</v>
      </c>
      <c r="BG1" s="14" t="s">
        <v>100</v>
      </c>
      <c r="BH1" s="14" t="s">
        <v>101</v>
      </c>
      <c r="BI1" s="14" t="s">
        <v>102</v>
      </c>
      <c r="BJ1" s="14" t="s">
        <v>103</v>
      </c>
      <c r="BK1" s="14" t="s">
        <v>104</v>
      </c>
      <c r="BL1" s="14" t="s">
        <v>105</v>
      </c>
      <c r="BM1" s="14" t="s">
        <v>106</v>
      </c>
      <c r="BN1" s="14" t="s">
        <v>107</v>
      </c>
      <c r="BO1" s="14" t="s">
        <v>108</v>
      </c>
      <c r="BP1" s="14" t="s">
        <v>109</v>
      </c>
      <c r="BQ1" s="14" t="s">
        <v>110</v>
      </c>
      <c r="BR1" s="14" t="s">
        <v>111</v>
      </c>
      <c r="BS1" s="14" t="s">
        <v>112</v>
      </c>
      <c r="BT1" s="14" t="s">
        <v>113</v>
      </c>
      <c r="BU1" s="14" t="s">
        <v>114</v>
      </c>
      <c r="BV1" s="14" t="s">
        <v>115</v>
      </c>
      <c r="BW1" s="14" t="s">
        <v>116</v>
      </c>
      <c r="BX1" s="14" t="s">
        <v>117</v>
      </c>
      <c r="BY1" s="14" t="s">
        <v>118</v>
      </c>
      <c r="BZ1" s="14" t="s">
        <v>119</v>
      </c>
      <c r="CA1" s="14" t="s">
        <v>120</v>
      </c>
      <c r="CB1" s="14" t="s">
        <v>121</v>
      </c>
      <c r="CC1" s="14" t="s">
        <v>122</v>
      </c>
      <c r="CD1" s="14" t="s">
        <v>123</v>
      </c>
      <c r="CE1" s="14" t="s">
        <v>124</v>
      </c>
      <c r="CF1" s="14" t="s">
        <v>125</v>
      </c>
      <c r="CG1" s="14" t="s">
        <v>126</v>
      </c>
      <c r="CH1" s="14" t="s">
        <v>127</v>
      </c>
      <c r="CI1" s="14" t="s">
        <v>128</v>
      </c>
      <c r="CJ1" s="14" t="s">
        <v>129</v>
      </c>
      <c r="CK1" s="14" t="s">
        <v>130</v>
      </c>
      <c r="CL1" s="14" t="s">
        <v>131</v>
      </c>
      <c r="CM1" s="14" t="s">
        <v>132</v>
      </c>
      <c r="CN1" s="14" t="s">
        <v>133</v>
      </c>
      <c r="CO1" s="14" t="s">
        <v>134</v>
      </c>
      <c r="CP1" s="14" t="s">
        <v>135</v>
      </c>
      <c r="CQ1" s="14" t="s">
        <v>136</v>
      </c>
      <c r="CR1" s="14" t="s">
        <v>137</v>
      </c>
      <c r="CS1" s="14" t="s">
        <v>138</v>
      </c>
      <c r="CT1" s="14" t="s">
        <v>139</v>
      </c>
      <c r="CU1" s="14" t="s">
        <v>140</v>
      </c>
    </row>
    <row r="2" spans="1:99" x14ac:dyDescent="0.25">
      <c r="A2" s="11" t="s">
        <v>4</v>
      </c>
      <c r="B2" s="11" t="s">
        <v>162</v>
      </c>
      <c r="C2" s="11" t="s">
        <v>31</v>
      </c>
      <c r="D2" s="35">
        <v>1</v>
      </c>
      <c r="E2" s="15">
        <v>5800</v>
      </c>
      <c r="F2" s="16">
        <f>D2*E2</f>
        <v>5800</v>
      </c>
      <c r="G2" s="17">
        <v>-5800</v>
      </c>
      <c r="H2" s="18">
        <v>0</v>
      </c>
      <c r="I2" s="18">
        <f>G2</f>
        <v>-5800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0</v>
      </c>
      <c r="BU2" s="18">
        <v>0</v>
      </c>
      <c r="BV2" s="18">
        <v>0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8">
        <v>0</v>
      </c>
      <c r="CC2" s="18">
        <v>0</v>
      </c>
      <c r="CD2" s="18">
        <v>0</v>
      </c>
      <c r="CE2" s="18">
        <v>0</v>
      </c>
      <c r="CF2" s="18">
        <v>0</v>
      </c>
      <c r="CG2" s="18">
        <v>0</v>
      </c>
      <c r="CH2" s="18">
        <v>0</v>
      </c>
      <c r="CI2" s="18">
        <v>0</v>
      </c>
      <c r="CJ2" s="18">
        <v>0</v>
      </c>
      <c r="CK2" s="18">
        <v>0</v>
      </c>
      <c r="CL2" s="18">
        <v>0</v>
      </c>
      <c r="CM2" s="18">
        <v>0</v>
      </c>
      <c r="CN2" s="18">
        <v>0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</row>
    <row r="3" spans="1:99" x14ac:dyDescent="0.25">
      <c r="A3" s="11" t="s">
        <v>4</v>
      </c>
      <c r="B3" s="11" t="s">
        <v>162</v>
      </c>
      <c r="C3" s="11" t="s">
        <v>18</v>
      </c>
      <c r="D3" s="36">
        <v>1</v>
      </c>
      <c r="E3" s="16">
        <v>1200</v>
      </c>
      <c r="F3" s="16">
        <f>D3*E3</f>
        <v>1200</v>
      </c>
      <c r="G3" s="19">
        <v>-1200</v>
      </c>
      <c r="H3" s="20">
        <v>0</v>
      </c>
      <c r="I3" s="20">
        <v>0</v>
      </c>
      <c r="J3" s="20">
        <v>0</v>
      </c>
      <c r="K3" s="20">
        <f>G3</f>
        <v>-1200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0</v>
      </c>
      <c r="CL3" s="20">
        <v>0</v>
      </c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</row>
    <row r="4" spans="1:99" x14ac:dyDescent="0.25">
      <c r="A4" s="11" t="s">
        <v>4</v>
      </c>
      <c r="B4" s="11" t="s">
        <v>162</v>
      </c>
      <c r="C4" s="11" t="s">
        <v>19</v>
      </c>
      <c r="D4" s="36">
        <v>1</v>
      </c>
      <c r="E4" s="16">
        <v>4500</v>
      </c>
      <c r="F4" s="16">
        <f>E4*D4</f>
        <v>4500</v>
      </c>
      <c r="G4" s="19">
        <v>-4500</v>
      </c>
      <c r="H4" s="20">
        <v>0</v>
      </c>
      <c r="I4" s="20">
        <v>0</v>
      </c>
      <c r="J4" s="20">
        <v>0</v>
      </c>
      <c r="K4" s="20">
        <f>G4</f>
        <v>-4500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</row>
    <row r="5" spans="1:99" x14ac:dyDescent="0.25">
      <c r="A5" s="11" t="s">
        <v>4</v>
      </c>
      <c r="B5" s="11" t="s">
        <v>162</v>
      </c>
      <c r="C5" s="11" t="s">
        <v>9</v>
      </c>
      <c r="D5" s="36">
        <v>0.21</v>
      </c>
      <c r="E5" s="16">
        <f>F3+F4+F2</f>
        <v>11500</v>
      </c>
      <c r="F5" s="16">
        <f>D5*E5</f>
        <v>2415</v>
      </c>
      <c r="G5" s="19">
        <f>(G2+G3+G4)*0.21</f>
        <v>-2415</v>
      </c>
      <c r="H5" s="20">
        <f>(H2+H3+H4)*0.21</f>
        <v>0</v>
      </c>
      <c r="I5" s="20">
        <f>(I2+I3+I4)*0.21</f>
        <v>-1218</v>
      </c>
      <c r="J5" s="20">
        <v>0</v>
      </c>
      <c r="K5" s="20">
        <f>(K2+K3+K4)*0.21</f>
        <v>-1197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</row>
    <row r="6" spans="1:99" x14ac:dyDescent="0.25">
      <c r="A6" s="11" t="s">
        <v>4</v>
      </c>
      <c r="B6" s="11" t="s">
        <v>163</v>
      </c>
      <c r="C6" s="11" t="s">
        <v>15</v>
      </c>
      <c r="D6" s="37">
        <v>5.6099999999999997E-2</v>
      </c>
      <c r="E6" s="11">
        <f>F16</f>
        <v>31646.16</v>
      </c>
      <c r="F6" s="11">
        <f>E6*D6</f>
        <v>1775.3495759999998</v>
      </c>
      <c r="G6" s="17">
        <f>-F6</f>
        <v>-1775.3495759999998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f>G6</f>
        <v>-1775.3495759999998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</row>
    <row r="7" spans="1:99" x14ac:dyDescent="0.25">
      <c r="A7" s="11" t="s">
        <v>4</v>
      </c>
      <c r="B7" s="11" t="s">
        <v>163</v>
      </c>
      <c r="C7" s="11" t="s">
        <v>16</v>
      </c>
      <c r="D7" s="37">
        <v>4.7699999999999999E-2</v>
      </c>
      <c r="E7" s="11">
        <f>F16</f>
        <v>31646.16</v>
      </c>
      <c r="F7" s="11">
        <f>E7*D7</f>
        <v>1509.5218319999999</v>
      </c>
      <c r="G7" s="19">
        <f>-F7</f>
        <v>-1509.5218319999999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f>G7*0.3</f>
        <v>-452.85654959999994</v>
      </c>
      <c r="Y7" s="20">
        <f>0.7*G7</f>
        <v>-1056.6652823999998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</row>
    <row r="8" spans="1:99" x14ac:dyDescent="0.25">
      <c r="A8" s="11" t="s">
        <v>4</v>
      </c>
      <c r="B8" s="11" t="s">
        <v>163</v>
      </c>
      <c r="C8" s="11" t="s">
        <v>164</v>
      </c>
      <c r="D8" s="37">
        <v>7.0000000000000001E-3</v>
      </c>
      <c r="E8" s="11">
        <f>F16</f>
        <v>31646.16</v>
      </c>
      <c r="F8" s="11">
        <f>D8*E8</f>
        <v>221.52312000000001</v>
      </c>
      <c r="G8" s="19">
        <f>-F8</f>
        <v>-221.52312000000001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f>G8*0.5</f>
        <v>-110.76156</v>
      </c>
      <c r="Y8" s="20">
        <f>G8*0.5</f>
        <v>-110.76156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</row>
    <row r="9" spans="1:99" x14ac:dyDescent="0.25">
      <c r="A9" s="11" t="s">
        <v>4</v>
      </c>
      <c r="B9" s="11" t="s">
        <v>163</v>
      </c>
      <c r="C9" s="11" t="s">
        <v>13</v>
      </c>
      <c r="D9" s="37">
        <v>5.6099999999999997E-2</v>
      </c>
      <c r="E9" s="11">
        <f>F18+F19</f>
        <v>2010591.004</v>
      </c>
      <c r="F9" s="11">
        <f>D9*E9</f>
        <v>112794.1553244</v>
      </c>
      <c r="G9" s="19">
        <f>-F9</f>
        <v>-112794.1553244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f>G9*0.4</f>
        <v>-45117.66212976</v>
      </c>
      <c r="N9" s="20">
        <v>0</v>
      </c>
      <c r="O9" s="20">
        <v>0</v>
      </c>
      <c r="P9" s="20">
        <f>G9*0.6</f>
        <v>-67676.493194639988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</row>
    <row r="10" spans="1:99" x14ac:dyDescent="0.25">
      <c r="A10" s="11" t="s">
        <v>4</v>
      </c>
      <c r="B10" s="11" t="s">
        <v>163</v>
      </c>
      <c r="C10" s="11" t="s">
        <v>14</v>
      </c>
      <c r="D10" s="37">
        <v>4.7699999999999999E-2</v>
      </c>
      <c r="E10" s="11">
        <f>F18+F19</f>
        <v>2010591.004</v>
      </c>
      <c r="F10" s="11">
        <f>D10*E10</f>
        <v>95905.19089079999</v>
      </c>
      <c r="G10" s="19">
        <f>-F10</f>
        <v>-95905.19089079999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f>$G10/14</f>
        <v>-6850.3707779142851</v>
      </c>
      <c r="AA10" s="20">
        <f t="shared" ref="AA10:AM10" si="0">$G10/14</f>
        <v>-6850.3707779142851</v>
      </c>
      <c r="AB10" s="20">
        <f t="shared" si="0"/>
        <v>-6850.3707779142851</v>
      </c>
      <c r="AC10" s="20">
        <f t="shared" si="0"/>
        <v>-6850.3707779142851</v>
      </c>
      <c r="AD10" s="20">
        <f t="shared" si="0"/>
        <v>-6850.3707779142851</v>
      </c>
      <c r="AE10" s="20">
        <f t="shared" si="0"/>
        <v>-6850.3707779142851</v>
      </c>
      <c r="AF10" s="20">
        <f t="shared" si="0"/>
        <v>-6850.3707779142851</v>
      </c>
      <c r="AG10" s="20">
        <f t="shared" si="0"/>
        <v>-6850.3707779142851</v>
      </c>
      <c r="AH10" s="20">
        <f t="shared" si="0"/>
        <v>-6850.3707779142851</v>
      </c>
      <c r="AI10" s="20">
        <f t="shared" si="0"/>
        <v>-6850.3707779142851</v>
      </c>
      <c r="AJ10" s="20">
        <f t="shared" si="0"/>
        <v>-6850.3707779142851</v>
      </c>
      <c r="AK10" s="20">
        <f t="shared" si="0"/>
        <v>-6850.3707779142851</v>
      </c>
      <c r="AL10" s="20">
        <f t="shared" si="0"/>
        <v>-6850.3707779142851</v>
      </c>
      <c r="AM10" s="20">
        <f t="shared" si="0"/>
        <v>-6850.3707779142851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</row>
    <row r="11" spans="1:99" x14ac:dyDescent="0.25">
      <c r="A11" s="11" t="s">
        <v>4</v>
      </c>
      <c r="B11" s="11" t="s">
        <v>163</v>
      </c>
      <c r="C11" s="11" t="s">
        <v>165</v>
      </c>
      <c r="D11" s="37">
        <v>7.0000000000000001E-3</v>
      </c>
      <c r="E11" s="11">
        <f>F18+F19</f>
        <v>2010591.004</v>
      </c>
      <c r="F11" s="11">
        <f>D11*E11</f>
        <v>14074.137027999999</v>
      </c>
      <c r="G11" s="19">
        <f>-F11</f>
        <v>-14074.137027999999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f>$G$11/14</f>
        <v>-1005.2955019999999</v>
      </c>
      <c r="AA11" s="20">
        <f t="shared" ref="AA11:AM11" si="1">$G$11/14</f>
        <v>-1005.2955019999999</v>
      </c>
      <c r="AB11" s="20">
        <f t="shared" si="1"/>
        <v>-1005.2955019999999</v>
      </c>
      <c r="AC11" s="20">
        <f t="shared" si="1"/>
        <v>-1005.2955019999999</v>
      </c>
      <c r="AD11" s="20">
        <f t="shared" si="1"/>
        <v>-1005.2955019999999</v>
      </c>
      <c r="AE11" s="20">
        <f t="shared" si="1"/>
        <v>-1005.2955019999999</v>
      </c>
      <c r="AF11" s="20">
        <f t="shared" si="1"/>
        <v>-1005.2955019999999</v>
      </c>
      <c r="AG11" s="20">
        <f t="shared" si="1"/>
        <v>-1005.2955019999999</v>
      </c>
      <c r="AH11" s="20">
        <f t="shared" si="1"/>
        <v>-1005.2955019999999</v>
      </c>
      <c r="AI11" s="20">
        <f t="shared" si="1"/>
        <v>-1005.2955019999999</v>
      </c>
      <c r="AJ11" s="20">
        <f t="shared" si="1"/>
        <v>-1005.2955019999999</v>
      </c>
      <c r="AK11" s="20">
        <f t="shared" si="1"/>
        <v>-1005.2955019999999</v>
      </c>
      <c r="AL11" s="20">
        <f t="shared" si="1"/>
        <v>-1005.2955019999999</v>
      </c>
      <c r="AM11" s="20">
        <f t="shared" si="1"/>
        <v>-1005.2955019999999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</row>
    <row r="12" spans="1:99" x14ac:dyDescent="0.25">
      <c r="A12" s="11" t="s">
        <v>4</v>
      </c>
      <c r="B12" s="11" t="s">
        <v>163</v>
      </c>
      <c r="C12" s="11" t="s">
        <v>141</v>
      </c>
      <c r="D12" s="37">
        <v>0.02</v>
      </c>
      <c r="E12" s="11">
        <f>F19+F18+F16</f>
        <v>2042237.1639999999</v>
      </c>
      <c r="F12" s="11">
        <f>D12*E12</f>
        <v>40844.743279999995</v>
      </c>
      <c r="G12" s="19">
        <f>-F12</f>
        <v>-40844.743279999995</v>
      </c>
      <c r="H12" s="20">
        <v>0</v>
      </c>
      <c r="I12" s="20">
        <v>0</v>
      </c>
      <c r="J12" s="20">
        <v>0</v>
      </c>
      <c r="K12" s="20">
        <f>G12*0.05</f>
        <v>-2042.2371639999999</v>
      </c>
      <c r="L12" s="20">
        <v>0</v>
      </c>
      <c r="M12" s="20">
        <v>0</v>
      </c>
      <c r="N12" s="20">
        <v>0</v>
      </c>
      <c r="O12" s="20">
        <v>0</v>
      </c>
      <c r="P12" s="20">
        <f>G12*0.15</f>
        <v>-6126.7114919999995</v>
      </c>
      <c r="Q12" s="20">
        <v>0</v>
      </c>
      <c r="R12" s="20">
        <f>G12*0.05</f>
        <v>-2042.2371639999999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f t="shared" ref="X12:AL12" si="2">$G$12*0.04</f>
        <v>-1633.7897311999998</v>
      </c>
      <c r="Y12" s="20">
        <f t="shared" si="2"/>
        <v>-1633.7897311999998</v>
      </c>
      <c r="Z12" s="20">
        <f t="shared" si="2"/>
        <v>-1633.7897311999998</v>
      </c>
      <c r="AA12" s="20">
        <f t="shared" si="2"/>
        <v>-1633.7897311999998</v>
      </c>
      <c r="AB12" s="20">
        <f t="shared" si="2"/>
        <v>-1633.7897311999998</v>
      </c>
      <c r="AC12" s="20">
        <f t="shared" si="2"/>
        <v>-1633.7897311999998</v>
      </c>
      <c r="AD12" s="20">
        <f t="shared" si="2"/>
        <v>-1633.7897311999998</v>
      </c>
      <c r="AE12" s="20">
        <f t="shared" si="2"/>
        <v>-1633.7897311999998</v>
      </c>
      <c r="AF12" s="20">
        <f t="shared" si="2"/>
        <v>-1633.7897311999998</v>
      </c>
      <c r="AG12" s="20">
        <f t="shared" si="2"/>
        <v>-1633.7897311999998</v>
      </c>
      <c r="AH12" s="20">
        <f t="shared" si="2"/>
        <v>-1633.7897311999998</v>
      </c>
      <c r="AI12" s="20">
        <f t="shared" si="2"/>
        <v>-1633.7897311999998</v>
      </c>
      <c r="AJ12" s="20">
        <f t="shared" si="2"/>
        <v>-1633.7897311999998</v>
      </c>
      <c r="AK12" s="20">
        <f t="shared" si="2"/>
        <v>-1633.7897311999998</v>
      </c>
      <c r="AL12" s="20">
        <f t="shared" si="2"/>
        <v>-1633.7897311999998</v>
      </c>
      <c r="AM12" s="20">
        <f>$G$12*0.04</f>
        <v>-1633.7897311999998</v>
      </c>
      <c r="AN12" s="20">
        <f>G12*0.11</f>
        <v>-4492.9217607999999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</row>
    <row r="13" spans="1:99" x14ac:dyDescent="0.25">
      <c r="A13" s="11" t="s">
        <v>4</v>
      </c>
      <c r="B13" s="11" t="s">
        <v>163</v>
      </c>
      <c r="C13" s="11" t="s">
        <v>166</v>
      </c>
      <c r="D13" s="37">
        <v>0.21</v>
      </c>
      <c r="E13" s="11">
        <f>F6+F7+F8</f>
        <v>3506.3945279999998</v>
      </c>
      <c r="F13" s="11">
        <f>D13*E13</f>
        <v>736.3428508799999</v>
      </c>
      <c r="G13" s="19">
        <f>-F13</f>
        <v>-736.3428508799999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f>SUM(M6:M8)*0.21</f>
        <v>-372.82341095999993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f>(X7+X8)*0.21</f>
        <v>-118.35980301599997</v>
      </c>
      <c r="Y13" s="20">
        <f>(Y7+Y8)*0.21</f>
        <v>-245.15963690399994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</row>
    <row r="14" spans="1:99" x14ac:dyDescent="0.25">
      <c r="A14" s="11" t="s">
        <v>4</v>
      </c>
      <c r="B14" s="11" t="s">
        <v>163</v>
      </c>
      <c r="C14" s="11" t="s">
        <v>167</v>
      </c>
      <c r="D14" s="37">
        <v>0.21</v>
      </c>
      <c r="E14" s="11">
        <f>F9+F10+F11+F12</f>
        <v>263618.22652319993</v>
      </c>
      <c r="F14" s="11">
        <f>D14*E14</f>
        <v>55359.827569871981</v>
      </c>
      <c r="G14" s="19">
        <f>-F14</f>
        <v>-55359.827569871981</v>
      </c>
      <c r="H14" s="20">
        <v>0</v>
      </c>
      <c r="I14" s="20">
        <v>0</v>
      </c>
      <c r="J14" s="20">
        <v>0</v>
      </c>
      <c r="K14" s="20">
        <f>SUM(K9:K12)*0.21</f>
        <v>-428.86980443999994</v>
      </c>
      <c r="L14" s="20">
        <v>0</v>
      </c>
      <c r="M14" s="20">
        <f>SUM(M9:M12)*0.21</f>
        <v>-9474.7090472496002</v>
      </c>
      <c r="N14" s="20">
        <v>0</v>
      </c>
      <c r="O14" s="20">
        <v>0</v>
      </c>
      <c r="P14" s="20">
        <f>SUM(P9:P12)*0.21</f>
        <v>-15498.672984194398</v>
      </c>
      <c r="Q14" s="20">
        <v>0</v>
      </c>
      <c r="R14" s="20">
        <f>SUM(R9:R12)*0.21</f>
        <v>-428.86980443999994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f>SUM(X9:X12)*0.21</f>
        <v>-343.09584355199996</v>
      </c>
      <c r="Y14" s="20">
        <f>SUM(Y9:Y12)*0.21</f>
        <v>-343.09584355199996</v>
      </c>
      <c r="Z14" s="20">
        <f>SUM(Z9:Z12)*0.21</f>
        <v>-1992.7857623339999</v>
      </c>
      <c r="AA14" s="20">
        <f>SUM(AA9:AA12)*0.21</f>
        <v>-1992.7857623339999</v>
      </c>
      <c r="AB14" s="20">
        <f>SUM(AB9:AB12)*0.21</f>
        <v>-1992.7857623339999</v>
      </c>
      <c r="AC14" s="20">
        <f>SUM(AC9:AC12)*0.21</f>
        <v>-1992.7857623339999</v>
      </c>
      <c r="AD14" s="20">
        <f>SUM(AD9:AD12)*0.21</f>
        <v>-1992.7857623339999</v>
      </c>
      <c r="AE14" s="20">
        <f>SUM(AE9:AE12)*0.21</f>
        <v>-1992.7857623339999</v>
      </c>
      <c r="AF14" s="20">
        <f>SUM(AF9:AF12)*0.21</f>
        <v>-1992.7857623339999</v>
      </c>
      <c r="AG14" s="20">
        <f>SUM(AG9:AG12)*0.21</f>
        <v>-1992.7857623339999</v>
      </c>
      <c r="AH14" s="20">
        <f>SUM(AH9:AH12)*0.21</f>
        <v>-1992.7857623339999</v>
      </c>
      <c r="AI14" s="20">
        <f>SUM(AI9:AI12)*0.21</f>
        <v>-1992.7857623339999</v>
      </c>
      <c r="AJ14" s="20">
        <f>SUM(AJ9:AJ12)*0.21</f>
        <v>-1992.7857623339999</v>
      </c>
      <c r="AK14" s="20">
        <f>SUM(AK9:AK12)*0.21</f>
        <v>-1992.7857623339999</v>
      </c>
      <c r="AL14" s="20">
        <f>SUM(AL9:AL12)*0.21</f>
        <v>-1992.7857623339999</v>
      </c>
      <c r="AM14" s="20">
        <f>SUM(AM9:AM12)*0.21</f>
        <v>-1992.7857623339999</v>
      </c>
      <c r="AN14" s="20">
        <f>SUM(AN9:AN12)*0.21</f>
        <v>-943.51356976799991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</row>
    <row r="15" spans="1:99" x14ac:dyDescent="0.25">
      <c r="A15" s="11" t="s">
        <v>4</v>
      </c>
      <c r="B15" s="11" t="s">
        <v>163</v>
      </c>
      <c r="C15" s="11" t="s">
        <v>20</v>
      </c>
      <c r="D15" s="37">
        <v>3.0000000000000001E-3</v>
      </c>
      <c r="E15" s="11">
        <f>F18+F19</f>
        <v>2010591.004</v>
      </c>
      <c r="F15" s="11">
        <f>D15*E15</f>
        <v>6031.7730119999997</v>
      </c>
      <c r="G15" s="19">
        <f>-F15</f>
        <v>-6031.7730119999997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f>$G$15/14</f>
        <v>-430.84092942857143</v>
      </c>
      <c r="AA15" s="20">
        <f t="shared" ref="AA15:AM15" si="3">$G$15/14</f>
        <v>-430.84092942857143</v>
      </c>
      <c r="AB15" s="20">
        <f t="shared" si="3"/>
        <v>-430.84092942857143</v>
      </c>
      <c r="AC15" s="20">
        <f t="shared" si="3"/>
        <v>-430.84092942857143</v>
      </c>
      <c r="AD15" s="20">
        <f t="shared" si="3"/>
        <v>-430.84092942857143</v>
      </c>
      <c r="AE15" s="20">
        <f t="shared" si="3"/>
        <v>-430.84092942857143</v>
      </c>
      <c r="AF15" s="20">
        <f t="shared" si="3"/>
        <v>-430.84092942857143</v>
      </c>
      <c r="AG15" s="20">
        <f t="shared" si="3"/>
        <v>-430.84092942857143</v>
      </c>
      <c r="AH15" s="20">
        <f t="shared" si="3"/>
        <v>-430.84092942857143</v>
      </c>
      <c r="AI15" s="20">
        <f t="shared" si="3"/>
        <v>-430.84092942857143</v>
      </c>
      <c r="AJ15" s="20">
        <f t="shared" si="3"/>
        <v>-430.84092942857143</v>
      </c>
      <c r="AK15" s="20">
        <f t="shared" si="3"/>
        <v>-430.84092942857143</v>
      </c>
      <c r="AL15" s="20">
        <f t="shared" si="3"/>
        <v>-430.84092942857143</v>
      </c>
      <c r="AM15" s="20">
        <f t="shared" si="3"/>
        <v>-430.84092942857143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</row>
    <row r="16" spans="1:99" x14ac:dyDescent="0.25">
      <c r="A16" s="11" t="s">
        <v>4</v>
      </c>
      <c r="B16" s="11" t="s">
        <v>168</v>
      </c>
      <c r="C16" s="11" t="s">
        <v>8</v>
      </c>
      <c r="D16" s="37">
        <f>(8.4*44.5*3)+(8.4*15.3*3)</f>
        <v>1506.96</v>
      </c>
      <c r="E16" s="11">
        <v>21</v>
      </c>
      <c r="F16" s="11">
        <f>D16*E16</f>
        <v>31646.16</v>
      </c>
      <c r="G16" s="19">
        <f>-F16</f>
        <v>-31646.16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f>G16*0.4</f>
        <v>-12658.464</v>
      </c>
      <c r="Y16" s="20">
        <f>G16*0.6</f>
        <v>-18987.696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</row>
    <row r="17" spans="1:99" x14ac:dyDescent="0.25">
      <c r="A17" s="11" t="s">
        <v>4</v>
      </c>
      <c r="B17" s="11" t="s">
        <v>168</v>
      </c>
      <c r="C17" s="11" t="s">
        <v>12</v>
      </c>
      <c r="D17" s="36">
        <v>188.37</v>
      </c>
      <c r="E17" s="11">
        <v>5.75</v>
      </c>
      <c r="F17" s="11">
        <f>D17*E17</f>
        <v>1083.1275000000001</v>
      </c>
      <c r="G17" s="19">
        <f>-F17</f>
        <v>-1083.1275000000001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f>G17*0.4</f>
        <v>-433.25100000000003</v>
      </c>
      <c r="Y17" s="20">
        <f>G17*0.6</f>
        <v>-649.87649999999996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</row>
    <row r="18" spans="1:99" x14ac:dyDescent="0.25">
      <c r="A18" s="11" t="s">
        <v>4</v>
      </c>
      <c r="B18" s="11" t="s">
        <v>168</v>
      </c>
      <c r="C18" s="11" t="s">
        <v>2</v>
      </c>
      <c r="D18" s="37">
        <f>10*65*1.2</f>
        <v>780</v>
      </c>
      <c r="E18" s="11">
        <f>684.63*1.06</f>
        <v>725.70780000000002</v>
      </c>
      <c r="F18" s="11">
        <f>D18*E18</f>
        <v>566052.08400000003</v>
      </c>
      <c r="G18" s="19">
        <f>-F18</f>
        <v>-566052.08400000003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f>'evolucion certificaciones nuevo'!J26</f>
        <v>-16981.562519999999</v>
      </c>
      <c r="AF18" s="20">
        <f>'evolucion certificaciones nuevo'!K26</f>
        <v>-22642.083360000001</v>
      </c>
      <c r="AG18" s="20">
        <f>'evolucion certificaciones nuevo'!L26</f>
        <v>-52642.843811999999</v>
      </c>
      <c r="AH18" s="20">
        <f>'evolucion certificaciones nuevo'!M26</f>
        <v>-59435.468820000002</v>
      </c>
      <c r="AI18" s="20">
        <f>'evolucion certificaciones nuevo'!N26</f>
        <v>-93398.593860000008</v>
      </c>
      <c r="AJ18" s="20">
        <f>'evolucion certificaciones nuevo'!O26</f>
        <v>-116040.67722</v>
      </c>
      <c r="AK18" s="20">
        <f>'evolucion certificaciones nuevo'!P26</f>
        <v>-117738.833472</v>
      </c>
      <c r="AL18" s="20">
        <f>'evolucion certificaciones nuevo'!Q26</f>
        <v>-46416.270888000006</v>
      </c>
      <c r="AM18" s="20">
        <f>'evolucion certificaciones nuevo'!R26</f>
        <v>-40755.750048000002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</row>
    <row r="19" spans="1:99" x14ac:dyDescent="0.25">
      <c r="A19" s="11" t="s">
        <v>4</v>
      </c>
      <c r="B19" s="11" t="s">
        <v>168</v>
      </c>
      <c r="C19" s="11" t="s">
        <v>40</v>
      </c>
      <c r="D19" s="37">
        <v>1</v>
      </c>
      <c r="E19" s="11">
        <v>1444538.92</v>
      </c>
      <c r="F19" s="11">
        <f>D19*E19</f>
        <v>1444538.92</v>
      </c>
      <c r="G19" s="19">
        <f>-F19</f>
        <v>-1444538.92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f>'evolucion certificaciones nuevo'!E28</f>
        <v>-8667.2335199999998</v>
      </c>
      <c r="AA19" s="20">
        <f>'evolucion certificaciones nuevo'!F28</f>
        <v>-23112.622719999999</v>
      </c>
      <c r="AB19" s="20">
        <f>'evolucion certificaciones nuevo'!G28</f>
        <v>-57781.556799999998</v>
      </c>
      <c r="AC19" s="20">
        <f>'evolucion certificaciones nuevo'!H28</f>
        <v>-54170.209499999997</v>
      </c>
      <c r="AD19" s="20">
        <f>'evolucion certificaciones nuevo'!I28</f>
        <v>-65004.251399999994</v>
      </c>
      <c r="AE19" s="20">
        <f>'evolucion certificaciones nuevo'!J28</f>
        <v>-136508.92793999999</v>
      </c>
      <c r="AF19" s="20">
        <f>'evolucion certificaciones nuevo'!K28</f>
        <v>-169733.32309999998</v>
      </c>
      <c r="AG19" s="20">
        <f>'evolucion certificaciones nuevo'!L28</f>
        <v>-115563.1136</v>
      </c>
      <c r="AH19" s="20">
        <f>'evolucion certificaciones nuevo'!M28</f>
        <v>-192123.67636000001</v>
      </c>
      <c r="AI19" s="20">
        <f>'evolucion certificaciones nuevo'!N28</f>
        <v>-171900.13147999998</v>
      </c>
      <c r="AJ19" s="20">
        <f>'evolucion certificaciones nuevo'!O28</f>
        <v>-214514.02961999999</v>
      </c>
      <c r="AK19" s="20">
        <f>'evolucion certificaciones nuevo'!P28</f>
        <v>-84505.526819999999</v>
      </c>
      <c r="AL19" s="20">
        <f>'evolucion certificaciones nuevo'!Q28</f>
        <v>-150954.31714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</row>
    <row r="20" spans="1:99" x14ac:dyDescent="0.25">
      <c r="A20" s="11" t="s">
        <v>4</v>
      </c>
      <c r="B20" s="11" t="s">
        <v>168</v>
      </c>
      <c r="C20" s="11" t="s">
        <v>11</v>
      </c>
      <c r="D20" s="37">
        <v>0.21</v>
      </c>
      <c r="E20" s="11">
        <f>F16</f>
        <v>31646.16</v>
      </c>
      <c r="F20" s="11">
        <f>E20*D20</f>
        <v>6645.6935999999996</v>
      </c>
      <c r="G20" s="19">
        <f>-F20</f>
        <v>-6645.6935999999996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f>X16*0.21</f>
        <v>-2658.2774399999998</v>
      </c>
      <c r="Y20" s="20">
        <f>Y16*0.21</f>
        <v>-3987.4161599999998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</row>
    <row r="21" spans="1:99" x14ac:dyDescent="0.25">
      <c r="A21" s="11" t="s">
        <v>4</v>
      </c>
      <c r="B21" s="11" t="s">
        <v>168</v>
      </c>
      <c r="C21" s="11" t="s">
        <v>10</v>
      </c>
      <c r="D21" s="37">
        <v>0.1</v>
      </c>
      <c r="E21" s="11">
        <f>F18+F19</f>
        <v>2010591.004</v>
      </c>
      <c r="F21" s="11">
        <f>E21*D21</f>
        <v>201059.1004</v>
      </c>
      <c r="G21" s="19">
        <f>-F21</f>
        <v>-201059.1004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f>(Z18+Z19)*0.1</f>
        <v>-866.72335199999998</v>
      </c>
      <c r="AA21" s="20">
        <f>(AA18+AA19)*0.1</f>
        <v>-2311.2622719999999</v>
      </c>
      <c r="AB21" s="20">
        <f>(AB18+AB19)*0.1</f>
        <v>-5778.1556799999998</v>
      </c>
      <c r="AC21" s="20">
        <f>(AC18+AC19)*0.1</f>
        <v>-5417.0209500000001</v>
      </c>
      <c r="AD21" s="20">
        <f>(AD18+AD19)*0.1</f>
        <v>-6500.4251399999994</v>
      </c>
      <c r="AE21" s="20">
        <f>(AE18+AE19)*0.1</f>
        <v>-15349.049046</v>
      </c>
      <c r="AF21" s="20">
        <f>(AF18+AF19)*0.1</f>
        <v>-19237.540645999998</v>
      </c>
      <c r="AG21" s="20">
        <f>(AG18+AG19)*0.1</f>
        <v>-16820.595741199999</v>
      </c>
      <c r="AH21" s="20">
        <f>(AH18+AH19)*0.1</f>
        <v>-25155.914518000005</v>
      </c>
      <c r="AI21" s="20">
        <f>(AI18+AI19)*0.1</f>
        <v>-26529.872534000002</v>
      </c>
      <c r="AJ21" s="20">
        <f>(AJ18+AJ19)*0.1</f>
        <v>-33055.470684</v>
      </c>
      <c r="AK21" s="20">
        <f>(AK18+AK19)*0.1</f>
        <v>-20224.436029200002</v>
      </c>
      <c r="AL21" s="20">
        <f>(AL18+AL19)*0.1</f>
        <v>-19737.058802800002</v>
      </c>
      <c r="AM21" s="20">
        <f>(AM18+AM19)*0.1</f>
        <v>-4075.5750048000004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</row>
    <row r="22" spans="1:99" x14ac:dyDescent="0.25">
      <c r="A22" s="11" t="s">
        <v>4</v>
      </c>
      <c r="B22" s="11" t="s">
        <v>168</v>
      </c>
      <c r="C22" s="11" t="s">
        <v>21</v>
      </c>
      <c r="D22" s="37">
        <v>1</v>
      </c>
      <c r="E22" s="11">
        <v>700</v>
      </c>
      <c r="F22" s="11">
        <f>D22*E22</f>
        <v>700</v>
      </c>
      <c r="G22" s="19">
        <f>-F22</f>
        <v>-700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f>G22</f>
        <v>-700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37">
        <f>5%</f>
        <v>0.05</v>
      </c>
      <c r="E23" s="11">
        <f>(F18+F19)</f>
        <v>2010591.004</v>
      </c>
      <c r="F23" s="11">
        <f>D23*E23</f>
        <v>100529.5502</v>
      </c>
      <c r="G23" s="17">
        <f>-F23</f>
        <v>-100529.5502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f>G23*0.2</f>
        <v>-20105.910040000002</v>
      </c>
      <c r="R23" s="18">
        <v>0</v>
      </c>
      <c r="S23" s="18">
        <v>0</v>
      </c>
      <c r="T23" s="18">
        <f>G23*0.8</f>
        <v>-80423.64016000001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37">
        <f>5%</f>
        <v>0.05</v>
      </c>
      <c r="E24" s="11">
        <f>F16</f>
        <v>31646.16</v>
      </c>
      <c r="F24" s="11">
        <f>D24*E24</f>
        <v>1582.308</v>
      </c>
      <c r="G24" s="19">
        <f>-F24</f>
        <v>-1582.308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>G24*0.2</f>
        <v>-316.46160000000003</v>
      </c>
      <c r="O24" s="20">
        <v>0</v>
      </c>
      <c r="P24" s="20">
        <f>G24*0.8</f>
        <v>-1265.8464000000001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</row>
    <row r="25" spans="1:99" x14ac:dyDescent="0.25">
      <c r="A25" s="11" t="s">
        <v>4</v>
      </c>
      <c r="B25" s="11" t="s">
        <v>0</v>
      </c>
      <c r="C25" s="11" t="s">
        <v>169</v>
      </c>
      <c r="D25" s="37">
        <v>2.9999999999999997E-4</v>
      </c>
      <c r="E25" s="11">
        <f>F18</f>
        <v>566052.08400000003</v>
      </c>
      <c r="F25" s="11">
        <f>D25*E25</f>
        <v>169.8156252</v>
      </c>
      <c r="G25" s="19">
        <f>-F25</f>
        <v>-169.8156252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f>G25</f>
        <v>-169.8156252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</row>
    <row r="26" spans="1:99" x14ac:dyDescent="0.25">
      <c r="A26" s="11" t="s">
        <v>4</v>
      </c>
      <c r="B26" s="11" t="s">
        <v>0</v>
      </c>
      <c r="C26" s="11" t="s">
        <v>170</v>
      </c>
      <c r="D26" s="37">
        <v>2.0000000000000001E-4</v>
      </c>
      <c r="E26" s="11">
        <f>F18</f>
        <v>566052.08400000003</v>
      </c>
      <c r="F26" s="11">
        <f>D26*E26</f>
        <v>113.21041680000002</v>
      </c>
      <c r="G26" s="19">
        <f>-F26</f>
        <v>-113.21041680000002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f>G26</f>
        <v>-113.21041680000002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</row>
    <row r="27" spans="1:99" x14ac:dyDescent="0.25">
      <c r="A27" s="11" t="s">
        <v>4</v>
      </c>
      <c r="B27" s="11" t="s">
        <v>0</v>
      </c>
      <c r="C27" s="11" t="s">
        <v>171</v>
      </c>
      <c r="D27" s="37">
        <v>1</v>
      </c>
      <c r="E27" s="11">
        <v>250</v>
      </c>
      <c r="F27" s="11">
        <f>D27*E27</f>
        <v>250</v>
      </c>
      <c r="G27" s="19">
        <f>-F27</f>
        <v>-250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f>G27</f>
        <v>-250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</row>
    <row r="28" spans="1:99" x14ac:dyDescent="0.25">
      <c r="A28" s="11" t="s">
        <v>4</v>
      </c>
      <c r="B28" s="11" t="s">
        <v>0</v>
      </c>
      <c r="C28" s="11" t="s">
        <v>172</v>
      </c>
      <c r="D28" s="37">
        <v>2.9999999999999997E-4</v>
      </c>
      <c r="E28" s="11">
        <f>F18</f>
        <v>566052.08400000003</v>
      </c>
      <c r="F28" s="11">
        <f>D28*E28</f>
        <v>169.8156252</v>
      </c>
      <c r="G28" s="19">
        <f>-F28</f>
        <v>-169.8156252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f>G28</f>
        <v>-169.8156252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</row>
    <row r="29" spans="1:99" x14ac:dyDescent="0.25">
      <c r="A29" s="11" t="s">
        <v>4</v>
      </c>
      <c r="B29" s="11" t="s">
        <v>0</v>
      </c>
      <c r="C29" s="11" t="s">
        <v>173</v>
      </c>
      <c r="D29" s="37">
        <v>2.0000000000000001E-4</v>
      </c>
      <c r="E29" s="11">
        <f>F18</f>
        <v>566052.08400000003</v>
      </c>
      <c r="F29" s="11">
        <f>D29*E29</f>
        <v>113.21041680000002</v>
      </c>
      <c r="G29" s="19">
        <f>-F29</f>
        <v>-113.21041680000002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f t="shared" ref="AN29:AN32" si="4">G29</f>
        <v>-113.21041680000002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</row>
    <row r="30" spans="1:99" x14ac:dyDescent="0.25">
      <c r="A30" s="11" t="s">
        <v>4</v>
      </c>
      <c r="B30" s="11" t="s">
        <v>0</v>
      </c>
      <c r="C30" s="11" t="s">
        <v>174</v>
      </c>
      <c r="D30" s="37">
        <v>1</v>
      </c>
      <c r="E30" s="11">
        <v>250</v>
      </c>
      <c r="F30" s="11">
        <f>D30*E30</f>
        <v>250</v>
      </c>
      <c r="G30" s="19">
        <f>-F30</f>
        <v>-250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f t="shared" si="4"/>
        <v>-250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37">
        <v>8.9999999999999993E-3</v>
      </c>
      <c r="E31" s="11">
        <f>F18</f>
        <v>566052.08400000003</v>
      </c>
      <c r="F31" s="11">
        <f>D31*E31</f>
        <v>5094.4687560000002</v>
      </c>
      <c r="G31" s="19">
        <f>-F31</f>
        <v>-5094.4687560000002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f>$G$31/16</f>
        <v>-318.40429725000001</v>
      </c>
      <c r="Y31" s="20">
        <f t="shared" ref="Y31:AM31" si="5">$G$31/16</f>
        <v>-318.40429725000001</v>
      </c>
      <c r="Z31" s="20">
        <f t="shared" si="5"/>
        <v>-318.40429725000001</v>
      </c>
      <c r="AA31" s="20">
        <f t="shared" si="5"/>
        <v>-318.40429725000001</v>
      </c>
      <c r="AB31" s="20">
        <f t="shared" si="5"/>
        <v>-318.40429725000001</v>
      </c>
      <c r="AC31" s="20">
        <f t="shared" si="5"/>
        <v>-318.40429725000001</v>
      </c>
      <c r="AD31" s="20">
        <f t="shared" si="5"/>
        <v>-318.40429725000001</v>
      </c>
      <c r="AE31" s="20">
        <f t="shared" si="5"/>
        <v>-318.40429725000001</v>
      </c>
      <c r="AF31" s="20">
        <f t="shared" si="5"/>
        <v>-318.40429725000001</v>
      </c>
      <c r="AG31" s="20">
        <f t="shared" si="5"/>
        <v>-318.40429725000001</v>
      </c>
      <c r="AH31" s="20">
        <f t="shared" si="5"/>
        <v>-318.40429725000001</v>
      </c>
      <c r="AI31" s="20">
        <f t="shared" si="5"/>
        <v>-318.40429725000001</v>
      </c>
      <c r="AJ31" s="20">
        <f t="shared" si="5"/>
        <v>-318.40429725000001</v>
      </c>
      <c r="AK31" s="20">
        <f t="shared" si="5"/>
        <v>-318.40429725000001</v>
      </c>
      <c r="AL31" s="20">
        <f t="shared" si="5"/>
        <v>-318.40429725000001</v>
      </c>
      <c r="AM31" s="20">
        <f t="shared" si="5"/>
        <v>-318.40429725000001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</row>
    <row r="32" spans="1:99" x14ac:dyDescent="0.25">
      <c r="A32" s="11" t="s">
        <v>4</v>
      </c>
      <c r="B32" s="11" t="s">
        <v>0</v>
      </c>
      <c r="C32" s="11" t="s">
        <v>175</v>
      </c>
      <c r="D32" s="37">
        <v>2.5000000000000001E-3</v>
      </c>
      <c r="E32" s="11">
        <f>10*65*1.2*725.71</f>
        <v>566053.80000000005</v>
      </c>
      <c r="F32" s="11">
        <f>D32*E32</f>
        <v>1415.1345000000001</v>
      </c>
      <c r="G32" s="19">
        <f>-F32</f>
        <v>-1415.1345000000001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f t="shared" si="4"/>
        <v>-1415.1345000000001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0</v>
      </c>
      <c r="CS32" s="20">
        <v>0</v>
      </c>
      <c r="CT32" s="20">
        <v>0</v>
      </c>
      <c r="CU32" s="20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35">
        <v>1</v>
      </c>
      <c r="E33" s="21">
        <v>2500</v>
      </c>
      <c r="F33" s="21">
        <f>D33*E33</f>
        <v>2500</v>
      </c>
      <c r="G33" s="22">
        <f>-F33</f>
        <v>-2500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4">
        <f>G33</f>
        <v>-2500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</row>
    <row r="34" spans="1:99" x14ac:dyDescent="0.25">
      <c r="A34" s="11" t="s">
        <v>4</v>
      </c>
      <c r="B34" s="11" t="s">
        <v>24</v>
      </c>
      <c r="C34" s="11" t="s">
        <v>176</v>
      </c>
      <c r="D34" s="38">
        <v>2.5000000000000001E-3</v>
      </c>
      <c r="E34" s="21">
        <f>-0.8*SUM(G2:G32,G41:G42)</f>
        <v>2221264.1308191619</v>
      </c>
      <c r="F34" s="21">
        <f>D34*E34</f>
        <v>5553.1603270479045</v>
      </c>
      <c r="G34" s="19">
        <f>-F34</f>
        <v>-5553.1603270479045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f>G34</f>
        <v>-5553.1603270479045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35">
        <v>1</v>
      </c>
      <c r="E35" s="21">
        <v>250</v>
      </c>
      <c r="F35" s="21">
        <f>D35*E35</f>
        <v>250</v>
      </c>
      <c r="G35" s="19">
        <f>-F35</f>
        <v>-250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f>G35</f>
        <v>-250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38">
        <v>2.5000000000000001E-3</v>
      </c>
      <c r="E36" s="21">
        <f>-0.8*SUM(G2:G32,G41:G42)</f>
        <v>2221264.1308191619</v>
      </c>
      <c r="F36" s="21">
        <f>D36*E36</f>
        <v>5553.1603270479045</v>
      </c>
      <c r="G36" s="19">
        <f>-F36</f>
        <v>-5553.1603270479045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f>G36</f>
        <v>-5553.1603270479045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38">
        <v>1E-3</v>
      </c>
      <c r="E37" s="21">
        <f>-0.8*SUM(G2:G32,G41:G42)</f>
        <v>2221264.1308191619</v>
      </c>
      <c r="F37" s="21">
        <f>D37*E37</f>
        <v>2221.2641308191619</v>
      </c>
      <c r="G37" s="19">
        <f>-F37</f>
        <v>-2221.2641308191619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f>G37</f>
        <v>-2221.2641308191619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</row>
    <row r="38" spans="1:99" x14ac:dyDescent="0.25">
      <c r="A38" s="11" t="s">
        <v>4</v>
      </c>
      <c r="B38" s="11" t="s">
        <v>24</v>
      </c>
      <c r="C38" s="11" t="s">
        <v>96</v>
      </c>
      <c r="D38" s="38">
        <f>intereses!C5</f>
        <v>3.5000000000000003E-2</v>
      </c>
      <c r="E38" s="21">
        <f>0.8*(SUM(F2:F42)-F44-F45)</f>
        <v>1551752.8469087326</v>
      </c>
      <c r="F38" s="21">
        <v>141992.68</v>
      </c>
      <c r="G38" s="19"/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-4525.9458034838035</v>
      </c>
      <c r="AO38" s="20">
        <v>-4456.8116269377851</v>
      </c>
      <c r="AP38" s="20">
        <v>-4387.4758090435071</v>
      </c>
      <c r="AQ38" s="20">
        <v>-4317.9377616803713</v>
      </c>
      <c r="AR38" s="20">
        <v>-4248.1968950124265</v>
      </c>
      <c r="AS38" s="20">
        <v>-4178.2526174833665</v>
      </c>
      <c r="AT38" s="20">
        <v>-4108.104335811513</v>
      </c>
      <c r="AU38" s="20">
        <v>-4037.7514549847842</v>
      </c>
      <c r="AV38" s="20">
        <v>-3967.1933782556434</v>
      </c>
      <c r="AW38" s="20">
        <v>-3896.4295071360434</v>
      </c>
      <c r="AX38" s="20">
        <v>-3825.4592413923433</v>
      </c>
      <c r="AY38" s="20">
        <v>-3754.2819790402245</v>
      </c>
      <c r="AZ38" s="20">
        <v>-3682.8971163395795</v>
      </c>
      <c r="BA38" s="20">
        <v>-3611.3040477893906</v>
      </c>
      <c r="BB38" s="20">
        <v>-3539.5021661225965</v>
      </c>
      <c r="BC38" s="20">
        <v>-3467.4908623009405</v>
      </c>
      <c r="BD38" s="25">
        <v>-3395.2695255098056</v>
      </c>
      <c r="BE38" s="25">
        <v>-3322.8375431530303</v>
      </c>
      <c r="BF38" s="25">
        <v>-3250.1943008477133</v>
      </c>
      <c r="BG38" s="25">
        <v>-3177.3391824190062</v>
      </c>
      <c r="BH38" s="25">
        <v>-3104.2715698948818</v>
      </c>
      <c r="BI38" s="25">
        <v>-3030.9908435008956</v>
      </c>
      <c r="BJ38" s="25">
        <v>-2957.4963816549271</v>
      </c>
      <c r="BK38" s="25">
        <v>-2883.7875609619077</v>
      </c>
      <c r="BL38" s="25">
        <v>-2809.8637562085341</v>
      </c>
      <c r="BM38" s="25">
        <v>-2735.7243403579628</v>
      </c>
      <c r="BN38" s="25">
        <v>-2661.3686845444936</v>
      </c>
      <c r="BO38" s="25">
        <v>-2586.7961580682359</v>
      </c>
      <c r="BP38" s="25">
        <v>-2512.0061283897558</v>
      </c>
      <c r="BQ38" s="25">
        <v>-2436.9979611247127</v>
      </c>
      <c r="BR38" s="25">
        <v>-2361.7710200384799</v>
      </c>
      <c r="BS38" s="25">
        <v>-2286.3246670407461</v>
      </c>
      <c r="BT38" s="25">
        <v>-2210.6582621801017</v>
      </c>
      <c r="BU38" s="25">
        <v>-2134.7711636386148</v>
      </c>
      <c r="BV38" s="25">
        <v>-2058.662727726381</v>
      </c>
      <c r="BW38" s="25">
        <v>-1982.3323088760701</v>
      </c>
      <c r="BX38" s="25">
        <v>-1905.7792596374454</v>
      </c>
      <c r="BY38" s="25">
        <v>-1829.0029306718754</v>
      </c>
      <c r="BZ38" s="25">
        <v>-1752.0026707468219</v>
      </c>
      <c r="CA38" s="25">
        <v>-1674.7778267303206</v>
      </c>
      <c r="CB38" s="25">
        <v>-1597.3277435854379</v>
      </c>
      <c r="CC38" s="25">
        <v>-1519.651764364716</v>
      </c>
      <c r="CD38" s="25">
        <v>-1441.7492302046001</v>
      </c>
      <c r="CE38" s="25">
        <v>-1363.6194803198505</v>
      </c>
      <c r="CF38" s="25">
        <v>-1285.2618519979371</v>
      </c>
      <c r="CG38" s="25">
        <v>-1206.6756805934183</v>
      </c>
      <c r="CH38" s="25">
        <v>-1127.860299522303</v>
      </c>
      <c r="CI38" s="25">
        <v>-1048.8150402563967</v>
      </c>
      <c r="CJ38" s="25">
        <v>-969.53923231763179</v>
      </c>
      <c r="CK38" s="25">
        <v>-890.03220327237864</v>
      </c>
      <c r="CL38" s="25">
        <v>-810.29327872574356</v>
      </c>
      <c r="CM38" s="25">
        <v>-730.32178231584737</v>
      </c>
      <c r="CN38" s="25">
        <v>-650.11703570808902</v>
      </c>
      <c r="CO38" s="25">
        <v>-569.67835858939156</v>
      </c>
      <c r="CP38" s="25">
        <v>-489.00506866243103</v>
      </c>
      <c r="CQ38" s="25">
        <v>-408.09648163985014</v>
      </c>
      <c r="CR38" s="25">
        <v>-326.95191123845348</v>
      </c>
      <c r="CS38" s="25">
        <v>-245.57066917338614</v>
      </c>
      <c r="CT38" s="25">
        <v>-163.95206515229563</v>
      </c>
      <c r="CU38" s="25">
        <v>-82.095406869476903</v>
      </c>
    </row>
    <row r="39" spans="1:99" x14ac:dyDescent="0.25">
      <c r="A39" s="11" t="s">
        <v>4</v>
      </c>
      <c r="B39" s="11" t="s">
        <v>24</v>
      </c>
      <c r="C39" s="11" t="s">
        <v>39</v>
      </c>
      <c r="D39" s="38">
        <f>intereses!E5</f>
        <v>0.05</v>
      </c>
      <c r="E39" s="21">
        <f>-0.8*SUM(G2:G32,G41:G42)</f>
        <v>2221264.1308191619</v>
      </c>
      <c r="F39" s="21">
        <v>79487.47</v>
      </c>
      <c r="G39" s="19"/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-9255.2672083333327</v>
      </c>
      <c r="Y39" s="20">
        <v>-8694.6767552989186</v>
      </c>
      <c r="Z39" s="20">
        <v>-8131.7505087101954</v>
      </c>
      <c r="AA39" s="20">
        <v>-7566.4787360940172</v>
      </c>
      <c r="AB39" s="20">
        <v>-6998.8516644252732</v>
      </c>
      <c r="AC39" s="20">
        <v>-6428.8594799579105</v>
      </c>
      <c r="AD39" s="20">
        <v>-5856.4923280552639</v>
      </c>
      <c r="AE39" s="20">
        <v>-5281.7403130196926</v>
      </c>
      <c r="AF39" s="20">
        <v>-4704.5934979214717</v>
      </c>
      <c r="AG39" s="20">
        <v>-4125.0419044270084</v>
      </c>
      <c r="AH39" s="20">
        <v>-3543.0755126263184</v>
      </c>
      <c r="AI39" s="20">
        <v>-2958.6842608597917</v>
      </c>
      <c r="AJ39" s="20">
        <v>-2371.8580455442379</v>
      </c>
      <c r="AK39" s="20">
        <v>-1782.5867209982032</v>
      </c>
      <c r="AL39" s="20">
        <v>-1190.8600992665599</v>
      </c>
      <c r="AM39" s="20">
        <v>-596.66794994436782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38">
        <v>2.5000000000000001E-3</v>
      </c>
      <c r="E40" s="21">
        <f>-0.8*SUM(G2:G32,G41:G42)</f>
        <v>2221264.1308191619</v>
      </c>
      <c r="F40" s="21">
        <f>D40*E40</f>
        <v>5553.1603270479045</v>
      </c>
      <c r="G40" s="19">
        <f>-F40</f>
        <v>-5553.1603270479045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f>G40</f>
        <v>-5553.1603270479045</v>
      </c>
    </row>
    <row r="41" spans="1:99" x14ac:dyDescent="0.25">
      <c r="A41" s="11" t="s">
        <v>4</v>
      </c>
      <c r="B41" s="11" t="s">
        <v>1</v>
      </c>
      <c r="C41" s="11" t="s">
        <v>22</v>
      </c>
      <c r="D41" s="37">
        <f>10*8</f>
        <v>80</v>
      </c>
      <c r="E41" s="11">
        <v>700</v>
      </c>
      <c r="F41" s="21">
        <f>D41*E41</f>
        <v>56000</v>
      </c>
      <c r="G41" s="17">
        <f>-F41</f>
        <v>-56000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f t="shared" ref="Y41:AF41" si="6">$G$41/8</f>
        <v>-7000</v>
      </c>
      <c r="Z41" s="18">
        <f t="shared" si="6"/>
        <v>-7000</v>
      </c>
      <c r="AA41" s="18">
        <f t="shared" si="6"/>
        <v>-7000</v>
      </c>
      <c r="AB41" s="18">
        <f t="shared" si="6"/>
        <v>-7000</v>
      </c>
      <c r="AC41" s="18">
        <f t="shared" si="6"/>
        <v>-7000</v>
      </c>
      <c r="AD41" s="18">
        <f t="shared" si="6"/>
        <v>-7000</v>
      </c>
      <c r="AE41" s="18">
        <f t="shared" si="6"/>
        <v>-7000</v>
      </c>
      <c r="AF41" s="18">
        <f t="shared" si="6"/>
        <v>-7000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37">
        <f>10*8</f>
        <v>80</v>
      </c>
      <c r="E42" s="11">
        <v>200</v>
      </c>
      <c r="F42" s="21">
        <f>D42*E42</f>
        <v>16000</v>
      </c>
      <c r="G42" s="19">
        <f>-$F$42</f>
        <v>-16000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f t="shared" ref="Y42:AF42" si="7">$G$42/8</f>
        <v>-2000</v>
      </c>
      <c r="Z42" s="20">
        <f t="shared" si="7"/>
        <v>-2000</v>
      </c>
      <c r="AA42" s="20">
        <f t="shared" si="7"/>
        <v>-2000</v>
      </c>
      <c r="AB42" s="20">
        <f t="shared" si="7"/>
        <v>-2000</v>
      </c>
      <c r="AC42" s="20">
        <f t="shared" si="7"/>
        <v>-2000</v>
      </c>
      <c r="AD42" s="20">
        <f t="shared" si="7"/>
        <v>-2000</v>
      </c>
      <c r="AE42" s="20">
        <f t="shared" si="7"/>
        <v>-2000</v>
      </c>
      <c r="AF42" s="20">
        <f t="shared" si="7"/>
        <v>-2000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</row>
    <row r="43" spans="1:99" x14ac:dyDescent="0.25">
      <c r="A43" s="11" t="s">
        <v>5</v>
      </c>
      <c r="B43" s="11" t="s">
        <v>177</v>
      </c>
      <c r="C43" s="11" t="s">
        <v>145</v>
      </c>
      <c r="D43" s="37">
        <v>10</v>
      </c>
      <c r="E43" s="11">
        <f>65*2183.04</f>
        <v>141897.60000000001</v>
      </c>
      <c r="F43" s="11">
        <f>D43*E43</f>
        <v>1418976</v>
      </c>
      <c r="G43" s="19">
        <f>F43</f>
        <v>1418976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f>G43</f>
        <v>1418976</v>
      </c>
    </row>
    <row r="44" spans="1:99" x14ac:dyDescent="0.25">
      <c r="A44" s="11" t="s">
        <v>5</v>
      </c>
      <c r="B44" s="11" t="s">
        <v>178</v>
      </c>
      <c r="C44" s="11" t="s">
        <v>179</v>
      </c>
      <c r="D44" s="37">
        <v>40</v>
      </c>
      <c r="E44" s="16">
        <v>16000</v>
      </c>
      <c r="F44" s="11">
        <f>D44*E44</f>
        <v>640000</v>
      </c>
      <c r="G44" s="19">
        <f>F44</f>
        <v>640000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f>G44</f>
        <v>640000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</row>
    <row r="45" spans="1:99" x14ac:dyDescent="0.25">
      <c r="A45" s="11" t="s">
        <v>5</v>
      </c>
      <c r="B45" s="11" t="s">
        <v>178</v>
      </c>
      <c r="C45" s="11" t="s">
        <v>180</v>
      </c>
      <c r="D45" s="37">
        <v>40</v>
      </c>
      <c r="E45" s="11">
        <v>11000</v>
      </c>
      <c r="F45" s="11">
        <f>D45*E45</f>
        <v>440000</v>
      </c>
      <c r="G45" s="19">
        <f>F45</f>
        <v>440000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f>G45</f>
        <v>440000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  <c r="CT45" s="20">
        <v>0</v>
      </c>
      <c r="CU45" s="20">
        <v>0</v>
      </c>
    </row>
    <row r="46" spans="1:99" x14ac:dyDescent="0.25">
      <c r="A46" s="11" t="s">
        <v>5</v>
      </c>
      <c r="B46" s="11" t="s">
        <v>181</v>
      </c>
      <c r="C46" s="11" t="s">
        <v>182</v>
      </c>
      <c r="D46" s="37">
        <f>10*60</f>
        <v>600</v>
      </c>
      <c r="E46" s="11">
        <v>450</v>
      </c>
      <c r="F46" s="21">
        <f>D46*E46</f>
        <v>270000</v>
      </c>
      <c r="G46" s="19">
        <f>F46</f>
        <v>270000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f>($D$46*$E$46)/60</f>
        <v>4500</v>
      </c>
      <c r="AO46" s="20">
        <f t="shared" ref="AO46:CU46" si="8">($D$46*$E$46)/60</f>
        <v>4500</v>
      </c>
      <c r="AP46" s="20">
        <f t="shared" si="8"/>
        <v>4500</v>
      </c>
      <c r="AQ46" s="20">
        <f t="shared" si="8"/>
        <v>4500</v>
      </c>
      <c r="AR46" s="20">
        <f t="shared" si="8"/>
        <v>4500</v>
      </c>
      <c r="AS46" s="20">
        <f t="shared" si="8"/>
        <v>4500</v>
      </c>
      <c r="AT46" s="20">
        <f t="shared" si="8"/>
        <v>4500</v>
      </c>
      <c r="AU46" s="20">
        <f t="shared" si="8"/>
        <v>4500</v>
      </c>
      <c r="AV46" s="20">
        <f t="shared" si="8"/>
        <v>4500</v>
      </c>
      <c r="AW46" s="20">
        <f t="shared" si="8"/>
        <v>4500</v>
      </c>
      <c r="AX46" s="20">
        <f t="shared" si="8"/>
        <v>4500</v>
      </c>
      <c r="AY46" s="20">
        <f t="shared" si="8"/>
        <v>4500</v>
      </c>
      <c r="AZ46" s="20">
        <f t="shared" si="8"/>
        <v>4500</v>
      </c>
      <c r="BA46" s="20">
        <f t="shared" si="8"/>
        <v>4500</v>
      </c>
      <c r="BB46" s="20">
        <f t="shared" si="8"/>
        <v>4500</v>
      </c>
      <c r="BC46" s="20">
        <f t="shared" si="8"/>
        <v>4500</v>
      </c>
      <c r="BD46" s="20">
        <f t="shared" si="8"/>
        <v>4500</v>
      </c>
      <c r="BE46" s="20">
        <f t="shared" si="8"/>
        <v>4500</v>
      </c>
      <c r="BF46" s="20">
        <f t="shared" si="8"/>
        <v>4500</v>
      </c>
      <c r="BG46" s="20">
        <f t="shared" si="8"/>
        <v>4500</v>
      </c>
      <c r="BH46" s="20">
        <f t="shared" si="8"/>
        <v>4500</v>
      </c>
      <c r="BI46" s="20">
        <f t="shared" si="8"/>
        <v>4500</v>
      </c>
      <c r="BJ46" s="20">
        <f t="shared" si="8"/>
        <v>4500</v>
      </c>
      <c r="BK46" s="20">
        <f t="shared" si="8"/>
        <v>4500</v>
      </c>
      <c r="BL46" s="20">
        <f t="shared" si="8"/>
        <v>4500</v>
      </c>
      <c r="BM46" s="20">
        <f t="shared" si="8"/>
        <v>4500</v>
      </c>
      <c r="BN46" s="20">
        <f t="shared" si="8"/>
        <v>4500</v>
      </c>
      <c r="BO46" s="20">
        <f t="shared" si="8"/>
        <v>4500</v>
      </c>
      <c r="BP46" s="20">
        <f t="shared" si="8"/>
        <v>4500</v>
      </c>
      <c r="BQ46" s="20">
        <f t="shared" si="8"/>
        <v>4500</v>
      </c>
      <c r="BR46" s="20">
        <f t="shared" si="8"/>
        <v>4500</v>
      </c>
      <c r="BS46" s="20">
        <f t="shared" si="8"/>
        <v>4500</v>
      </c>
      <c r="BT46" s="20">
        <f t="shared" si="8"/>
        <v>4500</v>
      </c>
      <c r="BU46" s="20">
        <f t="shared" si="8"/>
        <v>4500</v>
      </c>
      <c r="BV46" s="20">
        <f t="shared" si="8"/>
        <v>4500</v>
      </c>
      <c r="BW46" s="20">
        <f t="shared" si="8"/>
        <v>4500</v>
      </c>
      <c r="BX46" s="20">
        <f t="shared" si="8"/>
        <v>4500</v>
      </c>
      <c r="BY46" s="20">
        <f t="shared" si="8"/>
        <v>4500</v>
      </c>
      <c r="BZ46" s="20">
        <f t="shared" si="8"/>
        <v>4500</v>
      </c>
      <c r="CA46" s="20">
        <f t="shared" si="8"/>
        <v>4500</v>
      </c>
      <c r="CB46" s="20">
        <f t="shared" si="8"/>
        <v>4500</v>
      </c>
      <c r="CC46" s="20">
        <f t="shared" si="8"/>
        <v>4500</v>
      </c>
      <c r="CD46" s="20">
        <f t="shared" si="8"/>
        <v>4500</v>
      </c>
      <c r="CE46" s="20">
        <f t="shared" si="8"/>
        <v>4500</v>
      </c>
      <c r="CF46" s="20">
        <f t="shared" si="8"/>
        <v>4500</v>
      </c>
      <c r="CG46" s="20">
        <f t="shared" si="8"/>
        <v>4500</v>
      </c>
      <c r="CH46" s="20">
        <f t="shared" si="8"/>
        <v>4500</v>
      </c>
      <c r="CI46" s="20">
        <f t="shared" si="8"/>
        <v>4500</v>
      </c>
      <c r="CJ46" s="20">
        <f t="shared" si="8"/>
        <v>4500</v>
      </c>
      <c r="CK46" s="20">
        <f t="shared" si="8"/>
        <v>4500</v>
      </c>
      <c r="CL46" s="20">
        <f t="shared" si="8"/>
        <v>4500</v>
      </c>
      <c r="CM46" s="20">
        <f t="shared" si="8"/>
        <v>4500</v>
      </c>
      <c r="CN46" s="20">
        <f t="shared" si="8"/>
        <v>4500</v>
      </c>
      <c r="CO46" s="20">
        <f t="shared" si="8"/>
        <v>4500</v>
      </c>
      <c r="CP46" s="20">
        <f t="shared" si="8"/>
        <v>4500</v>
      </c>
      <c r="CQ46" s="20">
        <f t="shared" si="8"/>
        <v>4500</v>
      </c>
      <c r="CR46" s="20">
        <f t="shared" si="8"/>
        <v>4500</v>
      </c>
      <c r="CS46" s="20">
        <f t="shared" si="8"/>
        <v>4500</v>
      </c>
      <c r="CT46" s="20">
        <f t="shared" si="8"/>
        <v>4500</v>
      </c>
      <c r="CU46" s="20">
        <f t="shared" si="8"/>
        <v>4500</v>
      </c>
    </row>
    <row r="47" spans="1:99" x14ac:dyDescent="0.25">
      <c r="A47" s="11" t="s">
        <v>5</v>
      </c>
      <c r="B47" s="11" t="s">
        <v>183</v>
      </c>
      <c r="C47" s="11" t="s">
        <v>157</v>
      </c>
      <c r="D47" s="37">
        <v>0</v>
      </c>
      <c r="E47" s="11">
        <v>50</v>
      </c>
      <c r="F47" s="11">
        <f>D47*E47</f>
        <v>0</v>
      </c>
      <c r="G47" s="42">
        <f>F47</f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f>($D$47*$E$47)/60</f>
        <v>0</v>
      </c>
      <c r="AO47" s="20">
        <f t="shared" ref="AO47:CU47" si="9">($D$47*$E$47)/60</f>
        <v>0</v>
      </c>
      <c r="AP47" s="20">
        <f t="shared" si="9"/>
        <v>0</v>
      </c>
      <c r="AQ47" s="20">
        <f t="shared" si="9"/>
        <v>0</v>
      </c>
      <c r="AR47" s="20">
        <f t="shared" si="9"/>
        <v>0</v>
      </c>
      <c r="AS47" s="20">
        <f t="shared" si="9"/>
        <v>0</v>
      </c>
      <c r="AT47" s="20">
        <f t="shared" si="9"/>
        <v>0</v>
      </c>
      <c r="AU47" s="20">
        <f t="shared" si="9"/>
        <v>0</v>
      </c>
      <c r="AV47" s="20">
        <f t="shared" si="9"/>
        <v>0</v>
      </c>
      <c r="AW47" s="20">
        <f t="shared" si="9"/>
        <v>0</v>
      </c>
      <c r="AX47" s="20">
        <f t="shared" si="9"/>
        <v>0</v>
      </c>
      <c r="AY47" s="20">
        <f t="shared" si="9"/>
        <v>0</v>
      </c>
      <c r="AZ47" s="20">
        <f t="shared" si="9"/>
        <v>0</v>
      </c>
      <c r="BA47" s="20">
        <f t="shared" si="9"/>
        <v>0</v>
      </c>
      <c r="BB47" s="20">
        <f t="shared" si="9"/>
        <v>0</v>
      </c>
      <c r="BC47" s="20">
        <f t="shared" si="9"/>
        <v>0</v>
      </c>
      <c r="BD47" s="20">
        <f t="shared" si="9"/>
        <v>0</v>
      </c>
      <c r="BE47" s="20">
        <f t="shared" si="9"/>
        <v>0</v>
      </c>
      <c r="BF47" s="20">
        <f t="shared" si="9"/>
        <v>0</v>
      </c>
      <c r="BG47" s="20">
        <f t="shared" si="9"/>
        <v>0</v>
      </c>
      <c r="BH47" s="20">
        <f t="shared" si="9"/>
        <v>0</v>
      </c>
      <c r="BI47" s="20">
        <f t="shared" si="9"/>
        <v>0</v>
      </c>
      <c r="BJ47" s="20">
        <f t="shared" si="9"/>
        <v>0</v>
      </c>
      <c r="BK47" s="20">
        <f t="shared" si="9"/>
        <v>0</v>
      </c>
      <c r="BL47" s="20">
        <f t="shared" si="9"/>
        <v>0</v>
      </c>
      <c r="BM47" s="20">
        <f t="shared" si="9"/>
        <v>0</v>
      </c>
      <c r="BN47" s="20">
        <f t="shared" si="9"/>
        <v>0</v>
      </c>
      <c r="BO47" s="20">
        <f t="shared" si="9"/>
        <v>0</v>
      </c>
      <c r="BP47" s="20">
        <f t="shared" si="9"/>
        <v>0</v>
      </c>
      <c r="BQ47" s="20">
        <f t="shared" si="9"/>
        <v>0</v>
      </c>
      <c r="BR47" s="20">
        <f t="shared" si="9"/>
        <v>0</v>
      </c>
      <c r="BS47" s="20">
        <f t="shared" si="9"/>
        <v>0</v>
      </c>
      <c r="BT47" s="20">
        <f t="shared" si="9"/>
        <v>0</v>
      </c>
      <c r="BU47" s="20">
        <f t="shared" si="9"/>
        <v>0</v>
      </c>
      <c r="BV47" s="20">
        <f t="shared" si="9"/>
        <v>0</v>
      </c>
      <c r="BW47" s="20">
        <f t="shared" si="9"/>
        <v>0</v>
      </c>
      <c r="BX47" s="20">
        <f t="shared" si="9"/>
        <v>0</v>
      </c>
      <c r="BY47" s="20">
        <f t="shared" si="9"/>
        <v>0</v>
      </c>
      <c r="BZ47" s="20">
        <f t="shared" si="9"/>
        <v>0</v>
      </c>
      <c r="CA47" s="20">
        <f t="shared" si="9"/>
        <v>0</v>
      </c>
      <c r="CB47" s="20">
        <f t="shared" si="9"/>
        <v>0</v>
      </c>
      <c r="CC47" s="20">
        <f t="shared" si="9"/>
        <v>0</v>
      </c>
      <c r="CD47" s="20">
        <f t="shared" si="9"/>
        <v>0</v>
      </c>
      <c r="CE47" s="20">
        <f t="shared" si="9"/>
        <v>0</v>
      </c>
      <c r="CF47" s="20">
        <f t="shared" si="9"/>
        <v>0</v>
      </c>
      <c r="CG47" s="20">
        <f t="shared" si="9"/>
        <v>0</v>
      </c>
      <c r="CH47" s="20">
        <f t="shared" si="9"/>
        <v>0</v>
      </c>
      <c r="CI47" s="20">
        <f t="shared" si="9"/>
        <v>0</v>
      </c>
      <c r="CJ47" s="20">
        <f t="shared" si="9"/>
        <v>0</v>
      </c>
      <c r="CK47" s="20">
        <f t="shared" si="9"/>
        <v>0</v>
      </c>
      <c r="CL47" s="20">
        <f t="shared" si="9"/>
        <v>0</v>
      </c>
      <c r="CM47" s="20">
        <f t="shared" si="9"/>
        <v>0</v>
      </c>
      <c r="CN47" s="20">
        <f t="shared" si="9"/>
        <v>0</v>
      </c>
      <c r="CO47" s="20">
        <f t="shared" si="9"/>
        <v>0</v>
      </c>
      <c r="CP47" s="20">
        <f t="shared" si="9"/>
        <v>0</v>
      </c>
      <c r="CQ47" s="20">
        <f t="shared" si="9"/>
        <v>0</v>
      </c>
      <c r="CR47" s="20">
        <f t="shared" si="9"/>
        <v>0</v>
      </c>
      <c r="CS47" s="20">
        <f t="shared" si="9"/>
        <v>0</v>
      </c>
      <c r="CT47" s="20">
        <f t="shared" si="9"/>
        <v>0</v>
      </c>
      <c r="CU47" s="20">
        <f t="shared" si="9"/>
        <v>0</v>
      </c>
    </row>
    <row r="48" spans="1:99" x14ac:dyDescent="0.25">
      <c r="A48" s="11" t="s">
        <v>184</v>
      </c>
      <c r="B48" s="11" t="s">
        <v>185</v>
      </c>
      <c r="C48" s="11" t="s">
        <v>5</v>
      </c>
      <c r="F48" s="43"/>
      <c r="G48" s="45">
        <f>SUM(F43:F47)</f>
        <v>2768976</v>
      </c>
      <c r="H48" s="3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spans="1:99" x14ac:dyDescent="0.25">
      <c r="A49" s="11" t="s">
        <v>184</v>
      </c>
      <c r="B49" s="11" t="s">
        <v>185</v>
      </c>
      <c r="C49" s="11" t="s">
        <v>90</v>
      </c>
      <c r="F49" s="43"/>
      <c r="G49" s="45">
        <f>-SUM(F2:F42)</f>
        <v>-3019691.0586359156</v>
      </c>
      <c r="H49" s="39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spans="1:99" x14ac:dyDescent="0.25">
      <c r="A50" s="11" t="s">
        <v>184</v>
      </c>
      <c r="B50" s="11" t="s">
        <v>185</v>
      </c>
      <c r="C50" s="11" t="s">
        <v>186</v>
      </c>
      <c r="F50" s="43"/>
      <c r="G50" s="45">
        <f>SUM(G48:G49)</f>
        <v>-250715.05863591563</v>
      </c>
      <c r="H50" s="39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spans="1:99" x14ac:dyDescent="0.25">
      <c r="A51" s="11" t="s">
        <v>184</v>
      </c>
      <c r="B51" s="11" t="s">
        <v>185</v>
      </c>
      <c r="C51" s="11" t="s">
        <v>187</v>
      </c>
      <c r="F51" s="43"/>
      <c r="G51" s="46">
        <f>G50/-G49</f>
        <v>-8.3026724842895375E-2</v>
      </c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spans="1:99" x14ac:dyDescent="0.25">
      <c r="A52" s="11" t="s">
        <v>184</v>
      </c>
      <c r="B52" s="11" t="s">
        <v>188</v>
      </c>
      <c r="C52" s="11" t="s">
        <v>189</v>
      </c>
      <c r="F52" s="43"/>
      <c r="G52" s="47"/>
      <c r="H52" s="40">
        <f>SUM(H2:H47)</f>
        <v>0</v>
      </c>
      <c r="I52" s="25">
        <f>SUM(I2:I47)</f>
        <v>-7018</v>
      </c>
      <c r="J52" s="25">
        <f>SUM(J2:J47)</f>
        <v>0</v>
      </c>
      <c r="K52" s="25">
        <f>SUM(K2:K47)</f>
        <v>-9368.1069684400009</v>
      </c>
      <c r="L52" s="25">
        <f>SUM(L2:L47)</f>
        <v>0</v>
      </c>
      <c r="M52" s="25">
        <f>SUM(M2:M47)</f>
        <v>-56740.5441639696</v>
      </c>
      <c r="N52" s="25">
        <f>SUM(N2:N47)</f>
        <v>-316.46160000000003</v>
      </c>
      <c r="O52" s="25">
        <f>SUM(O2:O47)</f>
        <v>0</v>
      </c>
      <c r="P52" s="25">
        <f>SUM(P2:P47)</f>
        <v>-90567.724070834389</v>
      </c>
      <c r="Q52" s="25">
        <f>SUM(Q2:Q47)</f>
        <v>-20105.910040000002</v>
      </c>
      <c r="R52" s="25">
        <f>SUM(R2:R47)</f>
        <v>-2471.1069684399999</v>
      </c>
      <c r="S52" s="25">
        <f>SUM(S2:S47)</f>
        <v>0</v>
      </c>
      <c r="T52" s="25">
        <f>SUM(T2:T47)</f>
        <v>-80423.64016000001</v>
      </c>
      <c r="U52" s="25">
        <f>SUM(U2:U47)</f>
        <v>0</v>
      </c>
      <c r="V52" s="25">
        <f>SUM(V2:V47)</f>
        <v>0</v>
      </c>
      <c r="W52" s="25">
        <f>SUM(W2:W47)</f>
        <v>-16077.58478491497</v>
      </c>
      <c r="X52" s="25">
        <f>SUM(X2:X47)</f>
        <v>-27982.527432951334</v>
      </c>
      <c r="Y52" s="25">
        <f>SUM(Y2:Y47)</f>
        <v>-45027.541766604918</v>
      </c>
      <c r="Z52" s="25">
        <f>SUM(Z2:Z47)</f>
        <v>-38897.194380837056</v>
      </c>
      <c r="AA52" s="25">
        <f>SUM(AA2:AA47)</f>
        <v>-54221.850728220874</v>
      </c>
      <c r="AB52" s="25">
        <f>SUM(AB2:AB47)</f>
        <v>-91790.051144552126</v>
      </c>
      <c r="AC52" s="25">
        <f>SUM(AC2:AC47)</f>
        <v>-87247.576930084775</v>
      </c>
      <c r="AD52" s="25">
        <f>SUM(AD2:AD47)</f>
        <v>-98592.655868182104</v>
      </c>
      <c r="AE52" s="25">
        <f>SUM(AE2:AE47)</f>
        <v>-195352.76681914655</v>
      </c>
      <c r="AF52" s="25">
        <f>SUM(AF2:AF47)</f>
        <v>-237549.02760404834</v>
      </c>
      <c r="AG52" s="25">
        <f>SUM(AG2:AG47)</f>
        <v>-201383.08205775387</v>
      </c>
      <c r="AH52" s="25">
        <f>SUM(AH2:AH47)</f>
        <v>-292489.62221075315</v>
      </c>
      <c r="AI52" s="25">
        <f>SUM(AI2:AI47)</f>
        <v>-307018.76913498662</v>
      </c>
      <c r="AJ52" s="25">
        <f>SUM(AJ2:AJ47)</f>
        <v>-378213.52256967104</v>
      </c>
      <c r="AK52" s="25">
        <f>SUM(AK2:AK47)</f>
        <v>-236482.87004232506</v>
      </c>
      <c r="AL52" s="25">
        <f>SUM(AL2:AL47)</f>
        <v>-230529.99393019342</v>
      </c>
      <c r="AM52" s="25">
        <f>SUM(AM2:AM47)</f>
        <v>-58359.480002871227</v>
      </c>
      <c r="AN52" s="25">
        <f>SUM(AN2:AN47)</f>
        <v>1072056.4322819482</v>
      </c>
      <c r="AO52" s="25">
        <f>SUM(AO2:AO47)</f>
        <v>43.188373062214851</v>
      </c>
      <c r="AP52" s="25">
        <f>SUM(AP2:AP47)</f>
        <v>112.52419095649293</v>
      </c>
      <c r="AQ52" s="25">
        <f>SUM(AQ2:AQ47)</f>
        <v>182.0622383196287</v>
      </c>
      <c r="AR52" s="25">
        <f>SUM(AR2:AR47)</f>
        <v>251.80310498757353</v>
      </c>
      <c r="AS52" s="25">
        <f>SUM(AS2:AS47)</f>
        <v>321.74738251663348</v>
      </c>
      <c r="AT52" s="25">
        <f>SUM(AT2:AT47)</f>
        <v>391.89566418848699</v>
      </c>
      <c r="AU52" s="25">
        <f>SUM(AU2:AU47)</f>
        <v>462.24854501521577</v>
      </c>
      <c r="AV52" s="25">
        <f>SUM(AV2:AV47)</f>
        <v>532.80662174435656</v>
      </c>
      <c r="AW52" s="25">
        <f>SUM(AW2:AW47)</f>
        <v>603.57049286395659</v>
      </c>
      <c r="AX52" s="25">
        <f>SUM(AX2:AX47)</f>
        <v>674.5407586076567</v>
      </c>
      <c r="AY52" s="25">
        <f>SUM(AY2:AY47)</f>
        <v>745.71802095977546</v>
      </c>
      <c r="AZ52" s="25">
        <f>SUM(AZ2:AZ47)</f>
        <v>817.1028836604205</v>
      </c>
      <c r="BA52" s="25">
        <f>SUM(BA2:BA47)</f>
        <v>888.69595221060945</v>
      </c>
      <c r="BB52" s="25">
        <f>SUM(BB2:BB47)</f>
        <v>960.49783387740354</v>
      </c>
      <c r="BC52" s="25">
        <f>SUM(BC2:BC47)</f>
        <v>1032.5091376990595</v>
      </c>
      <c r="BD52" s="25">
        <f>SUM(BD2:BD47)</f>
        <v>1104.7304744901944</v>
      </c>
      <c r="BE52" s="25">
        <f>SUM(BE2:BE47)</f>
        <v>1177.1624568469697</v>
      </c>
      <c r="BF52" s="25">
        <f>SUM(BF2:BF47)</f>
        <v>1249.8056991522867</v>
      </c>
      <c r="BG52" s="25">
        <f>SUM(BG2:BG47)</f>
        <v>1322.6608175809938</v>
      </c>
      <c r="BH52" s="25">
        <f>SUM(BH2:BH47)</f>
        <v>1395.7284301051182</v>
      </c>
      <c r="BI52" s="25">
        <f>SUM(BI2:BI47)</f>
        <v>1469.0091564991044</v>
      </c>
      <c r="BJ52" s="25">
        <f>SUM(BJ2:BJ47)</f>
        <v>1542.5036183450729</v>
      </c>
      <c r="BK52" s="25">
        <f>SUM(BK2:BK47)</f>
        <v>1616.2124390380923</v>
      </c>
      <c r="BL52" s="25">
        <f>SUM(BL2:BL47)</f>
        <v>1690.1362437914659</v>
      </c>
      <c r="BM52" s="25">
        <f>SUM(BM2:BM47)</f>
        <v>1764.2756596420372</v>
      </c>
      <c r="BN52" s="25">
        <f>SUM(BN2:BN47)</f>
        <v>1838.6313154555064</v>
      </c>
      <c r="BO52" s="25">
        <f>SUM(BO2:BO47)</f>
        <v>1913.2038419317641</v>
      </c>
      <c r="BP52" s="25">
        <f>SUM(BP2:BP47)</f>
        <v>1987.9938716102442</v>
      </c>
      <c r="BQ52" s="25">
        <f>SUM(BQ2:BQ47)</f>
        <v>2063.0020388752873</v>
      </c>
      <c r="BR52" s="25">
        <f>SUM(BR2:BR47)</f>
        <v>2138.2289799615201</v>
      </c>
      <c r="BS52" s="25">
        <f>SUM(BS2:BS47)</f>
        <v>2213.6753329592539</v>
      </c>
      <c r="BT52" s="25">
        <f>SUM(BT2:BT47)</f>
        <v>2289.3417378198983</v>
      </c>
      <c r="BU52" s="25">
        <f>SUM(BU2:BU47)</f>
        <v>2365.2288363613852</v>
      </c>
      <c r="BV52" s="25">
        <f>SUM(BV2:BV47)</f>
        <v>2441.337272273619</v>
      </c>
      <c r="BW52" s="25">
        <f>SUM(BW2:BW47)</f>
        <v>2517.6676911239301</v>
      </c>
      <c r="BX52" s="25">
        <f>SUM(BX2:BX47)</f>
        <v>2594.2207403625544</v>
      </c>
      <c r="BY52" s="25">
        <f>SUM(BY2:BY47)</f>
        <v>2670.9970693281248</v>
      </c>
      <c r="BZ52" s="25">
        <f>SUM(BZ2:BZ47)</f>
        <v>2747.9973292531781</v>
      </c>
      <c r="CA52" s="25">
        <f>SUM(CA2:CA47)</f>
        <v>2825.2221732696794</v>
      </c>
      <c r="CB52" s="25">
        <f>SUM(CB2:CB47)</f>
        <v>2902.6722564145621</v>
      </c>
      <c r="CC52" s="25">
        <f>SUM(CC2:CC47)</f>
        <v>2980.3482356352843</v>
      </c>
      <c r="CD52" s="25">
        <f>SUM(CD2:CD47)</f>
        <v>3058.2507697953997</v>
      </c>
      <c r="CE52" s="25">
        <f>SUM(CE2:CE47)</f>
        <v>3136.3805196801495</v>
      </c>
      <c r="CF52" s="25">
        <f>SUM(CF2:CF47)</f>
        <v>3214.7381480020631</v>
      </c>
      <c r="CG52" s="25">
        <f>SUM(CG2:CG47)</f>
        <v>3293.3243194065817</v>
      </c>
      <c r="CH52" s="25">
        <f>SUM(CH2:CH47)</f>
        <v>3372.1397004776973</v>
      </c>
      <c r="CI52" s="25">
        <f>SUM(CI2:CI47)</f>
        <v>3451.184959743603</v>
      </c>
      <c r="CJ52" s="25">
        <f>SUM(CJ2:CJ47)</f>
        <v>3530.460767682368</v>
      </c>
      <c r="CK52" s="25">
        <f>SUM(CK2:CK47)</f>
        <v>3609.9677967276211</v>
      </c>
      <c r="CL52" s="25">
        <f>SUM(CL2:CL47)</f>
        <v>3689.7067212742563</v>
      </c>
      <c r="CM52" s="25">
        <f>SUM(CM2:CM47)</f>
        <v>3769.6782176841525</v>
      </c>
      <c r="CN52" s="25">
        <f>SUM(CN2:CN47)</f>
        <v>3849.8829642919109</v>
      </c>
      <c r="CO52" s="25">
        <f>SUM(CO2:CO47)</f>
        <v>3930.3216414106082</v>
      </c>
      <c r="CP52" s="25">
        <f>SUM(CP2:CP47)</f>
        <v>4010.9949313375691</v>
      </c>
      <c r="CQ52" s="25">
        <f>SUM(CQ2:CQ47)</f>
        <v>4091.90351836015</v>
      </c>
      <c r="CR52" s="25">
        <f>SUM(CR2:CR47)</f>
        <v>4173.0480887615468</v>
      </c>
      <c r="CS52" s="25">
        <f>SUM(CS2:CS47)</f>
        <v>4254.4293308266142</v>
      </c>
      <c r="CT52" s="25">
        <f>SUM(CT2:CT47)</f>
        <v>4336.0479348477047</v>
      </c>
      <c r="CU52" s="25">
        <f>SUM(CU2:CU47)</f>
        <v>1417840.7442660825</v>
      </c>
    </row>
    <row r="53" spans="1:99" x14ac:dyDescent="0.25">
      <c r="A53" s="11" t="s">
        <v>184</v>
      </c>
      <c r="B53" s="11" t="s">
        <v>188</v>
      </c>
      <c r="C53" s="11" t="s">
        <v>190</v>
      </c>
      <c r="F53" s="43"/>
      <c r="G53" s="46">
        <f>SUM(H52:CU52)</f>
        <v>-250715.06958264438</v>
      </c>
      <c r="H53" s="28">
        <f>SUM(H52:R52)</f>
        <v>-186587.85381168401</v>
      </c>
      <c r="I53" s="28"/>
      <c r="J53" s="28"/>
      <c r="K53" s="28"/>
      <c r="L53" s="28"/>
      <c r="M53" s="28"/>
      <c r="N53" s="28"/>
      <c r="O53" s="28"/>
      <c r="P53" s="28"/>
      <c r="Q53" s="28"/>
      <c r="R53" s="29"/>
      <c r="S53" s="27">
        <f>SUM(S52:AD52)</f>
        <v>-540260.6231963482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9"/>
      <c r="AE53" s="27">
        <f>SUM(AE52:AP52)</f>
        <v>-1065166.9895257822</v>
      </c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27">
        <f>SUM(AQ52:BB52)</f>
        <v>6832.6894989517168</v>
      </c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9"/>
      <c r="BC53" s="27">
        <f>SUM(BC52:BN52)</f>
        <v>17203.365448645898</v>
      </c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9"/>
      <c r="BO53" s="27">
        <f>SUM(BO52:BZ52)</f>
        <v>27942.89474186076</v>
      </c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9"/>
      <c r="CA53" s="27">
        <f>SUM(CA52:CL52)</f>
        <v>39064.396368109257</v>
      </c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9"/>
      <c r="CM53" s="27">
        <f>SUM(CM52:CU52)</f>
        <v>1450257.0508936029</v>
      </c>
      <c r="CN53" s="28"/>
      <c r="CO53" s="28"/>
      <c r="CP53" s="28"/>
      <c r="CQ53" s="28"/>
      <c r="CR53" s="28"/>
      <c r="CS53" s="28"/>
      <c r="CT53" s="28"/>
      <c r="CU53" s="29"/>
    </row>
    <row r="54" spans="1:99" x14ac:dyDescent="0.25">
      <c r="A54" s="11" t="s">
        <v>184</v>
      </c>
      <c r="B54" s="11" t="s">
        <v>191</v>
      </c>
      <c r="C54" s="11" t="s">
        <v>192</v>
      </c>
      <c r="F54" s="43"/>
      <c r="G54" s="45">
        <v>0.06</v>
      </c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spans="1:99" x14ac:dyDescent="0.25">
      <c r="A55" s="11" t="s">
        <v>184</v>
      </c>
      <c r="B55" s="11" t="s">
        <v>191</v>
      </c>
      <c r="C55" s="11" t="s">
        <v>91</v>
      </c>
      <c r="F55" s="43"/>
      <c r="G55" s="45">
        <f xml:space="preserve"> (1+G54)^(1/12)-1</f>
        <v>4.8675505653430484E-3</v>
      </c>
      <c r="H55" s="39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spans="1:99" x14ac:dyDescent="0.25">
      <c r="A56" s="11" t="s">
        <v>184</v>
      </c>
      <c r="B56" s="11" t="s">
        <v>191</v>
      </c>
      <c r="C56" s="11" t="s">
        <v>92</v>
      </c>
      <c r="F56" s="43"/>
      <c r="G56" s="45">
        <v>5.0000000000000001E-4</v>
      </c>
      <c r="H56" s="39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spans="1:99" x14ac:dyDescent="0.25">
      <c r="A57" s="11" t="s">
        <v>184</v>
      </c>
      <c r="B57" s="11" t="s">
        <v>193</v>
      </c>
      <c r="C57" s="11" t="s">
        <v>93</v>
      </c>
      <c r="F57" s="43"/>
      <c r="G57" s="45">
        <f>NPV(G55,Q52:CU52)+SUM(H52:P52)</f>
        <v>-658205.3723546192</v>
      </c>
      <c r="H57" s="4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</row>
    <row r="58" spans="1:99" x14ac:dyDescent="0.25">
      <c r="A58" s="11" t="s">
        <v>184</v>
      </c>
      <c r="B58" s="11" t="s">
        <v>193</v>
      </c>
      <c r="C58" s="11" t="s">
        <v>94</v>
      </c>
      <c r="F58" s="43"/>
      <c r="G58" s="45">
        <f>CU58</f>
        <v>5.736397648519187E-4</v>
      </c>
      <c r="H58" s="40"/>
      <c r="I58" s="25">
        <f>MIRR(H52:I52,G56,G55)</f>
        <v>-1</v>
      </c>
      <c r="J58" s="25">
        <f>MIRR($H$52:J52,$G$56,$G$55)</f>
        <v>-1</v>
      </c>
      <c r="K58" s="25">
        <f>MIRR($H$52:K52,$G$56,$G$55)</f>
        <v>-1</v>
      </c>
      <c r="L58" s="25">
        <f>MIRR($H$52:L52,$G$56,$G$55)</f>
        <v>-1</v>
      </c>
      <c r="M58" s="25">
        <f>MIRR($H$52:M52,$G$56,$G$55)</f>
        <v>-1</v>
      </c>
      <c r="N58" s="25">
        <f>MIRR($H$52:N52,$G$56,$G$55)</f>
        <v>-1</v>
      </c>
      <c r="O58" s="25">
        <f>MIRR($H$52:O52,$G$56,$G$55)</f>
        <v>-1</v>
      </c>
      <c r="P58" s="25">
        <f>MIRR($H$52:P52,$G$56,$G$55)</f>
        <v>-1</v>
      </c>
      <c r="Q58" s="25">
        <f>MIRR($H$52:Q52,$G$56,$G$55)</f>
        <v>-1</v>
      </c>
      <c r="R58" s="25">
        <f>MIRR($H$52:R52,$G$56,$G$55)</f>
        <v>-1</v>
      </c>
      <c r="S58" s="25">
        <f>MIRR($H$52:S52,$G$56,$G$55)</f>
        <v>-1</v>
      </c>
      <c r="T58" s="25">
        <f>MIRR($H$52:T52,$G$56,$G$55)</f>
        <v>-1</v>
      </c>
      <c r="U58" s="25">
        <f>MIRR($H$52:U52,$G$56,$G$55)</f>
        <v>-1</v>
      </c>
      <c r="V58" s="25">
        <f>MIRR($H$52:V52,$G$56,$G$55)</f>
        <v>-1</v>
      </c>
      <c r="W58" s="25">
        <f>MIRR($H$52:W52,$G$56,$G$55)</f>
        <v>-1</v>
      </c>
      <c r="X58" s="25">
        <f>MIRR($H$52:X52,$G$56,$G$55)</f>
        <v>-1</v>
      </c>
      <c r="Y58" s="25">
        <f>MIRR($H$52:Y52,$G$56,$G$55)</f>
        <v>-1</v>
      </c>
      <c r="Z58" s="25">
        <f>MIRR($H$52:Z52,$G$56,$G$55)</f>
        <v>-1</v>
      </c>
      <c r="AA58" s="25">
        <f>MIRR($H$52:AA52,$G$56,$G$55)</f>
        <v>-1</v>
      </c>
      <c r="AB58" s="25">
        <f>MIRR($H$52:AB52,$G$56,$G$55)</f>
        <v>-1</v>
      </c>
      <c r="AC58" s="25">
        <f>MIRR($H$52:AC52,$G$56,$G$55)</f>
        <v>-1</v>
      </c>
      <c r="AD58" s="25">
        <f>MIRR($H$52:AD52,$G$56,$G$55)</f>
        <v>-1</v>
      </c>
      <c r="AE58" s="25">
        <f>MIRR($H$52:AE52,$G$56,$G$55)</f>
        <v>-1</v>
      </c>
      <c r="AF58" s="25">
        <f>MIRR($H$52:AF52,$G$56,$G$55)</f>
        <v>-1</v>
      </c>
      <c r="AG58" s="25">
        <f>MIRR($H$52:AG52,$G$56,$G$55)</f>
        <v>-1</v>
      </c>
      <c r="AH58" s="25">
        <f>MIRR($H$52:AH52,$G$56,$G$55)</f>
        <v>-1</v>
      </c>
      <c r="AI58" s="25">
        <f>MIRR($H$52:AI52,$G$56,$G$55)</f>
        <v>-1</v>
      </c>
      <c r="AJ58" s="25">
        <f>MIRR($H$52:AJ52,$G$56,$G$55)</f>
        <v>-1</v>
      </c>
      <c r="AK58" s="25">
        <f>MIRR($H$52:AK52,$G$56,$G$55)</f>
        <v>-1</v>
      </c>
      <c r="AL58" s="25">
        <f>MIRR($H$52:AL52,$G$56,$G$55)</f>
        <v>-1</v>
      </c>
      <c r="AM58" s="25">
        <f>MIRR($H$52:AM52,$G$56,$G$55)</f>
        <v>-1</v>
      </c>
      <c r="AN58" s="25">
        <f>MIRR($H$52:AN52,$G$56,$G$55)</f>
        <v>-2.9880841717240259E-2</v>
      </c>
      <c r="AO58" s="25">
        <f>MIRR($H$52:AO52,$G$56,$G$55)</f>
        <v>-2.8844548150887994E-2</v>
      </c>
      <c r="AP58" s="25">
        <f>MIRR($H$52:AP52,$G$56,$G$55)</f>
        <v>-2.7866376291635908E-2</v>
      </c>
      <c r="AQ58" s="25">
        <f>MIRR($H$52:AQ52,$G$56,$G$55)</f>
        <v>-2.694143512630609E-2</v>
      </c>
      <c r="AR58" s="25">
        <f>MIRR($H$52:AR52,$G$56,$G$55)</f>
        <v>-2.6065369012566397E-2</v>
      </c>
      <c r="AS58" s="25">
        <f>MIRR($H$52:AS52,$G$56,$G$55)</f>
        <v>-2.5234286410049767E-2</v>
      </c>
      <c r="AT58" s="25">
        <f>MIRR($H$52:AT52,$G$56,$G$55)</f>
        <v>-2.4444699699023409E-2</v>
      </c>
      <c r="AU58" s="25">
        <f>MIRR($H$52:AU52,$G$56,$G$55)</f>
        <v>-2.3693474125188296E-2</v>
      </c>
      <c r="AV58" s="25">
        <f>MIRR($H$52:AV52,$G$56,$G$55)</f>
        <v>-2.2977784295938997E-2</v>
      </c>
      <c r="AW58" s="25">
        <f>MIRR($H$52:AW52,$G$56,$G$55)</f>
        <v>-2.2295076956441617E-2</v>
      </c>
      <c r="AX58" s="25">
        <f>MIRR($H$52:AX52,$G$56,$G$55)</f>
        <v>-2.1643039012856469E-2</v>
      </c>
      <c r="AY58" s="25">
        <f>MIRR($H$52:AY52,$G$56,$G$55)</f>
        <v>-2.1019569959643603E-2</v>
      </c>
      <c r="AZ58" s="25">
        <f>MIRR($H$52:AZ52,$G$56,$G$55)</f>
        <v>-2.0422758019213783E-2</v>
      </c>
      <c r="BA58" s="25">
        <f>MIRR($H$52:BA52,$G$56,$G$55)</f>
        <v>-1.9850859423629186E-2</v>
      </c>
      <c r="BB58" s="25">
        <f>MIRR($H$52:BB52,$G$56,$G$55)</f>
        <v>-1.9302280366026325E-2</v>
      </c>
      <c r="BC58" s="25">
        <f>MIRR($H$52:BC52,$G$56,$G$55)</f>
        <v>-1.8775561228874138E-2</v>
      </c>
      <c r="BD58" s="25">
        <f>MIRR($H$52:BD52,$G$56,$G$55)</f>
        <v>-1.8269362760892194E-2</v>
      </c>
      <c r="BE58" s="25">
        <f>MIRR($H$52:BE52,$G$56,$G$55)</f>
        <v>-1.7782453927425057E-2</v>
      </c>
      <c r="BF58" s="25">
        <f>MIRR($H$52:BF52,$G$56,$G$55)</f>
        <v>-1.7313701202604115E-2</v>
      </c>
      <c r="BG58" s="25">
        <f>MIRR($H$52:BG52,$G$56,$G$55)</f>
        <v>-1.686205910757288E-2</v>
      </c>
      <c r="BH58" s="25">
        <f>MIRR($H$52:BH52,$G$56,$G$55)</f>
        <v>-1.6426561828837283E-2</v>
      </c>
      <c r="BI58" s="25">
        <f>MIRR($H$52:BI52,$G$56,$G$55)</f>
        <v>-1.6006315775585533E-2</v>
      </c>
      <c r="BJ58" s="25">
        <f>MIRR($H$52:BJ52,$G$56,$G$55)</f>
        <v>-1.5600492955518908E-2</v>
      </c>
      <c r="BK58" s="25">
        <f>MIRR($H$52:BK52,$G$56,$G$55)</f>
        <v>-1.5208325066076167E-2</v>
      </c>
      <c r="BL58" s="25">
        <f>MIRR($H$52:BL52,$G$56,$G$55)</f>
        <v>-1.4829098212519431E-2</v>
      </c>
      <c r="BM58" s="25">
        <f>MIRR($H$52:BM52,$G$56,$G$55)</f>
        <v>-1.4462148176653922E-2</v>
      </c>
      <c r="BN58" s="25">
        <f>MIRR($H$52:BN52,$G$56,$G$55)</f>
        <v>-1.4106856170364335E-2</v>
      </c>
      <c r="BO58" s="25">
        <f>MIRR($H$52:BO52,$G$56,$G$55)</f>
        <v>-1.3762645016993869E-2</v>
      </c>
      <c r="BP58" s="25">
        <f>MIRR($H$52:BP52,$G$56,$G$55)</f>
        <v>-1.3428975711114233E-2</v>
      </c>
      <c r="BQ58" s="25">
        <f>MIRR($H$52:BQ52,$G$56,$G$55)</f>
        <v>-1.3105344313664946E-2</v>
      </c>
      <c r="BR58" s="25">
        <f>MIRR($H$52:BR52,$G$56,$G$55)</f>
        <v>-1.2791279144937051E-2</v>
      </c>
      <c r="BS58" s="25">
        <f>MIRR($H$52:BS52,$G$56,$G$55)</f>
        <v>-1.2486338242603479E-2</v>
      </c>
      <c r="BT58" s="25">
        <f>MIRR($H$52:BT52,$G$56,$G$55)</f>
        <v>-1.2190107056058608E-2</v>
      </c>
      <c r="BU58" s="25">
        <f>MIRR($H$52:BU52,$G$56,$G$55)</f>
        <v>-1.1902196351839422E-2</v>
      </c>
      <c r="BV58" s="25">
        <f>MIRR($H$52:BV52,$G$56,$G$55)</f>
        <v>-1.162224030792891E-2</v>
      </c>
      <c r="BW58" s="25">
        <f>MIRR($H$52:BW52,$G$56,$G$55)</f>
        <v>-1.134989477737447E-2</v>
      </c>
      <c r="BX58" s="25">
        <f>MIRR($H$52:BX52,$G$56,$G$55)</f>
        <v>-1.1084835703935592E-2</v>
      </c>
      <c r="BY58" s="25">
        <f>MIRR($H$52:BY52,$G$56,$G$55)</f>
        <v>-1.0826757674461174E-2</v>
      </c>
      <c r="BZ58" s="25">
        <f>MIRR($H$52:BZ52,$G$56,$G$55)</f>
        <v>-1.0575372594436083E-2</v>
      </c>
      <c r="CA58" s="25">
        <f>MIRR($H$52:CA52,$G$56,$G$55)</f>
        <v>-1.0330408474646835E-2</v>
      </c>
      <c r="CB58" s="25">
        <f>MIRR($H$52:CB52,$G$56,$G$55)</f>
        <v>-1.0091608318248957E-2</v>
      </c>
      <c r="CC58" s="25">
        <f>MIRR($H$52:CC52,$G$56,$G$55)</f>
        <v>-9.8587290986821285E-3</v>
      </c>
      <c r="CD58" s="25">
        <f>MIRR($H$52:CD52,$G$56,$G$55)</f>
        <v>-9.6315408199045827E-3</v>
      </c>
      <c r="CE58" s="25">
        <f>MIRR($H$52:CE52,$G$56,$G$55)</f>
        <v>-9.4098256513207579E-3</v>
      </c>
      <c r="CF58" s="25">
        <f>MIRR($H$52:CF52,$G$56,$G$55)</f>
        <v>-9.1933771305747758E-3</v>
      </c>
      <c r="CG58" s="25">
        <f>MIRR($H$52:CG52,$G$56,$G$55)</f>
        <v>-8.9819994280823101E-3</v>
      </c>
      <c r="CH58" s="25">
        <f>MIRR($H$52:CH52,$G$56,$G$55)</f>
        <v>-8.7755066678034677E-3</v>
      </c>
      <c r="CI58" s="25">
        <f>MIRR($H$52:CI52,$G$56,$G$55)</f>
        <v>-8.5737222993053086E-3</v>
      </c>
      <c r="CJ58" s="25">
        <f>MIRR($H$52:CJ52,$G$56,$G$55)</f>
        <v>-8.3764785166600131E-3</v>
      </c>
      <c r="CK58" s="25">
        <f>MIRR($H$52:CK52,$G$56,$G$55)</f>
        <v>-8.1836157201571336E-3</v>
      </c>
      <c r="CL58" s="25">
        <f>MIRR($H$52:CL52,$G$56,$G$55)</f>
        <v>-7.9949820172013908E-3</v>
      </c>
      <c r="CM58" s="25">
        <f>MIRR($H$52:CM52,$G$56,$G$55)</f>
        <v>-7.8104327591115297E-3</v>
      </c>
      <c r="CN58" s="25">
        <f>MIRR($H$52:CN52,$G$56,$G$55)</f>
        <v>-7.6298301108503885E-3</v>
      </c>
      <c r="CO58" s="25">
        <f>MIRR($H$52:CO52,$G$56,$G$55)</f>
        <v>-7.4530426509890058E-3</v>
      </c>
      <c r="CP58" s="25">
        <f>MIRR($H$52:CP52,$G$56,$G$55)</f>
        <v>-7.2799449994623844E-3</v>
      </c>
      <c r="CQ58" s="25">
        <f>MIRR($H$52:CQ52,$G$56,$G$55)</f>
        <v>-7.1104174708922496E-3</v>
      </c>
      <c r="CR58" s="25">
        <f>MIRR($H$52:CR52,$G$56,$G$55)</f>
        <v>-6.9443457514568596E-3</v>
      </c>
      <c r="CS58" s="25">
        <f>MIRR($H$52:CS52,$G$56,$G$55)</f>
        <v>-6.7816205974674526E-3</v>
      </c>
      <c r="CT58" s="25">
        <f>MIRR($H$52:CT52,$G$56,$G$55)</f>
        <v>-6.6221375539714522E-3</v>
      </c>
      <c r="CU58" s="25">
        <f>MIRR($H$52:CU52,$G$56,$G$55)</f>
        <v>5.736397648519187E-4</v>
      </c>
    </row>
    <row r="59" spans="1:99" x14ac:dyDescent="0.25">
      <c r="F59" s="44"/>
      <c r="G59" s="45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55" priority="9" stopIfTrue="1" operator="equal">
      <formula>#REF!</formula>
    </cfRule>
  </conditionalFormatting>
  <conditionalFormatting sqref="Y19:AF19 Y22:AF22 AH19:AI19 AH22:AI22 AK19:AL19 AK22:AL22 AN22:AO22 H33:V39 W33:CU36 W38:BC38 W39:CU39 N24:R24 H23:M24 N23:CU23 H16:W17 Y16:CU16 X17:CU17 H6:W12 Y7:AM7 X8:AM8 X6:AM6 Z9:AM9 AN6:CU9 X9:Y12 Z10:CU12 H40:CU45 H2:CU5 H13:CU15 H18:H22 AQ22:CU22 H25:CU32 K22:R22 K18:K21 Z18:AM18 Z21:AM21 X20:AM20 AT18:CU21 H46:AM46">
    <cfRule type="cellIs" dxfId="54" priority="11" stopIfTrue="1" operator="equal">
      <formula>#REF!</formula>
    </cfRule>
  </conditionalFormatting>
  <conditionalFormatting sqref="X7 X16 X19 S22:X22 W37:CU37 S24:CU24">
    <cfRule type="cellIs" dxfId="53" priority="10" stopIfTrue="1" operator="equal">
      <formula>#REF!</formula>
    </cfRule>
  </conditionalFormatting>
  <conditionalFormatting sqref="H47:CU47">
    <cfRule type="cellIs" dxfId="52" priority="8" stopIfTrue="1" operator="equal">
      <formula>#REF!</formula>
    </cfRule>
  </conditionalFormatting>
  <conditionalFormatting sqref="I18:J22">
    <cfRule type="cellIs" dxfId="51" priority="7" stopIfTrue="1" operator="equal">
      <formula>#REF!</formula>
    </cfRule>
  </conditionalFormatting>
  <conditionalFormatting sqref="L18:Q21">
    <cfRule type="cellIs" dxfId="50" priority="6" stopIfTrue="1" operator="equal">
      <formula>#REF!</formula>
    </cfRule>
  </conditionalFormatting>
  <conditionalFormatting sqref="R18:W21">
    <cfRule type="cellIs" dxfId="49" priority="5" stopIfTrue="1" operator="equal">
      <formula>#REF!</formula>
    </cfRule>
  </conditionalFormatting>
  <conditionalFormatting sqref="X18:Y18">
    <cfRule type="cellIs" dxfId="48" priority="4" stopIfTrue="1" operator="equal">
      <formula>#REF!</formula>
    </cfRule>
  </conditionalFormatting>
  <conditionalFormatting sqref="X21:Y21">
    <cfRule type="cellIs" dxfId="47" priority="3" stopIfTrue="1" operator="equal">
      <formula>#REF!</formula>
    </cfRule>
  </conditionalFormatting>
  <conditionalFormatting sqref="AN18:AS21">
    <cfRule type="cellIs" dxfId="46" priority="2" stopIfTrue="1" operator="equal">
      <formula>#REF!</formula>
    </cfRule>
  </conditionalFormatting>
  <conditionalFormatting sqref="AN46:CU46">
    <cfRule type="cellIs" dxfId="45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4E73-DEB8-4E80-8A5D-F5DB3146AAC2}">
  <sheetPr codeName="Hoja3"/>
  <dimension ref="A1:CU59"/>
  <sheetViews>
    <sheetView zoomScale="85" zoomScaleNormal="85" workbookViewId="0">
      <pane xSplit="7" ySplit="1" topLeftCell="H2" activePane="bottomRight" state="frozen"/>
      <selection pane="topRight" activeCell="J1" sqref="J1"/>
      <selection pane="bottomLeft" activeCell="A9" sqref="A9"/>
      <selection pane="bottomRight" activeCell="D1" sqref="D1:F1"/>
    </sheetView>
  </sheetViews>
  <sheetFormatPr baseColWidth="10" defaultColWidth="10.7109375" defaultRowHeight="15" x14ac:dyDescent="0.25"/>
  <cols>
    <col min="1" max="2" width="10.7109375" style="11"/>
    <col min="3" max="3" width="58.5703125" style="11" bestFit="1" customWidth="1"/>
    <col min="4" max="4" width="10.7109375" style="37"/>
    <col min="5" max="5" width="14" style="11" customWidth="1"/>
    <col min="6" max="6" width="18" style="11" customWidth="1"/>
    <col min="7" max="7" width="18.28515625" style="34" bestFit="1" customWidth="1"/>
    <col min="8" max="15" width="10.7109375" style="34"/>
    <col min="16" max="16" width="11.42578125" style="34" bestFit="1" customWidth="1"/>
    <col min="17" max="19" width="10.7109375" style="34"/>
    <col min="20" max="20" width="11.42578125" style="34" bestFit="1" customWidth="1"/>
    <col min="21" max="23" width="10.7109375" style="34"/>
    <col min="24" max="25" width="11.42578125" style="34" bestFit="1" customWidth="1"/>
    <col min="26" max="27" width="10.7109375" style="34"/>
    <col min="28" max="39" width="11.42578125" style="34" bestFit="1" customWidth="1"/>
    <col min="40" max="40" width="12.28515625" style="34" bestFit="1" customWidth="1"/>
    <col min="41" max="55" width="10.7109375" style="34"/>
    <col min="56" max="99" width="10.7109375" style="11"/>
    <col min="100" max="100" width="12.85546875" style="11" bestFit="1" customWidth="1"/>
    <col min="101" max="16384" width="10.7109375" style="11"/>
  </cols>
  <sheetData>
    <row r="1" spans="1:99" x14ac:dyDescent="0.25">
      <c r="A1" s="10" t="s">
        <v>159</v>
      </c>
      <c r="B1" s="10" t="s">
        <v>160</v>
      </c>
      <c r="C1" s="10" t="s">
        <v>161</v>
      </c>
      <c r="D1" s="12" t="s">
        <v>187</v>
      </c>
      <c r="E1" s="13" t="s">
        <v>194</v>
      </c>
      <c r="F1" s="13" t="s">
        <v>195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4" t="s">
        <v>62</v>
      </c>
      <c r="AC1" s="14" t="s">
        <v>63</v>
      </c>
      <c r="AD1" s="14" t="s">
        <v>64</v>
      </c>
      <c r="AE1" s="14" t="s">
        <v>65</v>
      </c>
      <c r="AF1" s="14" t="s">
        <v>66</v>
      </c>
      <c r="AG1" s="14" t="s">
        <v>67</v>
      </c>
      <c r="AH1" s="14" t="s">
        <v>68</v>
      </c>
      <c r="AI1" s="14" t="s">
        <v>69</v>
      </c>
      <c r="AJ1" s="14" t="s">
        <v>70</v>
      </c>
      <c r="AK1" s="14" t="s">
        <v>71</v>
      </c>
      <c r="AL1" s="14" t="s">
        <v>72</v>
      </c>
      <c r="AM1" s="14" t="s">
        <v>73</v>
      </c>
      <c r="AN1" s="14" t="s">
        <v>74</v>
      </c>
      <c r="AO1" s="14" t="s">
        <v>75</v>
      </c>
      <c r="AP1" s="14" t="s">
        <v>76</v>
      </c>
      <c r="AQ1" s="14" t="s">
        <v>77</v>
      </c>
      <c r="AR1" s="14" t="s">
        <v>78</v>
      </c>
      <c r="AS1" s="14" t="s">
        <v>79</v>
      </c>
      <c r="AT1" s="14" t="s">
        <v>80</v>
      </c>
      <c r="AU1" s="14" t="s">
        <v>81</v>
      </c>
      <c r="AV1" s="14" t="s">
        <v>82</v>
      </c>
      <c r="AW1" s="14" t="s">
        <v>83</v>
      </c>
      <c r="AX1" s="14" t="s">
        <v>84</v>
      </c>
      <c r="AY1" s="14" t="s">
        <v>85</v>
      </c>
      <c r="AZ1" s="14" t="s">
        <v>86</v>
      </c>
      <c r="BA1" s="14" t="s">
        <v>87</v>
      </c>
      <c r="BB1" s="14" t="s">
        <v>88</v>
      </c>
      <c r="BC1" s="14" t="s">
        <v>89</v>
      </c>
      <c r="BD1" s="14" t="s">
        <v>97</v>
      </c>
      <c r="BE1" s="14" t="s">
        <v>98</v>
      </c>
      <c r="BF1" s="14" t="s">
        <v>99</v>
      </c>
      <c r="BG1" s="14" t="s">
        <v>100</v>
      </c>
      <c r="BH1" s="14" t="s">
        <v>101</v>
      </c>
      <c r="BI1" s="14" t="s">
        <v>102</v>
      </c>
      <c r="BJ1" s="14" t="s">
        <v>103</v>
      </c>
      <c r="BK1" s="14" t="s">
        <v>104</v>
      </c>
      <c r="BL1" s="14" t="s">
        <v>105</v>
      </c>
      <c r="BM1" s="14" t="s">
        <v>106</v>
      </c>
      <c r="BN1" s="14" t="s">
        <v>107</v>
      </c>
      <c r="BO1" s="14" t="s">
        <v>108</v>
      </c>
      <c r="BP1" s="14" t="s">
        <v>109</v>
      </c>
      <c r="BQ1" s="14" t="s">
        <v>110</v>
      </c>
      <c r="BR1" s="14" t="s">
        <v>111</v>
      </c>
      <c r="BS1" s="14" t="s">
        <v>112</v>
      </c>
      <c r="BT1" s="14" t="s">
        <v>113</v>
      </c>
      <c r="BU1" s="14" t="s">
        <v>114</v>
      </c>
      <c r="BV1" s="14" t="s">
        <v>115</v>
      </c>
      <c r="BW1" s="14" t="s">
        <v>116</v>
      </c>
      <c r="BX1" s="14" t="s">
        <v>117</v>
      </c>
      <c r="BY1" s="14" t="s">
        <v>118</v>
      </c>
      <c r="BZ1" s="14" t="s">
        <v>119</v>
      </c>
      <c r="CA1" s="14" t="s">
        <v>120</v>
      </c>
      <c r="CB1" s="14" t="s">
        <v>121</v>
      </c>
      <c r="CC1" s="14" t="s">
        <v>122</v>
      </c>
      <c r="CD1" s="14" t="s">
        <v>123</v>
      </c>
      <c r="CE1" s="14" t="s">
        <v>124</v>
      </c>
      <c r="CF1" s="14" t="s">
        <v>125</v>
      </c>
      <c r="CG1" s="14" t="s">
        <v>126</v>
      </c>
      <c r="CH1" s="14" t="s">
        <v>127</v>
      </c>
      <c r="CI1" s="14" t="s">
        <v>128</v>
      </c>
      <c r="CJ1" s="14" t="s">
        <v>129</v>
      </c>
      <c r="CK1" s="14" t="s">
        <v>130</v>
      </c>
      <c r="CL1" s="14" t="s">
        <v>131</v>
      </c>
      <c r="CM1" s="14" t="s">
        <v>132</v>
      </c>
      <c r="CN1" s="14" t="s">
        <v>133</v>
      </c>
      <c r="CO1" s="14" t="s">
        <v>134</v>
      </c>
      <c r="CP1" s="14" t="s">
        <v>135</v>
      </c>
      <c r="CQ1" s="14" t="s">
        <v>136</v>
      </c>
      <c r="CR1" s="14" t="s">
        <v>137</v>
      </c>
      <c r="CS1" s="14" t="s">
        <v>138</v>
      </c>
      <c r="CT1" s="14" t="s">
        <v>139</v>
      </c>
      <c r="CU1" s="14" t="s">
        <v>140</v>
      </c>
    </row>
    <row r="2" spans="1:99" x14ac:dyDescent="0.25">
      <c r="A2" s="11" t="s">
        <v>4</v>
      </c>
      <c r="B2" s="11" t="s">
        <v>162</v>
      </c>
      <c r="C2" s="11" t="s">
        <v>31</v>
      </c>
      <c r="D2" s="35">
        <v>1</v>
      </c>
      <c r="E2" s="15">
        <v>5800</v>
      </c>
      <c r="F2" s="16">
        <f>D2*E2</f>
        <v>5800</v>
      </c>
      <c r="G2" s="17">
        <v>-5800</v>
      </c>
      <c r="H2" s="18">
        <v>0</v>
      </c>
      <c r="I2" s="18">
        <f>G2</f>
        <v>-5800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0</v>
      </c>
      <c r="BU2" s="18">
        <v>0</v>
      </c>
      <c r="BV2" s="18">
        <v>0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8">
        <v>0</v>
      </c>
      <c r="CC2" s="18">
        <v>0</v>
      </c>
      <c r="CD2" s="18">
        <v>0</v>
      </c>
      <c r="CE2" s="18">
        <v>0</v>
      </c>
      <c r="CF2" s="18">
        <v>0</v>
      </c>
      <c r="CG2" s="18">
        <v>0</v>
      </c>
      <c r="CH2" s="18">
        <v>0</v>
      </c>
      <c r="CI2" s="18">
        <v>0</v>
      </c>
      <c r="CJ2" s="18">
        <v>0</v>
      </c>
      <c r="CK2" s="18">
        <v>0</v>
      </c>
      <c r="CL2" s="18">
        <v>0</v>
      </c>
      <c r="CM2" s="18">
        <v>0</v>
      </c>
      <c r="CN2" s="18">
        <v>0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</row>
    <row r="3" spans="1:99" x14ac:dyDescent="0.25">
      <c r="A3" s="11" t="s">
        <v>4</v>
      </c>
      <c r="B3" s="11" t="s">
        <v>162</v>
      </c>
      <c r="C3" s="11" t="s">
        <v>18</v>
      </c>
      <c r="D3" s="36">
        <v>1</v>
      </c>
      <c r="E3" s="16">
        <v>1200</v>
      </c>
      <c r="F3" s="16">
        <f>D3*E3</f>
        <v>1200</v>
      </c>
      <c r="G3" s="19">
        <v>-1200</v>
      </c>
      <c r="H3" s="20">
        <v>0</v>
      </c>
      <c r="I3" s="20">
        <v>0</v>
      </c>
      <c r="J3" s="20">
        <v>0</v>
      </c>
      <c r="K3" s="20">
        <f>G3</f>
        <v>-1200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0</v>
      </c>
      <c r="CL3" s="20">
        <v>0</v>
      </c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</row>
    <row r="4" spans="1:99" x14ac:dyDescent="0.25">
      <c r="A4" s="11" t="s">
        <v>4</v>
      </c>
      <c r="B4" s="11" t="s">
        <v>162</v>
      </c>
      <c r="C4" s="11" t="s">
        <v>19</v>
      </c>
      <c r="D4" s="36">
        <v>1</v>
      </c>
      <c r="E4" s="16">
        <v>4500</v>
      </c>
      <c r="F4" s="16">
        <f>E4*D4</f>
        <v>4500</v>
      </c>
      <c r="G4" s="19">
        <v>-4500</v>
      </c>
      <c r="H4" s="20">
        <v>0</v>
      </c>
      <c r="I4" s="20">
        <v>0</v>
      </c>
      <c r="J4" s="20">
        <v>0</v>
      </c>
      <c r="K4" s="20">
        <f>G4</f>
        <v>-4500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</row>
    <row r="5" spans="1:99" x14ac:dyDescent="0.25">
      <c r="A5" s="11" t="s">
        <v>4</v>
      </c>
      <c r="B5" s="11" t="s">
        <v>162</v>
      </c>
      <c r="C5" s="11" t="s">
        <v>9</v>
      </c>
      <c r="D5" s="36">
        <v>0.21</v>
      </c>
      <c r="E5" s="16">
        <f>F3+F4+F2</f>
        <v>11500</v>
      </c>
      <c r="F5" s="16">
        <f>D5*E5</f>
        <v>2415</v>
      </c>
      <c r="G5" s="19">
        <f>(G2+G3+G4)*0.21</f>
        <v>-2415</v>
      </c>
      <c r="H5" s="20">
        <f>(H2+H3+H4)*0.21</f>
        <v>0</v>
      </c>
      <c r="I5" s="20">
        <f>(I2+I3+I4)*0.21</f>
        <v>-1218</v>
      </c>
      <c r="J5" s="20">
        <v>0</v>
      </c>
      <c r="K5" s="20">
        <f>(K2+K3+K4)*0.21</f>
        <v>-1197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</row>
    <row r="6" spans="1:99" x14ac:dyDescent="0.25">
      <c r="A6" s="11" t="s">
        <v>4</v>
      </c>
      <c r="B6" s="11" t="s">
        <v>163</v>
      </c>
      <c r="C6" s="11" t="s">
        <v>15</v>
      </c>
      <c r="D6" s="37">
        <v>5.6099999999999997E-2</v>
      </c>
      <c r="E6" s="11">
        <f>F16</f>
        <v>158230.80000000002</v>
      </c>
      <c r="F6" s="11">
        <f>E6*D6</f>
        <v>8876.7478800000008</v>
      </c>
      <c r="G6" s="17">
        <f>-F6</f>
        <v>-8876.7478800000008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f>G6</f>
        <v>-8876.7478800000008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</row>
    <row r="7" spans="1:99" x14ac:dyDescent="0.25">
      <c r="A7" s="11" t="s">
        <v>4</v>
      </c>
      <c r="B7" s="11" t="s">
        <v>163</v>
      </c>
      <c r="C7" s="11" t="s">
        <v>16</v>
      </c>
      <c r="D7" s="37">
        <v>4.7699999999999999E-2</v>
      </c>
      <c r="E7" s="11">
        <f>F16</f>
        <v>158230.80000000002</v>
      </c>
      <c r="F7" s="11">
        <f>E7*D7</f>
        <v>7547.6091600000009</v>
      </c>
      <c r="G7" s="19">
        <f>-F7</f>
        <v>-7547.6091600000009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f>G7*0.3</f>
        <v>-2264.2827480000001</v>
      </c>
      <c r="Y7" s="20">
        <f>0.7*G7</f>
        <v>-5283.3264120000003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</row>
    <row r="8" spans="1:99" x14ac:dyDescent="0.25">
      <c r="A8" s="11" t="s">
        <v>4</v>
      </c>
      <c r="B8" s="11" t="s">
        <v>163</v>
      </c>
      <c r="C8" s="11" t="s">
        <v>164</v>
      </c>
      <c r="D8" s="37">
        <v>7.0000000000000001E-3</v>
      </c>
      <c r="E8" s="11">
        <f>F16</f>
        <v>158230.80000000002</v>
      </c>
      <c r="F8" s="11">
        <f>D8*E8</f>
        <v>1107.6156000000001</v>
      </c>
      <c r="G8" s="19">
        <f>-F8</f>
        <v>-1107.6156000000001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f>G8*0.5</f>
        <v>-553.80780000000004</v>
      </c>
      <c r="Y8" s="20">
        <f>G8*0.5</f>
        <v>-553.80780000000004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</row>
    <row r="9" spans="1:99" x14ac:dyDescent="0.25">
      <c r="A9" s="11" t="s">
        <v>4</v>
      </c>
      <c r="B9" s="11" t="s">
        <v>163</v>
      </c>
      <c r="C9" s="11" t="s">
        <v>13</v>
      </c>
      <c r="D9" s="37">
        <v>5.6099999999999997E-2</v>
      </c>
      <c r="E9" s="11">
        <f>F18+F19</f>
        <v>2264208.3360000001</v>
      </c>
      <c r="F9" s="11">
        <f>D9*E9</f>
        <v>127022.0876496</v>
      </c>
      <c r="G9" s="19">
        <f>-F9</f>
        <v>-127022.0876496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f>G9*0.4</f>
        <v>-50808.835059839999</v>
      </c>
      <c r="N9" s="20">
        <v>0</v>
      </c>
      <c r="O9" s="20">
        <v>0</v>
      </c>
      <c r="P9" s="20">
        <f>G9*0.6</f>
        <v>-76213.252589759999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</row>
    <row r="10" spans="1:99" x14ac:dyDescent="0.25">
      <c r="A10" s="11" t="s">
        <v>4</v>
      </c>
      <c r="B10" s="11" t="s">
        <v>163</v>
      </c>
      <c r="C10" s="11" t="s">
        <v>14</v>
      </c>
      <c r="D10" s="37">
        <v>4.7699999999999999E-2</v>
      </c>
      <c r="E10" s="11">
        <f>F18+F19</f>
        <v>2264208.3360000001</v>
      </c>
      <c r="F10" s="11">
        <f>D10*E10</f>
        <v>108002.73762720001</v>
      </c>
      <c r="G10" s="19">
        <f>-F10</f>
        <v>-108002.73762720001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f>$G10/14</f>
        <v>-7714.4812590857155</v>
      </c>
      <c r="AA10" s="20">
        <f t="shared" ref="AA10:AM10" si="0">$G10/14</f>
        <v>-7714.4812590857155</v>
      </c>
      <c r="AB10" s="20">
        <f t="shared" si="0"/>
        <v>-7714.4812590857155</v>
      </c>
      <c r="AC10" s="20">
        <f t="shared" si="0"/>
        <v>-7714.4812590857155</v>
      </c>
      <c r="AD10" s="20">
        <f t="shared" si="0"/>
        <v>-7714.4812590857155</v>
      </c>
      <c r="AE10" s="20">
        <f t="shared" si="0"/>
        <v>-7714.4812590857155</v>
      </c>
      <c r="AF10" s="20">
        <f t="shared" si="0"/>
        <v>-7714.4812590857155</v>
      </c>
      <c r="AG10" s="20">
        <f t="shared" si="0"/>
        <v>-7714.4812590857155</v>
      </c>
      <c r="AH10" s="20">
        <f t="shared" si="0"/>
        <v>-7714.4812590857155</v>
      </c>
      <c r="AI10" s="20">
        <f t="shared" si="0"/>
        <v>-7714.4812590857155</v>
      </c>
      <c r="AJ10" s="20">
        <f t="shared" si="0"/>
        <v>-7714.4812590857155</v>
      </c>
      <c r="AK10" s="20">
        <f t="shared" si="0"/>
        <v>-7714.4812590857155</v>
      </c>
      <c r="AL10" s="20">
        <f t="shared" si="0"/>
        <v>-7714.4812590857155</v>
      </c>
      <c r="AM10" s="20">
        <f t="shared" si="0"/>
        <v>-7714.4812590857155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</row>
    <row r="11" spans="1:99" x14ac:dyDescent="0.25">
      <c r="A11" s="11" t="s">
        <v>4</v>
      </c>
      <c r="B11" s="11" t="s">
        <v>163</v>
      </c>
      <c r="C11" s="11" t="s">
        <v>165</v>
      </c>
      <c r="D11" s="37">
        <v>7.0000000000000001E-3</v>
      </c>
      <c r="E11" s="11">
        <f>F18+F19</f>
        <v>2264208.3360000001</v>
      </c>
      <c r="F11" s="11">
        <f>D11*E11</f>
        <v>15849.458352000001</v>
      </c>
      <c r="G11" s="19">
        <f>-F11</f>
        <v>-15849.458352000001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f>$G$11/14</f>
        <v>-1132.1041680000001</v>
      </c>
      <c r="AA11" s="20">
        <f t="shared" ref="AA11:AM11" si="1">$G$11/14</f>
        <v>-1132.1041680000001</v>
      </c>
      <c r="AB11" s="20">
        <f t="shared" si="1"/>
        <v>-1132.1041680000001</v>
      </c>
      <c r="AC11" s="20">
        <f t="shared" si="1"/>
        <v>-1132.1041680000001</v>
      </c>
      <c r="AD11" s="20">
        <f t="shared" si="1"/>
        <v>-1132.1041680000001</v>
      </c>
      <c r="AE11" s="20">
        <f t="shared" si="1"/>
        <v>-1132.1041680000001</v>
      </c>
      <c r="AF11" s="20">
        <f t="shared" si="1"/>
        <v>-1132.1041680000001</v>
      </c>
      <c r="AG11" s="20">
        <f t="shared" si="1"/>
        <v>-1132.1041680000001</v>
      </c>
      <c r="AH11" s="20">
        <f t="shared" si="1"/>
        <v>-1132.1041680000001</v>
      </c>
      <c r="AI11" s="20">
        <f t="shared" si="1"/>
        <v>-1132.1041680000001</v>
      </c>
      <c r="AJ11" s="20">
        <f t="shared" si="1"/>
        <v>-1132.1041680000001</v>
      </c>
      <c r="AK11" s="20">
        <f t="shared" si="1"/>
        <v>-1132.1041680000001</v>
      </c>
      <c r="AL11" s="20">
        <f t="shared" si="1"/>
        <v>-1132.1041680000001</v>
      </c>
      <c r="AM11" s="20">
        <f t="shared" si="1"/>
        <v>-1132.1041680000001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</row>
    <row r="12" spans="1:99" x14ac:dyDescent="0.25">
      <c r="A12" s="11" t="s">
        <v>4</v>
      </c>
      <c r="B12" s="11" t="s">
        <v>163</v>
      </c>
      <c r="C12" s="11" t="s">
        <v>141</v>
      </c>
      <c r="D12" s="37">
        <v>0.02</v>
      </c>
      <c r="E12" s="11">
        <f>F19+F18+F16</f>
        <v>2422439.1359999999</v>
      </c>
      <c r="F12" s="11">
        <f>D12*E12</f>
        <v>48448.782720000003</v>
      </c>
      <c r="G12" s="19">
        <f>-F12</f>
        <v>-48448.782720000003</v>
      </c>
      <c r="H12" s="20">
        <v>0</v>
      </c>
      <c r="I12" s="20">
        <v>0</v>
      </c>
      <c r="J12" s="20">
        <v>0</v>
      </c>
      <c r="K12" s="20">
        <f>G12*0.05</f>
        <v>-2422.4391360000004</v>
      </c>
      <c r="L12" s="20">
        <v>0</v>
      </c>
      <c r="M12" s="20">
        <v>0</v>
      </c>
      <c r="N12" s="20">
        <v>0</v>
      </c>
      <c r="O12" s="20">
        <v>0</v>
      </c>
      <c r="P12" s="20">
        <f>G12*0.15</f>
        <v>-7267.3174079999999</v>
      </c>
      <c r="Q12" s="20">
        <v>0</v>
      </c>
      <c r="R12" s="20">
        <f>G12*0.05</f>
        <v>-2422.4391360000004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f t="shared" ref="X12:AL12" si="2">$G$12*0.04</f>
        <v>-1937.9513088000001</v>
      </c>
      <c r="Y12" s="20">
        <f t="shared" si="2"/>
        <v>-1937.9513088000001</v>
      </c>
      <c r="Z12" s="20">
        <f t="shared" si="2"/>
        <v>-1937.9513088000001</v>
      </c>
      <c r="AA12" s="20">
        <f t="shared" si="2"/>
        <v>-1937.9513088000001</v>
      </c>
      <c r="AB12" s="20">
        <f t="shared" si="2"/>
        <v>-1937.9513088000001</v>
      </c>
      <c r="AC12" s="20">
        <f t="shared" si="2"/>
        <v>-1937.9513088000001</v>
      </c>
      <c r="AD12" s="20">
        <f t="shared" si="2"/>
        <v>-1937.9513088000001</v>
      </c>
      <c r="AE12" s="20">
        <f t="shared" si="2"/>
        <v>-1937.9513088000001</v>
      </c>
      <c r="AF12" s="20">
        <f t="shared" si="2"/>
        <v>-1937.9513088000001</v>
      </c>
      <c r="AG12" s="20">
        <f t="shared" si="2"/>
        <v>-1937.9513088000001</v>
      </c>
      <c r="AH12" s="20">
        <f t="shared" si="2"/>
        <v>-1937.9513088000001</v>
      </c>
      <c r="AI12" s="20">
        <f t="shared" si="2"/>
        <v>-1937.9513088000001</v>
      </c>
      <c r="AJ12" s="20">
        <f t="shared" si="2"/>
        <v>-1937.9513088000001</v>
      </c>
      <c r="AK12" s="20">
        <f t="shared" si="2"/>
        <v>-1937.9513088000001</v>
      </c>
      <c r="AL12" s="20">
        <f t="shared" si="2"/>
        <v>-1937.9513088000001</v>
      </c>
      <c r="AM12" s="20">
        <f>$G$12*0.04</f>
        <v>-1937.9513088000001</v>
      </c>
      <c r="AN12" s="20">
        <f>G12*0.11</f>
        <v>-5329.3660992000005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</row>
    <row r="13" spans="1:99" x14ac:dyDescent="0.25">
      <c r="A13" s="11" t="s">
        <v>4</v>
      </c>
      <c r="B13" s="11" t="s">
        <v>163</v>
      </c>
      <c r="C13" s="11" t="s">
        <v>166</v>
      </c>
      <c r="D13" s="37">
        <v>0.21</v>
      </c>
      <c r="E13" s="11">
        <f>F6+F7+F8</f>
        <v>17531.972640000004</v>
      </c>
      <c r="F13" s="11">
        <f>D13*E13</f>
        <v>3681.7142544000008</v>
      </c>
      <c r="G13" s="19">
        <f>-F13</f>
        <v>-3681.7142544000008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f>SUM(M6:M8)*0.21</f>
        <v>-1864.1170548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f>(X7+X8)*0.21</f>
        <v>-591.79901508</v>
      </c>
      <c r="Y13" s="20">
        <f>(Y7+Y8)*0.21</f>
        <v>-1225.7981845200002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</row>
    <row r="14" spans="1:99" x14ac:dyDescent="0.25">
      <c r="A14" s="11" t="s">
        <v>4</v>
      </c>
      <c r="B14" s="11" t="s">
        <v>163</v>
      </c>
      <c r="C14" s="11" t="s">
        <v>167</v>
      </c>
      <c r="D14" s="37">
        <v>0.21</v>
      </c>
      <c r="E14" s="11">
        <f>F9+F10+F11+F12</f>
        <v>299323.06634880003</v>
      </c>
      <c r="F14" s="11">
        <f>D14*E14</f>
        <v>62857.843933248005</v>
      </c>
      <c r="G14" s="19">
        <f>-F14</f>
        <v>-62857.843933248005</v>
      </c>
      <c r="H14" s="20">
        <v>0</v>
      </c>
      <c r="I14" s="20">
        <v>0</v>
      </c>
      <c r="J14" s="20">
        <v>0</v>
      </c>
      <c r="K14" s="20">
        <f>SUM(K9:K12)*0.21</f>
        <v>-508.71221856000005</v>
      </c>
      <c r="L14" s="20">
        <v>0</v>
      </c>
      <c r="M14" s="20">
        <f>SUM(M9:M12)*0.21</f>
        <v>-10669.855362566399</v>
      </c>
      <c r="N14" s="20">
        <v>0</v>
      </c>
      <c r="O14" s="20">
        <v>0</v>
      </c>
      <c r="P14" s="20">
        <f>SUM(P9:P12)*0.21</f>
        <v>-17530.919699529601</v>
      </c>
      <c r="Q14" s="20">
        <v>0</v>
      </c>
      <c r="R14" s="20">
        <f>SUM(R9:R12)*0.21</f>
        <v>-508.71221856000005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f>SUM(X9:X12)*0.21</f>
        <v>-406.96977484799999</v>
      </c>
      <c r="Y14" s="20">
        <f>SUM(Y9:Y12)*0.21</f>
        <v>-406.96977484799999</v>
      </c>
      <c r="Z14" s="20">
        <f>SUM(Z9:Z12)*0.21</f>
        <v>-2264.7527145360004</v>
      </c>
      <c r="AA14" s="20">
        <f>SUM(AA9:AA12)*0.21</f>
        <v>-2264.7527145360004</v>
      </c>
      <c r="AB14" s="20">
        <f>SUM(AB9:AB12)*0.21</f>
        <v>-2264.7527145360004</v>
      </c>
      <c r="AC14" s="20">
        <f>SUM(AC9:AC12)*0.21</f>
        <v>-2264.7527145360004</v>
      </c>
      <c r="AD14" s="20">
        <f>SUM(AD9:AD12)*0.21</f>
        <v>-2264.7527145360004</v>
      </c>
      <c r="AE14" s="20">
        <f>SUM(AE9:AE12)*0.21</f>
        <v>-2264.7527145360004</v>
      </c>
      <c r="AF14" s="20">
        <f>SUM(AF9:AF12)*0.21</f>
        <v>-2264.7527145360004</v>
      </c>
      <c r="AG14" s="20">
        <f>SUM(AG9:AG12)*0.21</f>
        <v>-2264.7527145360004</v>
      </c>
      <c r="AH14" s="20">
        <f>SUM(AH9:AH12)*0.21</f>
        <v>-2264.7527145360004</v>
      </c>
      <c r="AI14" s="20">
        <f>SUM(AI9:AI12)*0.21</f>
        <v>-2264.7527145360004</v>
      </c>
      <c r="AJ14" s="20">
        <f>SUM(AJ9:AJ12)*0.21</f>
        <v>-2264.7527145360004</v>
      </c>
      <c r="AK14" s="20">
        <f>SUM(AK9:AK12)*0.21</f>
        <v>-2264.7527145360004</v>
      </c>
      <c r="AL14" s="20">
        <f>SUM(AL9:AL12)*0.21</f>
        <v>-2264.7527145360004</v>
      </c>
      <c r="AM14" s="20">
        <f>SUM(AM9:AM12)*0.21</f>
        <v>-2264.7527145360004</v>
      </c>
      <c r="AN14" s="20">
        <f>SUM(AN9:AN12)*0.21</f>
        <v>-1119.1668808320001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</row>
    <row r="15" spans="1:99" x14ac:dyDescent="0.25">
      <c r="A15" s="11" t="s">
        <v>4</v>
      </c>
      <c r="B15" s="11" t="s">
        <v>163</v>
      </c>
      <c r="C15" s="11" t="s">
        <v>20</v>
      </c>
      <c r="D15" s="37">
        <v>3.0000000000000001E-3</v>
      </c>
      <c r="E15" s="11">
        <f>F18+F19</f>
        <v>2264208.3360000001</v>
      </c>
      <c r="F15" s="11">
        <f>D15*E15</f>
        <v>6792.6250080000009</v>
      </c>
      <c r="G15" s="19">
        <f>-F15</f>
        <v>-6792.6250080000009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f>$G$15/14</f>
        <v>-485.18750057142864</v>
      </c>
      <c r="AA15" s="20">
        <f t="shared" ref="AA15:AM15" si="3">$G$15/14</f>
        <v>-485.18750057142864</v>
      </c>
      <c r="AB15" s="20">
        <f t="shared" si="3"/>
        <v>-485.18750057142864</v>
      </c>
      <c r="AC15" s="20">
        <f t="shared" si="3"/>
        <v>-485.18750057142864</v>
      </c>
      <c r="AD15" s="20">
        <f t="shared" si="3"/>
        <v>-485.18750057142864</v>
      </c>
      <c r="AE15" s="20">
        <f t="shared" si="3"/>
        <v>-485.18750057142864</v>
      </c>
      <c r="AF15" s="20">
        <f t="shared" si="3"/>
        <v>-485.18750057142864</v>
      </c>
      <c r="AG15" s="20">
        <f t="shared" si="3"/>
        <v>-485.18750057142864</v>
      </c>
      <c r="AH15" s="20">
        <f t="shared" si="3"/>
        <v>-485.18750057142864</v>
      </c>
      <c r="AI15" s="20">
        <f t="shared" si="3"/>
        <v>-485.18750057142864</v>
      </c>
      <c r="AJ15" s="20">
        <f t="shared" si="3"/>
        <v>-485.18750057142864</v>
      </c>
      <c r="AK15" s="20">
        <f t="shared" si="3"/>
        <v>-485.18750057142864</v>
      </c>
      <c r="AL15" s="20">
        <f t="shared" si="3"/>
        <v>-485.18750057142864</v>
      </c>
      <c r="AM15" s="20">
        <f t="shared" si="3"/>
        <v>-485.18750057142864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</row>
    <row r="16" spans="1:99" x14ac:dyDescent="0.25">
      <c r="A16" s="11" t="s">
        <v>4</v>
      </c>
      <c r="B16" s="11" t="s">
        <v>168</v>
      </c>
      <c r="C16" s="11" t="s">
        <v>8</v>
      </c>
      <c r="D16" s="37">
        <f>(8.4*44.5*15)+(8.4*15.3*15)</f>
        <v>7534.8</v>
      </c>
      <c r="E16" s="11">
        <v>21</v>
      </c>
      <c r="F16" s="11">
        <f>D16*E16</f>
        <v>158230.80000000002</v>
      </c>
      <c r="G16" s="19">
        <f>-F16</f>
        <v>-158230.80000000002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f>G16*0.4</f>
        <v>-63292.320000000007</v>
      </c>
      <c r="Y16" s="20">
        <f>G16*0.6</f>
        <v>-94938.48000000001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</row>
    <row r="17" spans="1:99" x14ac:dyDescent="0.25">
      <c r="A17" s="11" t="s">
        <v>4</v>
      </c>
      <c r="B17" s="11" t="s">
        <v>168</v>
      </c>
      <c r="C17" s="11" t="s">
        <v>12</v>
      </c>
      <c r="D17" s="36">
        <v>4507</v>
      </c>
      <c r="E17" s="11">
        <v>5.75</v>
      </c>
      <c r="F17" s="11">
        <f>D17*E17</f>
        <v>25915.25</v>
      </c>
      <c r="G17" s="19">
        <f>-F17</f>
        <v>-25915.25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f>G17*0.4</f>
        <v>-10366.1</v>
      </c>
      <c r="Y17" s="20">
        <f>G17*0.6</f>
        <v>-15549.15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</row>
    <row r="18" spans="1:99" x14ac:dyDescent="0.25">
      <c r="A18" s="11" t="s">
        <v>4</v>
      </c>
      <c r="B18" s="11" t="s">
        <v>168</v>
      </c>
      <c r="C18" s="11" t="s">
        <v>2</v>
      </c>
      <c r="D18" s="37">
        <f>40*65*1.2</f>
        <v>3120</v>
      </c>
      <c r="E18" s="11">
        <f>684.63*1.06</f>
        <v>725.70780000000002</v>
      </c>
      <c r="F18" s="11">
        <f>D18*E18</f>
        <v>2264208.3360000001</v>
      </c>
      <c r="G18" s="19">
        <f>-F18</f>
        <v>-2264208.3360000001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f>'evolucion certificaciones nuevo'!E21</f>
        <v>-22642.083360000001</v>
      </c>
      <c r="AA18" s="20">
        <f>'evolucion certificaciones nuevo'!F21</f>
        <v>-56605.208400000003</v>
      </c>
      <c r="AB18" s="20">
        <f>'evolucion certificaciones nuevo'!G21</f>
        <v>-83775.708431999999</v>
      </c>
      <c r="AC18" s="20">
        <f>'evolucion certificaciones nuevo'!H21</f>
        <v>-131324.083488</v>
      </c>
      <c r="AD18" s="20">
        <f>'evolucion certificaciones nuevo'!I21</f>
        <v>-140380.91683200002</v>
      </c>
      <c r="AE18" s="20">
        <f>'evolucion certificaciones nuevo'!J21</f>
        <v>-140380.91683200002</v>
      </c>
      <c r="AF18" s="20">
        <f>'evolucion certificaciones nuevo'!K21</f>
        <v>-135852.50016</v>
      </c>
      <c r="AG18" s="20">
        <f>'evolucion certificaciones nuevo'!L21</f>
        <v>-138116.70849600001</v>
      </c>
      <c r="AH18" s="20">
        <f>'evolucion certificaciones nuevo'!M21</f>
        <v>-165287.20852799999</v>
      </c>
      <c r="AI18" s="20">
        <f>'evolucion certificaciones nuevo'!N21</f>
        <v>-283026.04200000002</v>
      </c>
      <c r="AJ18" s="20">
        <f>'evolucion certificaciones nuevo'!O21</f>
        <v>-373594.37544000003</v>
      </c>
      <c r="AK18" s="20">
        <f>'evolucion certificaciones nuevo'!P21</f>
        <v>-273969.20865600003</v>
      </c>
      <c r="AL18" s="20">
        <f>'evolucion certificaciones nuevo'!Q21</f>
        <v>-185665.08355200003</v>
      </c>
      <c r="AM18" s="20">
        <f>'evolucion certificaciones nuevo'!R21</f>
        <v>-133588.29182400001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</row>
    <row r="19" spans="1:99" x14ac:dyDescent="0.25">
      <c r="A19" s="11" t="s">
        <v>4</v>
      </c>
      <c r="B19" s="11" t="s">
        <v>168</v>
      </c>
      <c r="C19" s="11" t="s">
        <v>40</v>
      </c>
      <c r="D19" s="37">
        <v>0</v>
      </c>
      <c r="E19" s="11">
        <f>359.43*1.06</f>
        <v>380.99580000000003</v>
      </c>
      <c r="F19" s="11">
        <f>D19*E19</f>
        <v>0</v>
      </c>
      <c r="G19" s="19">
        <f>-F19</f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</row>
    <row r="20" spans="1:99" x14ac:dyDescent="0.25">
      <c r="A20" s="11" t="s">
        <v>4</v>
      </c>
      <c r="B20" s="11" t="s">
        <v>168</v>
      </c>
      <c r="C20" s="11" t="s">
        <v>11</v>
      </c>
      <c r="D20" s="37">
        <v>0.21</v>
      </c>
      <c r="E20" s="11">
        <f>F16</f>
        <v>158230.80000000002</v>
      </c>
      <c r="F20" s="11">
        <f>E20*D20</f>
        <v>33228.468000000001</v>
      </c>
      <c r="G20" s="19">
        <f>-F20</f>
        <v>-33228.468000000001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f>X16*0.21</f>
        <v>-13291.387200000001</v>
      </c>
      <c r="Y20" s="20">
        <f>Y16*0.21</f>
        <v>-19937.0808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</row>
    <row r="21" spans="1:99" x14ac:dyDescent="0.25">
      <c r="A21" s="11" t="s">
        <v>4</v>
      </c>
      <c r="B21" s="11" t="s">
        <v>168</v>
      </c>
      <c r="C21" s="11" t="s">
        <v>10</v>
      </c>
      <c r="D21" s="37">
        <v>0.1</v>
      </c>
      <c r="E21" s="11">
        <f>F18+F19</f>
        <v>2264208.3360000001</v>
      </c>
      <c r="F21" s="11">
        <f>E21*D21</f>
        <v>226420.83360000001</v>
      </c>
      <c r="G21" s="19">
        <f>-F21</f>
        <v>-226420.83360000001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f>(Z18+Z19)*0.1</f>
        <v>-2264.2083360000001</v>
      </c>
      <c r="AA21" s="20">
        <f>(AA18+AA19)*0.1</f>
        <v>-5660.520840000001</v>
      </c>
      <c r="AB21" s="20">
        <f>(AB18+AB19)*0.1</f>
        <v>-8377.570843200001</v>
      </c>
      <c r="AC21" s="20">
        <f>(AC18+AC19)*0.1</f>
        <v>-13132.408348800001</v>
      </c>
      <c r="AD21" s="20">
        <f>(AD18+AD19)*0.1</f>
        <v>-14038.091683200002</v>
      </c>
      <c r="AE21" s="20">
        <f>(AE18+AE19)*0.1</f>
        <v>-14038.091683200002</v>
      </c>
      <c r="AF21" s="20">
        <f>(AF18+AF19)*0.1</f>
        <v>-13585.250016</v>
      </c>
      <c r="AG21" s="20">
        <f>(AG18+AG19)*0.1</f>
        <v>-13811.670849600001</v>
      </c>
      <c r="AH21" s="20">
        <f>(AH18+AH19)*0.1</f>
        <v>-16528.720852800001</v>
      </c>
      <c r="AI21" s="20">
        <f>(AI18+AI19)*0.1</f>
        <v>-28302.604200000002</v>
      </c>
      <c r="AJ21" s="20">
        <f>(AJ18+AJ19)*0.1</f>
        <v>-37359.437544000008</v>
      </c>
      <c r="AK21" s="20">
        <f>(AK18+AK19)*0.1</f>
        <v>-27396.920865600005</v>
      </c>
      <c r="AL21" s="20">
        <f>(AL18+AL19)*0.1</f>
        <v>-18566.508355200003</v>
      </c>
      <c r="AM21" s="20">
        <f>(AM18+AM19)*0.1</f>
        <v>-13358.829182400003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</row>
    <row r="22" spans="1:99" x14ac:dyDescent="0.25">
      <c r="A22" s="11" t="s">
        <v>4</v>
      </c>
      <c r="B22" s="11" t="s">
        <v>168</v>
      </c>
      <c r="C22" s="11" t="s">
        <v>21</v>
      </c>
      <c r="D22" s="37">
        <v>1</v>
      </c>
      <c r="E22" s="11">
        <v>700</v>
      </c>
      <c r="F22" s="11">
        <f>D22*E22</f>
        <v>700</v>
      </c>
      <c r="G22" s="19">
        <f>-F22</f>
        <v>-700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f>G22</f>
        <v>-700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37">
        <f>5%</f>
        <v>0.05</v>
      </c>
      <c r="E23" s="11">
        <f>(F18+F19)</f>
        <v>2264208.3360000001</v>
      </c>
      <c r="F23" s="11">
        <f>D23*E23</f>
        <v>113210.41680000001</v>
      </c>
      <c r="G23" s="17">
        <f>-F23</f>
        <v>-113210.41680000001</v>
      </c>
      <c r="H23" s="18">
        <v>0</v>
      </c>
      <c r="I23" s="20">
        <v>0</v>
      </c>
      <c r="J23" s="20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f>G23*0.2</f>
        <v>-22642.083360000004</v>
      </c>
      <c r="R23" s="18">
        <v>0</v>
      </c>
      <c r="S23" s="18">
        <v>0</v>
      </c>
      <c r="T23" s="18">
        <f>G23*0.8</f>
        <v>-90568.333440000017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37">
        <f>5%</f>
        <v>0.05</v>
      </c>
      <c r="E24" s="11">
        <f>F16</f>
        <v>158230.80000000002</v>
      </c>
      <c r="F24" s="11">
        <f>D24*E24</f>
        <v>7911.5400000000009</v>
      </c>
      <c r="G24" s="19">
        <f>-F24</f>
        <v>-7911.5400000000009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>G24*0.2</f>
        <v>-1582.3080000000002</v>
      </c>
      <c r="O24" s="20">
        <v>0</v>
      </c>
      <c r="P24" s="20">
        <f>G24*0.8</f>
        <v>-6329.2320000000009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</row>
    <row r="25" spans="1:99" x14ac:dyDescent="0.25">
      <c r="A25" s="11" t="s">
        <v>4</v>
      </c>
      <c r="B25" s="11" t="s">
        <v>0</v>
      </c>
      <c r="C25" s="11" t="s">
        <v>169</v>
      </c>
      <c r="D25" s="37">
        <v>2.9999999999999997E-4</v>
      </c>
      <c r="E25" s="11">
        <f>F18+F19</f>
        <v>2264208.3360000001</v>
      </c>
      <c r="F25" s="11">
        <f>D25*E25</f>
        <v>679.2625008</v>
      </c>
      <c r="G25" s="19">
        <f>-F25</f>
        <v>-679.2625008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f>G25</f>
        <v>-679.2625008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</row>
    <row r="26" spans="1:99" x14ac:dyDescent="0.25">
      <c r="A26" s="11" t="s">
        <v>4</v>
      </c>
      <c r="B26" s="11" t="s">
        <v>0</v>
      </c>
      <c r="C26" s="11" t="s">
        <v>170</v>
      </c>
      <c r="D26" s="37">
        <v>2.0000000000000001E-4</v>
      </c>
      <c r="E26" s="11">
        <f>F18+F19</f>
        <v>2264208.3360000001</v>
      </c>
      <c r="F26" s="11">
        <f>D26*E26</f>
        <v>452.84166720000007</v>
      </c>
      <c r="G26" s="19">
        <f>-F26</f>
        <v>-452.84166720000007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f>G26</f>
        <v>-452.84166720000007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</row>
    <row r="27" spans="1:99" x14ac:dyDescent="0.25">
      <c r="A27" s="11" t="s">
        <v>4</v>
      </c>
      <c r="B27" s="11" t="s">
        <v>0</v>
      </c>
      <c r="C27" s="11" t="s">
        <v>171</v>
      </c>
      <c r="D27" s="37">
        <v>1</v>
      </c>
      <c r="E27" s="11">
        <v>250</v>
      </c>
      <c r="F27" s="11">
        <f>D27*E27</f>
        <v>250</v>
      </c>
      <c r="G27" s="19">
        <f>-F27</f>
        <v>-250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f>G27</f>
        <v>-250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</row>
    <row r="28" spans="1:99" x14ac:dyDescent="0.25">
      <c r="A28" s="11" t="s">
        <v>4</v>
      </c>
      <c r="B28" s="11" t="s">
        <v>0</v>
      </c>
      <c r="C28" s="11" t="s">
        <v>172</v>
      </c>
      <c r="D28" s="37">
        <v>2.9999999999999997E-4</v>
      </c>
      <c r="E28" s="11">
        <f>F18+F19</f>
        <v>2264208.3360000001</v>
      </c>
      <c r="F28" s="11">
        <f>D28*E28</f>
        <v>679.2625008</v>
      </c>
      <c r="G28" s="19">
        <f>-F28</f>
        <v>-679.2625008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f>G28</f>
        <v>-679.2625008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</row>
    <row r="29" spans="1:99" x14ac:dyDescent="0.25">
      <c r="A29" s="11" t="s">
        <v>4</v>
      </c>
      <c r="B29" s="11" t="s">
        <v>0</v>
      </c>
      <c r="C29" s="11" t="s">
        <v>173</v>
      </c>
      <c r="D29" s="37">
        <v>2.0000000000000001E-4</v>
      </c>
      <c r="E29" s="11">
        <f>F18+F19</f>
        <v>2264208.3360000001</v>
      </c>
      <c r="F29" s="11">
        <f>D29*E29</f>
        <v>452.84166720000007</v>
      </c>
      <c r="G29" s="19">
        <f>-F29</f>
        <v>-452.84166720000007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f t="shared" ref="AN29:AN32" si="4">G29</f>
        <v>-452.84166720000007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</row>
    <row r="30" spans="1:99" x14ac:dyDescent="0.25">
      <c r="A30" s="11" t="s">
        <v>4</v>
      </c>
      <c r="B30" s="11" t="s">
        <v>0</v>
      </c>
      <c r="C30" s="11" t="s">
        <v>174</v>
      </c>
      <c r="D30" s="37">
        <v>1</v>
      </c>
      <c r="E30" s="11">
        <v>250</v>
      </c>
      <c r="F30" s="11">
        <f>D30*E30</f>
        <v>250</v>
      </c>
      <c r="G30" s="19">
        <f>-F30</f>
        <v>-250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f t="shared" si="4"/>
        <v>-250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37">
        <v>8.9999999999999993E-3</v>
      </c>
      <c r="E31" s="11">
        <f>F18+F19</f>
        <v>2264208.3360000001</v>
      </c>
      <c r="F31" s="11">
        <f>D31*E31</f>
        <v>20377.875024000001</v>
      </c>
      <c r="G31" s="19">
        <f>-F31</f>
        <v>-20377.875024000001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f>$G$31/16</f>
        <v>-1273.6171890000001</v>
      </c>
      <c r="Y31" s="20">
        <f t="shared" ref="Y31:AM31" si="5">$G$31/16</f>
        <v>-1273.6171890000001</v>
      </c>
      <c r="Z31" s="20">
        <f t="shared" si="5"/>
        <v>-1273.6171890000001</v>
      </c>
      <c r="AA31" s="20">
        <f t="shared" si="5"/>
        <v>-1273.6171890000001</v>
      </c>
      <c r="AB31" s="20">
        <f t="shared" si="5"/>
        <v>-1273.6171890000001</v>
      </c>
      <c r="AC31" s="20">
        <f t="shared" si="5"/>
        <v>-1273.6171890000001</v>
      </c>
      <c r="AD31" s="20">
        <f t="shared" si="5"/>
        <v>-1273.6171890000001</v>
      </c>
      <c r="AE31" s="20">
        <f t="shared" si="5"/>
        <v>-1273.6171890000001</v>
      </c>
      <c r="AF31" s="20">
        <f t="shared" si="5"/>
        <v>-1273.6171890000001</v>
      </c>
      <c r="AG31" s="20">
        <f t="shared" si="5"/>
        <v>-1273.6171890000001</v>
      </c>
      <c r="AH31" s="20">
        <f t="shared" si="5"/>
        <v>-1273.6171890000001</v>
      </c>
      <c r="AI31" s="20">
        <f t="shared" si="5"/>
        <v>-1273.6171890000001</v>
      </c>
      <c r="AJ31" s="20">
        <f t="shared" si="5"/>
        <v>-1273.6171890000001</v>
      </c>
      <c r="AK31" s="20">
        <f t="shared" si="5"/>
        <v>-1273.6171890000001</v>
      </c>
      <c r="AL31" s="20">
        <f t="shared" si="5"/>
        <v>-1273.6171890000001</v>
      </c>
      <c r="AM31" s="20">
        <f t="shared" si="5"/>
        <v>-1273.6171890000001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</row>
    <row r="32" spans="1:99" x14ac:dyDescent="0.25">
      <c r="A32" s="11" t="s">
        <v>4</v>
      </c>
      <c r="B32" s="11" t="s">
        <v>0</v>
      </c>
      <c r="C32" s="11" t="s">
        <v>175</v>
      </c>
      <c r="D32" s="37">
        <v>2.5000000000000001E-3</v>
      </c>
      <c r="E32" s="11">
        <f>16*65*1.2*725.71</f>
        <v>905686.08000000007</v>
      </c>
      <c r="F32" s="11">
        <f>D32*E32</f>
        <v>2264.2152000000001</v>
      </c>
      <c r="G32" s="19">
        <f>-F32</f>
        <v>-2264.2152000000001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f t="shared" si="4"/>
        <v>-2264.2152000000001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0</v>
      </c>
      <c r="CS32" s="20">
        <v>0</v>
      </c>
      <c r="CT32" s="20">
        <v>0</v>
      </c>
      <c r="CU32" s="20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35">
        <v>1</v>
      </c>
      <c r="E33" s="21">
        <v>2500</v>
      </c>
      <c r="F33" s="21">
        <f>D33*E33</f>
        <v>2500</v>
      </c>
      <c r="G33" s="22">
        <f>-F33</f>
        <v>-2500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4">
        <f>G33</f>
        <v>-2500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</row>
    <row r="34" spans="1:99" x14ac:dyDescent="0.25">
      <c r="A34" s="11" t="s">
        <v>4</v>
      </c>
      <c r="B34" s="11" t="s">
        <v>24</v>
      </c>
      <c r="C34" s="11" t="s">
        <v>176</v>
      </c>
      <c r="D34" s="38">
        <v>2.5000000000000001E-3</v>
      </c>
      <c r="E34" s="21">
        <f>0.8*(E21+E20)</f>
        <v>1937951.3088</v>
      </c>
      <c r="F34" s="21">
        <f>D34*E34</f>
        <v>4844.8782719999999</v>
      </c>
      <c r="G34" s="19">
        <f>-F34</f>
        <v>-4844.8782719999999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f>G34</f>
        <v>-4844.8782719999999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35">
        <v>1</v>
      </c>
      <c r="E35" s="21">
        <v>250</v>
      </c>
      <c r="F35" s="21">
        <f>D35*E35</f>
        <v>250</v>
      </c>
      <c r="G35" s="19">
        <f>-F35</f>
        <v>-250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f>G35</f>
        <v>-250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38">
        <v>2.5000000000000001E-3</v>
      </c>
      <c r="E36" s="21">
        <f>-0.8*SUM(G2:G32,G41:G42)</f>
        <v>3068267.3321155589</v>
      </c>
      <c r="F36" s="21">
        <f>D36*E36</f>
        <v>7670.6683302888978</v>
      </c>
      <c r="G36" s="19">
        <f>-F36</f>
        <v>-7670.6683302888978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f>G36</f>
        <v>-7670.6683302888978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38">
        <v>1E-3</v>
      </c>
      <c r="E37" s="21">
        <f>0-0.8*SUM(G2:G32,G41:G42)</f>
        <v>3068267.3321155589</v>
      </c>
      <c r="F37" s="21">
        <f>D37*E37</f>
        <v>3068.2673321155589</v>
      </c>
      <c r="G37" s="19">
        <f>-F37</f>
        <v>-3068.2673321155589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f>G37</f>
        <v>-3068.2673321155589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</row>
    <row r="38" spans="1:99" x14ac:dyDescent="0.25">
      <c r="A38" s="11" t="s">
        <v>4</v>
      </c>
      <c r="B38" s="11" t="s">
        <v>24</v>
      </c>
      <c r="C38" s="11" t="s">
        <v>96</v>
      </c>
      <c r="D38" s="38">
        <f>intereses!C5</f>
        <v>3.5000000000000003E-2</v>
      </c>
      <c r="E38" s="21">
        <f>0.8*(SUM(F3:F42)-F44-F45)</f>
        <v>2472000.2459273138</v>
      </c>
      <c r="F38" s="21">
        <v>226624.22</v>
      </c>
      <c r="G38" s="19"/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-7223.5340624999999</v>
      </c>
      <c r="AO38" s="20">
        <v>-7113.1940140666647</v>
      </c>
      <c r="AP38" s="20">
        <v>-7002.5321404920678</v>
      </c>
      <c r="AQ38" s="20">
        <v>-6891.5475031195419</v>
      </c>
      <c r="AR38" s="20">
        <v>-6780.2391605546791</v>
      </c>
      <c r="AS38" s="20">
        <v>-6668.6061686573385</v>
      </c>
      <c r="AT38" s="20">
        <v>-6556.6475805336277</v>
      </c>
      <c r="AU38" s="20">
        <v>-6444.3624465278908</v>
      </c>
      <c r="AV38" s="20">
        <v>-6331.7498142146369</v>
      </c>
      <c r="AW38" s="20">
        <v>-6218.8087283904706</v>
      </c>
      <c r="AX38" s="20">
        <v>-6105.5382310659807</v>
      </c>
      <c r="AY38" s="20">
        <v>-5991.9373614576307</v>
      </c>
      <c r="AZ38" s="20">
        <v>-5878.0051559795884</v>
      </c>
      <c r="BA38" s="20">
        <v>-5763.74064823557</v>
      </c>
      <c r="BB38" s="20">
        <v>-5649.1428690106295</v>
      </c>
      <c r="BC38" s="20">
        <v>-5534.2108462629503</v>
      </c>
      <c r="BD38" s="25">
        <v>-5418.9436051155899</v>
      </c>
      <c r="BE38" s="25">
        <v>-5303.3401678482178</v>
      </c>
      <c r="BF38" s="25">
        <v>-5187.3995538888139</v>
      </c>
      <c r="BG38" s="25">
        <v>-5071.1207798053629</v>
      </c>
      <c r="BH38" s="25">
        <v>-4954.5028592975013</v>
      </c>
      <c r="BI38" s="25">
        <v>-4837.5448031881588</v>
      </c>
      <c r="BJ38" s="25">
        <v>-4720.2456194151637</v>
      </c>
      <c r="BK38" s="25">
        <v>-4602.6043130228318</v>
      </c>
      <c r="BL38" s="25">
        <v>-4484.6198861535213</v>
      </c>
      <c r="BM38" s="25">
        <v>-4366.2913380391756</v>
      </c>
      <c r="BN38" s="25">
        <v>-4247.6176649928302</v>
      </c>
      <c r="BO38" s="25">
        <v>-4128.5978604000993</v>
      </c>
      <c r="BP38" s="25">
        <v>-4009.2309147106394</v>
      </c>
      <c r="BQ38" s="25">
        <v>-3889.5158154295846</v>
      </c>
      <c r="BR38" s="25">
        <v>-3769.4515471089608</v>
      </c>
      <c r="BS38" s="25">
        <v>-3649.0370913390689</v>
      </c>
      <c r="BT38" s="25">
        <v>-3528.2714267398478</v>
      </c>
      <c r="BU38" s="25">
        <v>-3407.1535289522126</v>
      </c>
      <c r="BV38" s="25">
        <v>-3285.6823706293626</v>
      </c>
      <c r="BW38" s="25">
        <v>-3163.856921428071</v>
      </c>
      <c r="BX38" s="25">
        <v>-3041.6761479999427</v>
      </c>
      <c r="BY38" s="25">
        <v>-2919.1390139826494</v>
      </c>
      <c r="BZ38" s="25">
        <v>-2796.2444799911382</v>
      </c>
      <c r="CA38" s="25">
        <v>-2672.9915036088187</v>
      </c>
      <c r="CB38" s="25">
        <v>-2549.3790393787176</v>
      </c>
      <c r="CC38" s="25">
        <v>-2425.4060387946124</v>
      </c>
      <c r="CD38" s="25">
        <v>-2301.071450292136</v>
      </c>
      <c r="CE38" s="25">
        <v>-2176.3742192398613</v>
      </c>
      <c r="CF38" s="25">
        <v>-2051.3132879303507</v>
      </c>
      <c r="CG38" s="25">
        <v>-1925.8875955711876</v>
      </c>
      <c r="CH38" s="25">
        <v>-1800.0960782759767</v>
      </c>
      <c r="CI38" s="25">
        <v>-1673.9376690553213</v>
      </c>
      <c r="CJ38" s="25">
        <v>-1547.4112978077728</v>
      </c>
      <c r="CK38" s="25">
        <v>-1420.5158913107518</v>
      </c>
      <c r="CL38" s="25">
        <v>-1293.250373211448</v>
      </c>
      <c r="CM38" s="25">
        <v>-1165.6136640176878</v>
      </c>
      <c r="CN38" s="25">
        <v>-1037.6046810887792</v>
      </c>
      <c r="CO38" s="25">
        <v>-909.22233862632811</v>
      </c>
      <c r="CP38" s="25">
        <v>-780.465547665028</v>
      </c>
      <c r="CQ38" s="25">
        <v>-651.33321606342406</v>
      </c>
      <c r="CR38" s="25">
        <v>-521.82424849464883</v>
      </c>
      <c r="CS38" s="25">
        <v>-391.93754643713152</v>
      </c>
      <c r="CT38" s="25">
        <v>-261.67200816527964</v>
      </c>
      <c r="CU38" s="25">
        <v>-131.02652874013478</v>
      </c>
    </row>
    <row r="39" spans="1:99" x14ac:dyDescent="0.25">
      <c r="A39" s="11" t="s">
        <v>4</v>
      </c>
      <c r="B39" s="11" t="s">
        <v>24</v>
      </c>
      <c r="C39" s="11" t="s">
        <v>39</v>
      </c>
      <c r="D39" s="38">
        <f>intereses!E5</f>
        <v>0.05</v>
      </c>
      <c r="E39" s="21">
        <f>-0.8*SUM(G2:G32,G41:G42)</f>
        <v>3068267.3321155589</v>
      </c>
      <c r="F39" s="21">
        <v>87837.440000000002</v>
      </c>
      <c r="G39" s="19"/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-10227.557791666666</v>
      </c>
      <c r="Y39" s="20">
        <v>-9608.0758116430407</v>
      </c>
      <c r="Z39" s="20">
        <v>-8986.0126567026527</v>
      </c>
      <c r="AA39" s="20">
        <v>-8361.3575719500077</v>
      </c>
      <c r="AB39" s="20">
        <v>-7734.0997576775635</v>
      </c>
      <c r="AC39" s="20">
        <v>-7104.2283691789844</v>
      </c>
      <c r="AD39" s="20">
        <v>-6471.7325165616594</v>
      </c>
      <c r="AE39" s="20">
        <v>-5836.6012645584296</v>
      </c>
      <c r="AF39" s="20">
        <v>-5198.8236323385199</v>
      </c>
      <c r="AG39" s="20">
        <v>-4558.3885933176944</v>
      </c>
      <c r="AH39" s="20">
        <v>-3915.2850749676145</v>
      </c>
      <c r="AI39" s="20">
        <v>-3269.5019586244089</v>
      </c>
      <c r="AJ39" s="20">
        <v>-2621.0280792964409</v>
      </c>
      <c r="AK39" s="20">
        <v>-1969.852225471273</v>
      </c>
      <c r="AL39" s="20">
        <v>-1315.9631389218334</v>
      </c>
      <c r="AM39" s="20">
        <v>-659.34951451177085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38">
        <v>2.5000000000000001E-3</v>
      </c>
      <c r="E40" s="21">
        <f>-0.8*SUM(G2:G32,G41:G42)</f>
        <v>3068267.3321155589</v>
      </c>
      <c r="F40" s="21">
        <f>D40*E40</f>
        <v>7670.6683302888978</v>
      </c>
      <c r="G40" s="19">
        <f>-F40</f>
        <v>-7670.6683302888978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f>G40</f>
        <v>-7670.6683302888978</v>
      </c>
    </row>
    <row r="41" spans="1:99" x14ac:dyDescent="0.25">
      <c r="A41" s="11" t="s">
        <v>4</v>
      </c>
      <c r="B41" s="11" t="s">
        <v>1</v>
      </c>
      <c r="C41" s="11" t="s">
        <v>22</v>
      </c>
      <c r="D41" s="37">
        <f>40*16</f>
        <v>640</v>
      </c>
      <c r="E41" s="11">
        <v>700</v>
      </c>
      <c r="F41" s="21">
        <f>D41*E41</f>
        <v>448000</v>
      </c>
      <c r="G41" s="17">
        <f>-F41</f>
        <v>-448000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f>$G$41/16</f>
        <v>-28000</v>
      </c>
      <c r="Y41" s="18">
        <f t="shared" ref="Y41:AM41" si="6">$G$41/16</f>
        <v>-28000</v>
      </c>
      <c r="Z41" s="18">
        <f t="shared" si="6"/>
        <v>-28000</v>
      </c>
      <c r="AA41" s="18">
        <f t="shared" si="6"/>
        <v>-28000</v>
      </c>
      <c r="AB41" s="18">
        <f t="shared" si="6"/>
        <v>-28000</v>
      </c>
      <c r="AC41" s="18">
        <f t="shared" si="6"/>
        <v>-28000</v>
      </c>
      <c r="AD41" s="18">
        <f t="shared" si="6"/>
        <v>-28000</v>
      </c>
      <c r="AE41" s="18">
        <f t="shared" si="6"/>
        <v>-28000</v>
      </c>
      <c r="AF41" s="18">
        <f t="shared" si="6"/>
        <v>-28000</v>
      </c>
      <c r="AG41" s="18">
        <f t="shared" si="6"/>
        <v>-28000</v>
      </c>
      <c r="AH41" s="18">
        <f t="shared" si="6"/>
        <v>-28000</v>
      </c>
      <c r="AI41" s="18">
        <f t="shared" si="6"/>
        <v>-28000</v>
      </c>
      <c r="AJ41" s="18">
        <f t="shared" si="6"/>
        <v>-28000</v>
      </c>
      <c r="AK41" s="18">
        <f t="shared" si="6"/>
        <v>-28000</v>
      </c>
      <c r="AL41" s="18">
        <f t="shared" si="6"/>
        <v>-28000</v>
      </c>
      <c r="AM41" s="18">
        <f t="shared" si="6"/>
        <v>-28000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37">
        <f>40*16</f>
        <v>640</v>
      </c>
      <c r="E42" s="11">
        <v>200</v>
      </c>
      <c r="F42" s="21">
        <f>D42*E42</f>
        <v>128000</v>
      </c>
      <c r="G42" s="19">
        <f>-$F$42</f>
        <v>-128000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f>$G$42/16</f>
        <v>-8000</v>
      </c>
      <c r="Y42" s="20">
        <f t="shared" ref="Y42:AM42" si="7">$G$42/16</f>
        <v>-8000</v>
      </c>
      <c r="Z42" s="20">
        <f t="shared" si="7"/>
        <v>-8000</v>
      </c>
      <c r="AA42" s="20">
        <f t="shared" si="7"/>
        <v>-8000</v>
      </c>
      <c r="AB42" s="20">
        <f t="shared" si="7"/>
        <v>-8000</v>
      </c>
      <c r="AC42" s="20">
        <f t="shared" si="7"/>
        <v>-8000</v>
      </c>
      <c r="AD42" s="20">
        <f t="shared" si="7"/>
        <v>-8000</v>
      </c>
      <c r="AE42" s="20">
        <f t="shared" si="7"/>
        <v>-8000</v>
      </c>
      <c r="AF42" s="20">
        <f t="shared" si="7"/>
        <v>-8000</v>
      </c>
      <c r="AG42" s="20">
        <f t="shared" si="7"/>
        <v>-8000</v>
      </c>
      <c r="AH42" s="20">
        <f t="shared" si="7"/>
        <v>-8000</v>
      </c>
      <c r="AI42" s="20">
        <f t="shared" si="7"/>
        <v>-8000</v>
      </c>
      <c r="AJ42" s="20">
        <f t="shared" si="7"/>
        <v>-8000</v>
      </c>
      <c r="AK42" s="20">
        <f t="shared" si="7"/>
        <v>-8000</v>
      </c>
      <c r="AL42" s="20">
        <f t="shared" si="7"/>
        <v>-8000</v>
      </c>
      <c r="AM42" s="20">
        <f t="shared" si="7"/>
        <v>-8000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</row>
    <row r="43" spans="1:99" x14ac:dyDescent="0.25">
      <c r="A43" s="11" t="s">
        <v>5</v>
      </c>
      <c r="B43" s="11" t="s">
        <v>177</v>
      </c>
      <c r="C43" s="11" t="s">
        <v>145</v>
      </c>
      <c r="D43" s="37">
        <v>0</v>
      </c>
      <c r="E43" s="11">
        <f>65*2183.04</f>
        <v>141897.60000000001</v>
      </c>
      <c r="F43" s="21">
        <f>D43*E43</f>
        <v>0</v>
      </c>
      <c r="G43" s="19">
        <f>F43</f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f>G43</f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v>0</v>
      </c>
    </row>
    <row r="44" spans="1:99" x14ac:dyDescent="0.25">
      <c r="A44" s="11" t="s">
        <v>5</v>
      </c>
      <c r="B44" s="11" t="s">
        <v>178</v>
      </c>
      <c r="C44" s="11" t="s">
        <v>179</v>
      </c>
      <c r="D44" s="37">
        <v>40</v>
      </c>
      <c r="E44" s="11">
        <v>16000</v>
      </c>
      <c r="F44" s="11">
        <f>D44*E44</f>
        <v>640000</v>
      </c>
      <c r="G44" s="19">
        <f>F44</f>
        <v>640000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f>G44</f>
        <v>640000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</row>
    <row r="45" spans="1:99" x14ac:dyDescent="0.25">
      <c r="A45" s="11" t="s">
        <v>5</v>
      </c>
      <c r="B45" s="11" t="s">
        <v>178</v>
      </c>
      <c r="C45" s="11" t="s">
        <v>180</v>
      </c>
      <c r="D45" s="37">
        <v>40</v>
      </c>
      <c r="E45" s="11">
        <v>11000</v>
      </c>
      <c r="F45" s="11">
        <f>D45*E45</f>
        <v>440000</v>
      </c>
      <c r="G45" s="19">
        <f>F45</f>
        <v>440000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f>G45</f>
        <v>440000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  <c r="CT45" s="20">
        <v>0</v>
      </c>
      <c r="CU45" s="20">
        <v>0</v>
      </c>
    </row>
    <row r="46" spans="1:99" x14ac:dyDescent="0.25">
      <c r="A46" s="11" t="s">
        <v>5</v>
      </c>
      <c r="B46" s="11" t="s">
        <v>181</v>
      </c>
      <c r="C46" s="11" t="s">
        <v>182</v>
      </c>
      <c r="D46" s="37">
        <v>0</v>
      </c>
      <c r="E46" s="11">
        <v>450</v>
      </c>
      <c r="F46" s="21">
        <f>D46*E46</f>
        <v>0</v>
      </c>
      <c r="G46" s="19">
        <f>F46</f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f>($D$46*$E$46)/60</f>
        <v>0</v>
      </c>
      <c r="AO46" s="20">
        <f t="shared" ref="AO46:CU46" si="8">($D$46*$E$46)/60</f>
        <v>0</v>
      </c>
      <c r="AP46" s="20">
        <f t="shared" si="8"/>
        <v>0</v>
      </c>
      <c r="AQ46" s="20">
        <f t="shared" si="8"/>
        <v>0</v>
      </c>
      <c r="AR46" s="20">
        <f t="shared" si="8"/>
        <v>0</v>
      </c>
      <c r="AS46" s="20">
        <f t="shared" si="8"/>
        <v>0</v>
      </c>
      <c r="AT46" s="20">
        <f t="shared" si="8"/>
        <v>0</v>
      </c>
      <c r="AU46" s="20">
        <f t="shared" si="8"/>
        <v>0</v>
      </c>
      <c r="AV46" s="20">
        <f t="shared" si="8"/>
        <v>0</v>
      </c>
      <c r="AW46" s="20">
        <f t="shared" si="8"/>
        <v>0</v>
      </c>
      <c r="AX46" s="20">
        <f t="shared" si="8"/>
        <v>0</v>
      </c>
      <c r="AY46" s="20">
        <f t="shared" si="8"/>
        <v>0</v>
      </c>
      <c r="AZ46" s="20">
        <f t="shared" si="8"/>
        <v>0</v>
      </c>
      <c r="BA46" s="20">
        <f t="shared" si="8"/>
        <v>0</v>
      </c>
      <c r="BB46" s="20">
        <f t="shared" si="8"/>
        <v>0</v>
      </c>
      <c r="BC46" s="20">
        <f t="shared" si="8"/>
        <v>0</v>
      </c>
      <c r="BD46" s="20">
        <f t="shared" si="8"/>
        <v>0</v>
      </c>
      <c r="BE46" s="20">
        <f t="shared" si="8"/>
        <v>0</v>
      </c>
      <c r="BF46" s="20">
        <f t="shared" si="8"/>
        <v>0</v>
      </c>
      <c r="BG46" s="20">
        <f t="shared" si="8"/>
        <v>0</v>
      </c>
      <c r="BH46" s="20">
        <f t="shared" si="8"/>
        <v>0</v>
      </c>
      <c r="BI46" s="20">
        <f t="shared" si="8"/>
        <v>0</v>
      </c>
      <c r="BJ46" s="20">
        <f t="shared" si="8"/>
        <v>0</v>
      </c>
      <c r="BK46" s="20">
        <f t="shared" si="8"/>
        <v>0</v>
      </c>
      <c r="BL46" s="20">
        <f t="shared" si="8"/>
        <v>0</v>
      </c>
      <c r="BM46" s="20">
        <f t="shared" si="8"/>
        <v>0</v>
      </c>
      <c r="BN46" s="20">
        <f t="shared" si="8"/>
        <v>0</v>
      </c>
      <c r="BO46" s="20">
        <f t="shared" si="8"/>
        <v>0</v>
      </c>
      <c r="BP46" s="20">
        <f t="shared" si="8"/>
        <v>0</v>
      </c>
      <c r="BQ46" s="20">
        <f t="shared" si="8"/>
        <v>0</v>
      </c>
      <c r="BR46" s="20">
        <f t="shared" si="8"/>
        <v>0</v>
      </c>
      <c r="BS46" s="20">
        <f t="shared" si="8"/>
        <v>0</v>
      </c>
      <c r="BT46" s="20">
        <f t="shared" si="8"/>
        <v>0</v>
      </c>
      <c r="BU46" s="20">
        <f t="shared" si="8"/>
        <v>0</v>
      </c>
      <c r="BV46" s="20">
        <f t="shared" si="8"/>
        <v>0</v>
      </c>
      <c r="BW46" s="20">
        <f t="shared" si="8"/>
        <v>0</v>
      </c>
      <c r="BX46" s="20">
        <f t="shared" si="8"/>
        <v>0</v>
      </c>
      <c r="BY46" s="20">
        <f t="shared" si="8"/>
        <v>0</v>
      </c>
      <c r="BZ46" s="20">
        <f t="shared" si="8"/>
        <v>0</v>
      </c>
      <c r="CA46" s="20">
        <f t="shared" si="8"/>
        <v>0</v>
      </c>
      <c r="CB46" s="20">
        <f t="shared" si="8"/>
        <v>0</v>
      </c>
      <c r="CC46" s="20">
        <f t="shared" si="8"/>
        <v>0</v>
      </c>
      <c r="CD46" s="20">
        <f t="shared" si="8"/>
        <v>0</v>
      </c>
      <c r="CE46" s="20">
        <f t="shared" si="8"/>
        <v>0</v>
      </c>
      <c r="CF46" s="20">
        <f t="shared" si="8"/>
        <v>0</v>
      </c>
      <c r="CG46" s="20">
        <f t="shared" si="8"/>
        <v>0</v>
      </c>
      <c r="CH46" s="20">
        <f t="shared" si="8"/>
        <v>0</v>
      </c>
      <c r="CI46" s="20">
        <f t="shared" si="8"/>
        <v>0</v>
      </c>
      <c r="CJ46" s="20">
        <f t="shared" si="8"/>
        <v>0</v>
      </c>
      <c r="CK46" s="20">
        <f t="shared" si="8"/>
        <v>0</v>
      </c>
      <c r="CL46" s="20">
        <f t="shared" si="8"/>
        <v>0</v>
      </c>
      <c r="CM46" s="20">
        <f t="shared" si="8"/>
        <v>0</v>
      </c>
      <c r="CN46" s="20">
        <f t="shared" si="8"/>
        <v>0</v>
      </c>
      <c r="CO46" s="20">
        <f t="shared" si="8"/>
        <v>0</v>
      </c>
      <c r="CP46" s="20">
        <f t="shared" si="8"/>
        <v>0</v>
      </c>
      <c r="CQ46" s="20">
        <f t="shared" si="8"/>
        <v>0</v>
      </c>
      <c r="CR46" s="20">
        <f t="shared" si="8"/>
        <v>0</v>
      </c>
      <c r="CS46" s="20">
        <f t="shared" si="8"/>
        <v>0</v>
      </c>
      <c r="CT46" s="20">
        <f t="shared" si="8"/>
        <v>0</v>
      </c>
      <c r="CU46" s="20">
        <f t="shared" si="8"/>
        <v>0</v>
      </c>
    </row>
    <row r="47" spans="1:99" x14ac:dyDescent="0.25">
      <c r="A47" s="11" t="s">
        <v>5</v>
      </c>
      <c r="B47" s="11" t="s">
        <v>183</v>
      </c>
      <c r="C47" s="11" t="s">
        <v>157</v>
      </c>
      <c r="D47" s="37">
        <v>0</v>
      </c>
      <c r="E47" s="11">
        <v>50</v>
      </c>
      <c r="F47" s="11">
        <f>D47*E47</f>
        <v>0</v>
      </c>
      <c r="G47" s="42">
        <f>F47</f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f>($D$47*$E$47)/60</f>
        <v>0</v>
      </c>
      <c r="AO47" s="20">
        <f t="shared" ref="AO47:CU47" si="9">($D$47*$E$47)/60</f>
        <v>0</v>
      </c>
      <c r="AP47" s="20">
        <f t="shared" si="9"/>
        <v>0</v>
      </c>
      <c r="AQ47" s="20">
        <f t="shared" si="9"/>
        <v>0</v>
      </c>
      <c r="AR47" s="20">
        <f t="shared" si="9"/>
        <v>0</v>
      </c>
      <c r="AS47" s="20">
        <f t="shared" si="9"/>
        <v>0</v>
      </c>
      <c r="AT47" s="20">
        <f t="shared" si="9"/>
        <v>0</v>
      </c>
      <c r="AU47" s="20">
        <f t="shared" si="9"/>
        <v>0</v>
      </c>
      <c r="AV47" s="20">
        <f t="shared" si="9"/>
        <v>0</v>
      </c>
      <c r="AW47" s="20">
        <f t="shared" si="9"/>
        <v>0</v>
      </c>
      <c r="AX47" s="20">
        <f t="shared" si="9"/>
        <v>0</v>
      </c>
      <c r="AY47" s="20">
        <f t="shared" si="9"/>
        <v>0</v>
      </c>
      <c r="AZ47" s="20">
        <f t="shared" si="9"/>
        <v>0</v>
      </c>
      <c r="BA47" s="20">
        <f t="shared" si="9"/>
        <v>0</v>
      </c>
      <c r="BB47" s="20">
        <f t="shared" si="9"/>
        <v>0</v>
      </c>
      <c r="BC47" s="20">
        <f t="shared" si="9"/>
        <v>0</v>
      </c>
      <c r="BD47" s="20">
        <f t="shared" si="9"/>
        <v>0</v>
      </c>
      <c r="BE47" s="20">
        <f t="shared" si="9"/>
        <v>0</v>
      </c>
      <c r="BF47" s="20">
        <f t="shared" si="9"/>
        <v>0</v>
      </c>
      <c r="BG47" s="20">
        <f t="shared" si="9"/>
        <v>0</v>
      </c>
      <c r="BH47" s="20">
        <f t="shared" si="9"/>
        <v>0</v>
      </c>
      <c r="BI47" s="20">
        <f t="shared" si="9"/>
        <v>0</v>
      </c>
      <c r="BJ47" s="20">
        <f t="shared" si="9"/>
        <v>0</v>
      </c>
      <c r="BK47" s="20">
        <f t="shared" si="9"/>
        <v>0</v>
      </c>
      <c r="BL47" s="20">
        <f t="shared" si="9"/>
        <v>0</v>
      </c>
      <c r="BM47" s="20">
        <f t="shared" si="9"/>
        <v>0</v>
      </c>
      <c r="BN47" s="20">
        <f t="shared" si="9"/>
        <v>0</v>
      </c>
      <c r="BO47" s="20">
        <f t="shared" si="9"/>
        <v>0</v>
      </c>
      <c r="BP47" s="20">
        <f t="shared" si="9"/>
        <v>0</v>
      </c>
      <c r="BQ47" s="20">
        <f t="shared" si="9"/>
        <v>0</v>
      </c>
      <c r="BR47" s="20">
        <f t="shared" si="9"/>
        <v>0</v>
      </c>
      <c r="BS47" s="20">
        <f t="shared" si="9"/>
        <v>0</v>
      </c>
      <c r="BT47" s="20">
        <f t="shared" si="9"/>
        <v>0</v>
      </c>
      <c r="BU47" s="20">
        <f t="shared" si="9"/>
        <v>0</v>
      </c>
      <c r="BV47" s="20">
        <f t="shared" si="9"/>
        <v>0</v>
      </c>
      <c r="BW47" s="20">
        <f t="shared" si="9"/>
        <v>0</v>
      </c>
      <c r="BX47" s="20">
        <f t="shared" si="9"/>
        <v>0</v>
      </c>
      <c r="BY47" s="20">
        <f t="shared" si="9"/>
        <v>0</v>
      </c>
      <c r="BZ47" s="20">
        <f t="shared" si="9"/>
        <v>0</v>
      </c>
      <c r="CA47" s="20">
        <f t="shared" si="9"/>
        <v>0</v>
      </c>
      <c r="CB47" s="20">
        <f t="shared" si="9"/>
        <v>0</v>
      </c>
      <c r="CC47" s="20">
        <f t="shared" si="9"/>
        <v>0</v>
      </c>
      <c r="CD47" s="20">
        <f t="shared" si="9"/>
        <v>0</v>
      </c>
      <c r="CE47" s="20">
        <f t="shared" si="9"/>
        <v>0</v>
      </c>
      <c r="CF47" s="20">
        <f t="shared" si="9"/>
        <v>0</v>
      </c>
      <c r="CG47" s="20">
        <f t="shared" si="9"/>
        <v>0</v>
      </c>
      <c r="CH47" s="20">
        <f t="shared" si="9"/>
        <v>0</v>
      </c>
      <c r="CI47" s="20">
        <f t="shared" si="9"/>
        <v>0</v>
      </c>
      <c r="CJ47" s="20">
        <f t="shared" si="9"/>
        <v>0</v>
      </c>
      <c r="CK47" s="20">
        <f t="shared" si="9"/>
        <v>0</v>
      </c>
      <c r="CL47" s="20">
        <f t="shared" si="9"/>
        <v>0</v>
      </c>
      <c r="CM47" s="20">
        <f t="shared" si="9"/>
        <v>0</v>
      </c>
      <c r="CN47" s="20">
        <f t="shared" si="9"/>
        <v>0</v>
      </c>
      <c r="CO47" s="20">
        <f t="shared" si="9"/>
        <v>0</v>
      </c>
      <c r="CP47" s="20">
        <f t="shared" si="9"/>
        <v>0</v>
      </c>
      <c r="CQ47" s="20">
        <f t="shared" si="9"/>
        <v>0</v>
      </c>
      <c r="CR47" s="20">
        <f t="shared" si="9"/>
        <v>0</v>
      </c>
      <c r="CS47" s="20">
        <f t="shared" si="9"/>
        <v>0</v>
      </c>
      <c r="CT47" s="20">
        <f t="shared" si="9"/>
        <v>0</v>
      </c>
      <c r="CU47" s="20">
        <f t="shared" si="9"/>
        <v>0</v>
      </c>
    </row>
    <row r="48" spans="1:99" x14ac:dyDescent="0.25">
      <c r="A48" s="11" t="s">
        <v>184</v>
      </c>
      <c r="B48" s="11" t="s">
        <v>185</v>
      </c>
      <c r="C48" s="11" t="s">
        <v>5</v>
      </c>
      <c r="F48" s="43"/>
      <c r="G48" s="45">
        <f>SUM(F43:F47)</f>
        <v>1080000</v>
      </c>
      <c r="H48" s="3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spans="1:99" x14ac:dyDescent="0.25">
      <c r="A49" s="11" t="s">
        <v>184</v>
      </c>
      <c r="B49" s="11" t="s">
        <v>185</v>
      </c>
      <c r="C49" s="11" t="s">
        <v>90</v>
      </c>
      <c r="F49" s="43"/>
      <c r="G49" s="45">
        <f>-SUM(F2:F42)</f>
        <v>-4175800.3074091421</v>
      </c>
      <c r="H49" s="39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spans="1:99" x14ac:dyDescent="0.25">
      <c r="A50" s="11" t="s">
        <v>184</v>
      </c>
      <c r="B50" s="11" t="s">
        <v>185</v>
      </c>
      <c r="C50" s="11" t="s">
        <v>186</v>
      </c>
      <c r="F50" s="43"/>
      <c r="G50" s="45">
        <f>SUM(G48:G49)</f>
        <v>-3095800.3074091421</v>
      </c>
      <c r="H50" s="39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spans="1:99" x14ac:dyDescent="0.25">
      <c r="A51" s="11" t="s">
        <v>184</v>
      </c>
      <c r="B51" s="11" t="s">
        <v>185</v>
      </c>
      <c r="C51" s="11" t="s">
        <v>187</v>
      </c>
      <c r="F51" s="43"/>
      <c r="G51" s="46">
        <f>G50/-G49</f>
        <v>-0.74136694274298731</v>
      </c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spans="1:99" x14ac:dyDescent="0.25">
      <c r="A52" s="11" t="s">
        <v>184</v>
      </c>
      <c r="B52" s="11" t="s">
        <v>188</v>
      </c>
      <c r="C52" s="11" t="s">
        <v>189</v>
      </c>
      <c r="F52" s="43"/>
      <c r="G52" s="47"/>
      <c r="H52" s="40">
        <f>SUM(H2:H47)</f>
        <v>0</v>
      </c>
      <c r="I52" s="25">
        <f>SUM(I2:I47)</f>
        <v>-7018</v>
      </c>
      <c r="J52" s="25">
        <f>SUM(J2:J47)</f>
        <v>0</v>
      </c>
      <c r="K52" s="25">
        <f>SUM(K2:K47)</f>
        <v>-9828.151354560001</v>
      </c>
      <c r="L52" s="25">
        <f>SUM(L2:L47)</f>
        <v>0</v>
      </c>
      <c r="M52" s="25">
        <f>SUM(M2:M47)</f>
        <v>-72219.555357206409</v>
      </c>
      <c r="N52" s="25">
        <f>SUM(N2:N47)</f>
        <v>-1582.3080000000002</v>
      </c>
      <c r="O52" s="25">
        <f>SUM(O2:O47)</f>
        <v>0</v>
      </c>
      <c r="P52" s="25">
        <f>SUM(P2:P47)</f>
        <v>-107340.7216972896</v>
      </c>
      <c r="Q52" s="25">
        <f>SUM(Q2:Q47)</f>
        <v>-22642.083360000004</v>
      </c>
      <c r="R52" s="25">
        <f>SUM(R2:R47)</f>
        <v>-2931.1513545600005</v>
      </c>
      <c r="S52" s="25">
        <f>SUM(S2:S47)</f>
        <v>0</v>
      </c>
      <c r="T52" s="25">
        <f>SUM(T2:T47)</f>
        <v>-90568.333440000017</v>
      </c>
      <c r="U52" s="25">
        <f>SUM(U2:U47)</f>
        <v>0</v>
      </c>
      <c r="V52" s="25">
        <f>SUM(V2:V47)</f>
        <v>0</v>
      </c>
      <c r="W52" s="25">
        <f>SUM(W2:W47)</f>
        <v>-18333.813934404458</v>
      </c>
      <c r="X52" s="25">
        <f>SUM(X2:X47)</f>
        <v>-140205.79282739467</v>
      </c>
      <c r="Y52" s="25">
        <f>SUM(Y2:Y47)</f>
        <v>-186714.25728081106</v>
      </c>
      <c r="Z52" s="25">
        <f>SUM(Z2:Z47)</f>
        <v>-84700.398492695793</v>
      </c>
      <c r="AA52" s="25">
        <f>SUM(AA2:AA47)</f>
        <v>-121435.18095194316</v>
      </c>
      <c r="AB52" s="25">
        <f>SUM(AB2:AB47)</f>
        <v>-150695.4731728707</v>
      </c>
      <c r="AC52" s="25">
        <f>SUM(AC2:AC47)</f>
        <v>-202368.81434597215</v>
      </c>
      <c r="AD52" s="25">
        <f>SUM(AD2:AD47)</f>
        <v>-211698.83517175485</v>
      </c>
      <c r="AE52" s="25">
        <f>SUM(AE2:AE47)</f>
        <v>-211063.70391975163</v>
      </c>
      <c r="AF52" s="25">
        <f>SUM(AF2:AF47)</f>
        <v>-205444.66794833168</v>
      </c>
      <c r="AG52" s="25">
        <f>SUM(AG2:AG47)</f>
        <v>-207294.86207891087</v>
      </c>
      <c r="AH52" s="25">
        <f>SUM(AH2:AH47)</f>
        <v>-236539.30859576078</v>
      </c>
      <c r="AI52" s="25">
        <f>SUM(AI2:AI47)</f>
        <v>-365406.24229861755</v>
      </c>
      <c r="AJ52" s="25">
        <f>SUM(AJ2:AJ47)</f>
        <v>-464382.93520328961</v>
      </c>
      <c r="AK52" s="25">
        <f>SUM(AK2:AK47)</f>
        <v>-354144.07588706445</v>
      </c>
      <c r="AL52" s="25">
        <f>SUM(AL2:AL47)</f>
        <v>-256355.64918611501</v>
      </c>
      <c r="AM52" s="25">
        <f>SUM(AM2:AM47)</f>
        <v>-199114.56466090493</v>
      </c>
      <c r="AN52" s="25">
        <f>SUM(AN2:AN47)</f>
        <v>1061299.509421468</v>
      </c>
      <c r="AO52" s="25">
        <f>SUM(AO2:AO47)</f>
        <v>-7113.1940140666647</v>
      </c>
      <c r="AP52" s="25">
        <f>SUM(AP2:AP47)</f>
        <v>-7002.5321404920678</v>
      </c>
      <c r="AQ52" s="25">
        <f>SUM(AQ2:AQ47)</f>
        <v>-6891.5475031195419</v>
      </c>
      <c r="AR52" s="25">
        <f>SUM(AR2:AR47)</f>
        <v>-6780.2391605546791</v>
      </c>
      <c r="AS52" s="25">
        <f>SUM(AS2:AS47)</f>
        <v>-6668.6061686573385</v>
      </c>
      <c r="AT52" s="25">
        <f>SUM(AT2:AT47)</f>
        <v>-6556.6475805336277</v>
      </c>
      <c r="AU52" s="25">
        <f>SUM(AU2:AU47)</f>
        <v>-6444.3624465278908</v>
      </c>
      <c r="AV52" s="25">
        <f>SUM(AV2:AV47)</f>
        <v>-6331.7498142146369</v>
      </c>
      <c r="AW52" s="25">
        <f>SUM(AW2:AW47)</f>
        <v>-6218.8087283904706</v>
      </c>
      <c r="AX52" s="25">
        <f>SUM(AX2:AX47)</f>
        <v>-6105.5382310659807</v>
      </c>
      <c r="AY52" s="25">
        <f>SUM(AY2:AY47)</f>
        <v>-5991.9373614576307</v>
      </c>
      <c r="AZ52" s="25">
        <f>SUM(AZ2:AZ47)</f>
        <v>-5878.0051559795884</v>
      </c>
      <c r="BA52" s="25">
        <f>SUM(BA2:BA47)</f>
        <v>-5763.74064823557</v>
      </c>
      <c r="BB52" s="25">
        <f>SUM(BB2:BB47)</f>
        <v>-5649.1428690106295</v>
      </c>
      <c r="BC52" s="25">
        <f>SUM(BC2:BC47)</f>
        <v>-5534.2108462629503</v>
      </c>
      <c r="BD52" s="25">
        <f>SUM(BD2:BD47)</f>
        <v>-5418.9436051155899</v>
      </c>
      <c r="BE52" s="25">
        <f>SUM(BE2:BE47)</f>
        <v>-5303.3401678482178</v>
      </c>
      <c r="BF52" s="25">
        <f>SUM(BF2:BF47)</f>
        <v>-5187.3995538888139</v>
      </c>
      <c r="BG52" s="25">
        <f>SUM(BG2:BG47)</f>
        <v>-5071.1207798053629</v>
      </c>
      <c r="BH52" s="25">
        <f>SUM(BH2:BH47)</f>
        <v>-4954.5028592975013</v>
      </c>
      <c r="BI52" s="25">
        <f>SUM(BI2:BI47)</f>
        <v>-4837.5448031881588</v>
      </c>
      <c r="BJ52" s="25">
        <f>SUM(BJ2:BJ47)</f>
        <v>-4720.2456194151637</v>
      </c>
      <c r="BK52" s="25">
        <f>SUM(BK2:BK47)</f>
        <v>-4602.6043130228318</v>
      </c>
      <c r="BL52" s="25">
        <f>SUM(BL2:BL47)</f>
        <v>-4484.6198861535213</v>
      </c>
      <c r="BM52" s="25">
        <f>SUM(BM2:BM47)</f>
        <v>-4366.2913380391756</v>
      </c>
      <c r="BN52" s="25">
        <f>SUM(BN2:BN47)</f>
        <v>-4247.6176649928302</v>
      </c>
      <c r="BO52" s="25">
        <f>SUM(BO2:BO47)</f>
        <v>-4128.5978604000993</v>
      </c>
      <c r="BP52" s="25">
        <f>SUM(BP2:BP47)</f>
        <v>-4009.2309147106394</v>
      </c>
      <c r="BQ52" s="25">
        <f>SUM(BQ2:BQ47)</f>
        <v>-3889.5158154295846</v>
      </c>
      <c r="BR52" s="25">
        <f>SUM(BR2:BR47)</f>
        <v>-3769.4515471089608</v>
      </c>
      <c r="BS52" s="25">
        <f>SUM(BS2:BS47)</f>
        <v>-3649.0370913390689</v>
      </c>
      <c r="BT52" s="25">
        <f>SUM(BT2:BT47)</f>
        <v>-3528.2714267398478</v>
      </c>
      <c r="BU52" s="25">
        <f>SUM(BU2:BU47)</f>
        <v>-3407.1535289522126</v>
      </c>
      <c r="BV52" s="25">
        <f>SUM(BV2:BV47)</f>
        <v>-3285.6823706293626</v>
      </c>
      <c r="BW52" s="25">
        <f>SUM(BW2:BW47)</f>
        <v>-3163.856921428071</v>
      </c>
      <c r="BX52" s="25">
        <f>SUM(BX2:BX47)</f>
        <v>-3041.6761479999427</v>
      </c>
      <c r="BY52" s="25">
        <f>SUM(BY2:BY47)</f>
        <v>-2919.1390139826494</v>
      </c>
      <c r="BZ52" s="25">
        <f>SUM(BZ2:BZ47)</f>
        <v>-2796.2444799911382</v>
      </c>
      <c r="CA52" s="25">
        <f>SUM(CA2:CA47)</f>
        <v>-2672.9915036088187</v>
      </c>
      <c r="CB52" s="25">
        <f>SUM(CB2:CB47)</f>
        <v>-2549.3790393787176</v>
      </c>
      <c r="CC52" s="25">
        <f>SUM(CC2:CC47)</f>
        <v>-2425.4060387946124</v>
      </c>
      <c r="CD52" s="25">
        <f>SUM(CD2:CD47)</f>
        <v>-2301.071450292136</v>
      </c>
      <c r="CE52" s="25">
        <f>SUM(CE2:CE47)</f>
        <v>-2176.3742192398613</v>
      </c>
      <c r="CF52" s="25">
        <f>SUM(CF2:CF47)</f>
        <v>-2051.3132879303507</v>
      </c>
      <c r="CG52" s="25">
        <f>SUM(CG2:CG47)</f>
        <v>-1925.8875955711876</v>
      </c>
      <c r="CH52" s="25">
        <f>SUM(CH2:CH47)</f>
        <v>-1800.0960782759767</v>
      </c>
      <c r="CI52" s="25">
        <f>SUM(CI2:CI47)</f>
        <v>-1673.9376690553213</v>
      </c>
      <c r="CJ52" s="25">
        <f>SUM(CJ2:CJ47)</f>
        <v>-1547.4112978077728</v>
      </c>
      <c r="CK52" s="25">
        <f>SUM(CK2:CK47)</f>
        <v>-1420.5158913107518</v>
      </c>
      <c r="CL52" s="25">
        <f>SUM(CL2:CL47)</f>
        <v>-1293.250373211448</v>
      </c>
      <c r="CM52" s="25">
        <f>SUM(CM2:CM47)</f>
        <v>-1165.6136640176878</v>
      </c>
      <c r="CN52" s="25">
        <f>SUM(CN2:CN47)</f>
        <v>-1037.6046810887792</v>
      </c>
      <c r="CO52" s="25">
        <f>SUM(CO2:CO47)</f>
        <v>-909.22233862632811</v>
      </c>
      <c r="CP52" s="25">
        <f>SUM(CP2:CP47)</f>
        <v>-780.465547665028</v>
      </c>
      <c r="CQ52" s="25">
        <f>SUM(CQ2:CQ47)</f>
        <v>-651.33321606342406</v>
      </c>
      <c r="CR52" s="25">
        <f>SUM(CR2:CR47)</f>
        <v>-521.82424849464883</v>
      </c>
      <c r="CS52" s="25">
        <f>SUM(CS2:CS47)</f>
        <v>-391.93754643713152</v>
      </c>
      <c r="CT52" s="25">
        <f>SUM(CT2:CT47)</f>
        <v>-261.67200816527964</v>
      </c>
      <c r="CU52" s="25">
        <f>SUM(CU2:CU47)</f>
        <v>-7801.6948590290322</v>
      </c>
    </row>
    <row r="53" spans="1:99" x14ac:dyDescent="0.25">
      <c r="A53" s="11" t="s">
        <v>184</v>
      </c>
      <c r="B53" s="11" t="s">
        <v>188</v>
      </c>
      <c r="C53" s="11" t="s">
        <v>190</v>
      </c>
      <c r="F53" s="43"/>
      <c r="G53" s="46">
        <f>SUM(H52:CU52)</f>
        <v>-3095800.7240308542</v>
      </c>
      <c r="H53" s="28">
        <f>SUM(H52:R52)</f>
        <v>-223561.97112361598</v>
      </c>
      <c r="I53" s="28"/>
      <c r="J53" s="28"/>
      <c r="K53" s="28"/>
      <c r="L53" s="28"/>
      <c r="M53" s="28"/>
      <c r="N53" s="28"/>
      <c r="O53" s="28"/>
      <c r="P53" s="28"/>
      <c r="Q53" s="28"/>
      <c r="R53" s="29"/>
      <c r="S53" s="27">
        <f>SUM(S52:AD52)</f>
        <v>-1206720.8996178468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9"/>
      <c r="AE53" s="27">
        <f>SUM(AE52:AP52)</f>
        <v>-1452562.226511837</v>
      </c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27">
        <f>SUM(AQ52:BB52)</f>
        <v>-75280.325667747573</v>
      </c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9"/>
      <c r="BC53" s="27">
        <f>SUM(BC52:BN52)</f>
        <v>-58728.441437030124</v>
      </c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9"/>
      <c r="BO53" s="27">
        <f>SUM(BO52:BZ52)</f>
        <v>-41587.857118711567</v>
      </c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9"/>
      <c r="CA53" s="27">
        <f>SUM(CA52:CL52)</f>
        <v>-23837.634444476957</v>
      </c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9"/>
      <c r="CM53" s="27">
        <f>SUM(CM52:CU52)</f>
        <v>-13521.368109587338</v>
      </c>
      <c r="CN53" s="28"/>
      <c r="CO53" s="28"/>
      <c r="CP53" s="28"/>
      <c r="CQ53" s="28"/>
      <c r="CR53" s="28"/>
      <c r="CS53" s="28"/>
      <c r="CT53" s="28"/>
      <c r="CU53" s="29"/>
    </row>
    <row r="54" spans="1:99" x14ac:dyDescent="0.25">
      <c r="A54" s="11" t="s">
        <v>184</v>
      </c>
      <c r="B54" s="11" t="s">
        <v>191</v>
      </c>
      <c r="C54" s="11" t="s">
        <v>192</v>
      </c>
      <c r="F54" s="43"/>
      <c r="G54" s="45">
        <v>0.06</v>
      </c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spans="1:99" x14ac:dyDescent="0.25">
      <c r="A55" s="11" t="s">
        <v>184</v>
      </c>
      <c r="B55" s="11" t="s">
        <v>191</v>
      </c>
      <c r="C55" s="11" t="s">
        <v>91</v>
      </c>
      <c r="F55" s="43"/>
      <c r="G55" s="45">
        <f xml:space="preserve"> (1+G54)^(1/12)-1</f>
        <v>4.8675505653430484E-3</v>
      </c>
      <c r="H55" s="39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spans="1:99" x14ac:dyDescent="0.25">
      <c r="A56" s="11" t="s">
        <v>184</v>
      </c>
      <c r="B56" s="11" t="s">
        <v>191</v>
      </c>
      <c r="C56" s="11" t="s">
        <v>92</v>
      </c>
      <c r="F56" s="43"/>
      <c r="G56" s="45">
        <v>5.0000000000000001E-4</v>
      </c>
      <c r="H56" s="39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spans="1:99" x14ac:dyDescent="0.25">
      <c r="A57" s="11" t="s">
        <v>184</v>
      </c>
      <c r="B57" s="11" t="s">
        <v>193</v>
      </c>
      <c r="C57" s="11" t="s">
        <v>93</v>
      </c>
      <c r="F57" s="43"/>
      <c r="G57" s="45">
        <f>NPV(G55,Q52:CU52)+SUM(H52:P52)</f>
        <v>-2883771.8627073681</v>
      </c>
      <c r="H57" s="4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</row>
    <row r="58" spans="1:99" x14ac:dyDescent="0.25">
      <c r="A58" s="11" t="s">
        <v>184</v>
      </c>
      <c r="B58" s="11" t="s">
        <v>193</v>
      </c>
      <c r="C58" s="11" t="s">
        <v>94</v>
      </c>
      <c r="F58" s="43"/>
      <c r="G58" s="45">
        <f>CU58</f>
        <v>-1.1649135298644309E-2</v>
      </c>
      <c r="H58" s="40"/>
      <c r="I58" s="25">
        <f>MIRR(H52:I52,G56,G55)</f>
        <v>-1</v>
      </c>
      <c r="J58" s="25">
        <f>MIRR($H$52:J52,$G$56,$G$55)</f>
        <v>-1</v>
      </c>
      <c r="K58" s="25">
        <f>MIRR($H$52:K52,$G$56,$G$55)</f>
        <v>-1</v>
      </c>
      <c r="L58" s="25">
        <f>MIRR($H$52:L52,$G$56,$G$55)</f>
        <v>-1</v>
      </c>
      <c r="M58" s="25">
        <f>MIRR($H$52:M52,$G$56,$G$55)</f>
        <v>-1</v>
      </c>
      <c r="N58" s="25">
        <f>MIRR($H$52:N52,$G$56,$G$55)</f>
        <v>-1</v>
      </c>
      <c r="O58" s="25">
        <f>MIRR($H$52:O52,$G$56,$G$55)</f>
        <v>-1</v>
      </c>
      <c r="P58" s="25">
        <f>MIRR($H$52:P52,$G$56,$G$55)</f>
        <v>-1</v>
      </c>
      <c r="Q58" s="25">
        <f>MIRR($H$52:Q52,$G$56,$G$55)</f>
        <v>-1</v>
      </c>
      <c r="R58" s="25">
        <f>MIRR($H$52:R52,$G$56,$G$55)</f>
        <v>-1</v>
      </c>
      <c r="S58" s="25">
        <f>MIRR($H$52:S52,$G$56,$G$55)</f>
        <v>-1</v>
      </c>
      <c r="T58" s="25">
        <f>MIRR($H$52:T52,$G$56,$G$55)</f>
        <v>-1</v>
      </c>
      <c r="U58" s="25">
        <f>MIRR($H$52:U52,$G$56,$G$55)</f>
        <v>-1</v>
      </c>
      <c r="V58" s="25">
        <f>MIRR($H$52:V52,$G$56,$G$55)</f>
        <v>-1</v>
      </c>
      <c r="W58" s="25">
        <f>MIRR($H$52:W52,$G$56,$G$55)</f>
        <v>-1</v>
      </c>
      <c r="X58" s="25">
        <f>MIRR($H$52:X52,$G$56,$G$55)</f>
        <v>-1</v>
      </c>
      <c r="Y58" s="25">
        <f>MIRR($H$52:Y52,$G$56,$G$55)</f>
        <v>-1</v>
      </c>
      <c r="Z58" s="25">
        <f>MIRR($H$52:Z52,$G$56,$G$55)</f>
        <v>-1</v>
      </c>
      <c r="AA58" s="25">
        <f>MIRR($H$52:AA52,$G$56,$G$55)</f>
        <v>-1</v>
      </c>
      <c r="AB58" s="25">
        <f>MIRR($H$52:AB52,$G$56,$G$55)</f>
        <v>-1</v>
      </c>
      <c r="AC58" s="25">
        <f>MIRR($H$52:AC52,$G$56,$G$55)</f>
        <v>-1</v>
      </c>
      <c r="AD58" s="25">
        <f>MIRR($H$52:AD52,$G$56,$G$55)</f>
        <v>-1</v>
      </c>
      <c r="AE58" s="25">
        <f>MIRR($H$52:AE52,$G$56,$G$55)</f>
        <v>-1</v>
      </c>
      <c r="AF58" s="25">
        <f>MIRR($H$52:AF52,$G$56,$G$55)</f>
        <v>-1</v>
      </c>
      <c r="AG58" s="25">
        <f>MIRR($H$52:AG52,$G$56,$G$55)</f>
        <v>-1</v>
      </c>
      <c r="AH58" s="25">
        <f>MIRR($H$52:AH52,$G$56,$G$55)</f>
        <v>-1</v>
      </c>
      <c r="AI58" s="25">
        <f>MIRR($H$52:AI52,$G$56,$G$55)</f>
        <v>-1</v>
      </c>
      <c r="AJ58" s="25">
        <f>MIRR($H$52:AJ52,$G$56,$G$55)</f>
        <v>-1</v>
      </c>
      <c r="AK58" s="25">
        <f>MIRR($H$52:AK52,$G$56,$G$55)</f>
        <v>-1</v>
      </c>
      <c r="AL58" s="25">
        <f>MIRR($H$52:AL52,$G$56,$G$55)</f>
        <v>-1</v>
      </c>
      <c r="AM58" s="25">
        <f>MIRR($H$52:AM52,$G$56,$G$55)</f>
        <v>-1</v>
      </c>
      <c r="AN58" s="25">
        <f>MIRR($H$52:AN52,$G$56,$G$55)</f>
        <v>-3.9733942149554946E-2</v>
      </c>
      <c r="AO58" s="25">
        <f>MIRR($H$52:AO52,$G$56,$G$55)</f>
        <v>-3.8464361617535858E-2</v>
      </c>
      <c r="AP58" s="25">
        <f>MIRR($H$52:AP52,$G$56,$G$55)</f>
        <v>-3.7267021778576215E-2</v>
      </c>
      <c r="AQ58" s="25">
        <f>MIRR($H$52:AQ52,$G$56,$G$55)</f>
        <v>-3.6135856498859309E-2</v>
      </c>
      <c r="AR58" s="25">
        <f>MIRR($H$52:AR52,$G$56,$G$55)</f>
        <v>-3.5065460476940813E-2</v>
      </c>
      <c r="AS58" s="25">
        <f>MIRR($H$52:AS52,$G$56,$G$55)</f>
        <v>-3.4051001642378065E-2</v>
      </c>
      <c r="AT58" s="25">
        <f>MIRR($H$52:AT52,$G$56,$G$55)</f>
        <v>-3.3088147128057188E-2</v>
      </c>
      <c r="AU58" s="25">
        <f>MIRR($H$52:AU52,$G$56,$G$55)</f>
        <v>-3.2173000424506659E-2</v>
      </c>
      <c r="AV58" s="25">
        <f>MIRR($H$52:AV52,$G$56,$G$55)</f>
        <v>-3.1302047794234289E-2</v>
      </c>
      <c r="AW58" s="25">
        <f>MIRR($H$52:AW52,$G$56,$G$55)</f>
        <v>-3.0472112392576189E-2</v>
      </c>
      <c r="AX58" s="25">
        <f>MIRR($H$52:AX52,$G$56,$G$55)</f>
        <v>-2.968031483240241E-2</v>
      </c>
      <c r="AY58" s="25">
        <f>MIRR($H$52:AY52,$G$56,$G$55)</f>
        <v>-2.8924039161027482E-2</v>
      </c>
      <c r="AZ58" s="25">
        <f>MIRR($H$52:AZ52,$G$56,$G$55)</f>
        <v>-2.8200903402191835E-2</v>
      </c>
      <c r="BA58" s="25">
        <f>MIRR($H$52:BA52,$G$56,$G$55)</f>
        <v>-2.750873396419784E-2</v>
      </c>
      <c r="BB58" s="25">
        <f>MIRR($H$52:BB52,$G$56,$G$55)</f>
        <v>-2.6845543334940714E-2</v>
      </c>
      <c r="BC58" s="25">
        <f>MIRR($H$52:BC52,$G$56,$G$55)</f>
        <v>-2.6209510581682305E-2</v>
      </c>
      <c r="BD58" s="25">
        <f>MIRR($H$52:BD52,$G$56,$G$55)</f>
        <v>-2.5598964252576351E-2</v>
      </c>
      <c r="BE58" s="25">
        <f>MIRR($H$52:BE52,$G$56,$G$55)</f>
        <v>-2.5012367341795794E-2</v>
      </c>
      <c r="BF58" s="25">
        <f>MIRR($H$52:BF52,$G$56,$G$55)</f>
        <v>-2.4448304033444224E-2</v>
      </c>
      <c r="BG58" s="25">
        <f>MIRR($H$52:BG52,$G$56,$G$55)</f>
        <v>-2.3905467983489359E-2</v>
      </c>
      <c r="BH58" s="25">
        <f>MIRR($H$52:BH52,$G$56,$G$55)</f>
        <v>-2.3382651935491272E-2</v>
      </c>
      <c r="BI58" s="25">
        <f>MIRR($H$52:BI52,$G$56,$G$55)</f>
        <v>-2.287873849630917E-2</v>
      </c>
      <c r="BJ58" s="25">
        <f>MIRR($H$52:BJ52,$G$56,$G$55)</f>
        <v>-2.2392691923386332E-2</v>
      </c>
      <c r="BK58" s="25">
        <f>MIRR($H$52:BK52,$G$56,$G$55)</f>
        <v>-2.1923550796517643E-2</v>
      </c>
      <c r="BL58" s="25">
        <f>MIRR($H$52:BL52,$G$56,$G$55)</f>
        <v>-2.1470421464931277E-2</v>
      </c>
      <c r="BM58" s="25">
        <f>MIRR($H$52:BM52,$G$56,$G$55)</f>
        <v>-2.1032472175648187E-2</v>
      </c>
      <c r="BN58" s="25">
        <f>MIRR($H$52:BN52,$G$56,$G$55)</f>
        <v>-2.0608927801894716E-2</v>
      </c>
      <c r="BO58" s="25">
        <f>MIRR($H$52:BO52,$G$56,$G$55)</f>
        <v>-2.0199065101226488E-2</v>
      </c>
      <c r="BP58" s="25">
        <f>MIRR($H$52:BP52,$G$56,$G$55)</f>
        <v>-1.9802208442286195E-2</v>
      </c>
      <c r="BQ58" s="25">
        <f>MIRR($H$52:BQ52,$G$56,$G$55)</f>
        <v>-1.9417725947041609E-2</v>
      </c>
      <c r="BR58" s="25">
        <f>MIRR($H$52:BR52,$G$56,$G$55)</f>
        <v>-1.9045026002123766E-2</v>
      </c>
      <c r="BS58" s="25">
        <f>MIRR($H$52:BS52,$G$56,$G$55)</f>
        <v>-1.8683554098714361E-2</v>
      </c>
      <c r="BT58" s="25">
        <f>MIRR($H$52:BT52,$G$56,$G$55)</f>
        <v>-1.8332789965439522E-2</v>
      </c>
      <c r="BU58" s="25">
        <f>MIRR($H$52:BU52,$G$56,$G$55)</f>
        <v>-1.799224496305929E-2</v>
      </c>
      <c r="BV58" s="25">
        <f>MIRR($H$52:BV52,$G$56,$G$55)</f>
        <v>-1.7661459713479655E-2</v>
      </c>
      <c r="BW58" s="25">
        <f>MIRR($H$52:BW52,$G$56,$G$55)</f>
        <v>-1.7340001938863425E-2</v>
      </c>
      <c r="BX58" s="25">
        <f>MIRR($H$52:BX52,$G$56,$G$55)</f>
        <v>-1.7027464489435928E-2</v>
      </c>
      <c r="BY58" s="25">
        <f>MIRR($H$52:BY52,$G$56,$G$55)</f>
        <v>-1.6723463541035488E-2</v>
      </c>
      <c r="BZ58" s="25">
        <f>MIRR($H$52:BZ52,$G$56,$G$55)</f>
        <v>-1.6427636945606339E-2</v>
      </c>
      <c r="CA58" s="25">
        <f>MIRR($H$52:CA52,$G$56,$G$55)</f>
        <v>-1.6139642719702252E-2</v>
      </c>
      <c r="CB58" s="25">
        <f>MIRR($H$52:CB52,$G$56,$G$55)</f>
        <v>-1.5859157657716061E-2</v>
      </c>
      <c r="CC58" s="25">
        <f>MIRR($H$52:CC52,$G$56,$G$55)</f>
        <v>-1.5585876057986781E-2</v>
      </c>
      <c r="CD58" s="25">
        <f>MIRR($H$52:CD52,$G$56,$G$55)</f>
        <v>-1.5319508551211003E-2</v>
      </c>
      <c r="CE58" s="25">
        <f>MIRR($H$52:CE52,$G$56,$G$55)</f>
        <v>-1.5059781021697471E-2</v>
      </c>
      <c r="CF58" s="25">
        <f>MIRR($H$52:CF52,$G$56,$G$55)</f>
        <v>-1.4806433612992387E-2</v>
      </c>
      <c r="CG58" s="25">
        <f>MIRR($H$52:CG52,$G$56,$G$55)</f>
        <v>-1.4559219810275748E-2</v>
      </c>
      <c r="CH58" s="25">
        <f>MIRR($H$52:CH52,$G$56,$G$55)</f>
        <v>-1.4317905592700408E-2</v>
      </c>
      <c r="CI58" s="25">
        <f>MIRR($H$52:CI52,$G$56,$G$55)</f>
        <v>-1.4082268649531438E-2</v>
      </c>
      <c r="CJ58" s="25">
        <f>MIRR($H$52:CJ52,$G$56,$G$55)</f>
        <v>-1.3852097654551865E-2</v>
      </c>
      <c r="CK58" s="25">
        <f>MIRR($H$52:CK52,$G$56,$G$55)</f>
        <v>-1.3627191593742705E-2</v>
      </c>
      <c r="CL58" s="25">
        <f>MIRR($H$52:CL52,$G$56,$G$55)</f>
        <v>-1.340735914172908E-2</v>
      </c>
      <c r="CM58" s="25">
        <f>MIRR($H$52:CM52,$G$56,$G$55)</f>
        <v>-1.319241808291316E-2</v>
      </c>
      <c r="CN58" s="25">
        <f>MIRR($H$52:CN52,$G$56,$G$55)</f>
        <v>-1.2982194773601075E-2</v>
      </c>
      <c r="CO58" s="25">
        <f>MIRR($H$52:CO52,$G$56,$G$55)</f>
        <v>-1.2776523641776505E-2</v>
      </c>
      <c r="CP58" s="25">
        <f>MIRR($H$52:CP52,$G$56,$G$55)</f>
        <v>-1.2575246721480804E-2</v>
      </c>
      <c r="CQ58" s="25">
        <f>MIRR($H$52:CQ52,$G$56,$G$55)</f>
        <v>-1.2378213219036427E-2</v>
      </c>
      <c r="CR58" s="25">
        <f>MIRR($H$52:CR52,$G$56,$G$55)</f>
        <v>-1.2185279108603564E-2</v>
      </c>
      <c r="CS58" s="25">
        <f>MIRR($H$52:CS52,$G$56,$G$55)</f>
        <v>-1.1996306754777364E-2</v>
      </c>
      <c r="CT58" s="25">
        <f>MIRR($H$52:CT52,$G$56,$G$55)</f>
        <v>-1.1811164560141973E-2</v>
      </c>
      <c r="CU58" s="25">
        <f>MIRR($H$52:CU52,$G$56,$G$55)</f>
        <v>-1.1649135298644309E-2</v>
      </c>
    </row>
    <row r="59" spans="1:99" x14ac:dyDescent="0.25">
      <c r="F59" s="44"/>
      <c r="G59" s="45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19 AP22">
    <cfRule type="cellIs" dxfId="44" priority="17" stopIfTrue="1" operator="equal">
      <formula>#REF!</formula>
    </cfRule>
  </conditionalFormatting>
  <conditionalFormatting sqref="Y22:AF22 AH19:AI19 AH22:AI22 AK19:AL19 AK22:AL22 AN19:AO19 AN22:AO22 H33:V39 W33:CU36 W38:BC38 W39:CU39 H24:R24 H16:W17 Y16:CU16 X17:AQ17 H6:W11 X9:Y11 Y7:AM7 X8:AM8 X6:AM6 Z9:AM9 Z10:CU11 AN6:CU9 Y19:AF19 H40:CU45 H2:CU5 H13:CU15 AQ19 H25:CU32 H18:H23 K23:CU23 K22:R22 K18:K21 Z18:AM18 Z21:AM21 X20:AF20 AQ22:CU22 AY17:CU21">
    <cfRule type="cellIs" dxfId="43" priority="19" stopIfTrue="1" operator="equal">
      <formula>#REF!</formula>
    </cfRule>
  </conditionalFormatting>
  <conditionalFormatting sqref="X7 X16 X19 S22:X22 W37:CU37 S24:CU24">
    <cfRule type="cellIs" dxfId="42" priority="18" stopIfTrue="1" operator="equal">
      <formula>#REF!</formula>
    </cfRule>
  </conditionalFormatting>
  <conditionalFormatting sqref="H12:CU12">
    <cfRule type="cellIs" dxfId="41" priority="16" stopIfTrue="1" operator="equal">
      <formula>#REF!</formula>
    </cfRule>
  </conditionalFormatting>
  <conditionalFormatting sqref="H46:AM46">
    <cfRule type="cellIs" dxfId="40" priority="15" stopIfTrue="1" operator="equal">
      <formula>#REF!</formula>
    </cfRule>
  </conditionalFormatting>
  <conditionalFormatting sqref="H47:CU47">
    <cfRule type="cellIs" dxfId="39" priority="14" stopIfTrue="1" operator="equal">
      <formula>#REF!</formula>
    </cfRule>
  </conditionalFormatting>
  <conditionalFormatting sqref="AN46:CU46">
    <cfRule type="cellIs" dxfId="38" priority="13" stopIfTrue="1" operator="equal">
      <formula>#REF!</formula>
    </cfRule>
  </conditionalFormatting>
  <conditionalFormatting sqref="I18:J23">
    <cfRule type="cellIs" dxfId="37" priority="12" stopIfTrue="1" operator="equal">
      <formula>#REF!</formula>
    </cfRule>
  </conditionalFormatting>
  <conditionalFormatting sqref="L18:R21">
    <cfRule type="cellIs" dxfId="36" priority="11" stopIfTrue="1" operator="equal">
      <formula>#REF!</formula>
    </cfRule>
  </conditionalFormatting>
  <conditionalFormatting sqref="S18:W21">
    <cfRule type="cellIs" dxfId="35" priority="10" stopIfTrue="1" operator="equal">
      <formula>#REF!</formula>
    </cfRule>
  </conditionalFormatting>
  <conditionalFormatting sqref="Y18">
    <cfRule type="cellIs" dxfId="34" priority="9" stopIfTrue="1" operator="equal">
      <formula>#REF!</formula>
    </cfRule>
  </conditionalFormatting>
  <conditionalFormatting sqref="X18">
    <cfRule type="cellIs" dxfId="33" priority="8" stopIfTrue="1" operator="equal">
      <formula>#REF!</formula>
    </cfRule>
  </conditionalFormatting>
  <conditionalFormatting sqref="Y21">
    <cfRule type="cellIs" dxfId="32" priority="7" stopIfTrue="1" operator="equal">
      <formula>#REF!</formula>
    </cfRule>
  </conditionalFormatting>
  <conditionalFormatting sqref="X21">
    <cfRule type="cellIs" dxfId="31" priority="6" stopIfTrue="1" operator="equal">
      <formula>#REF!</formula>
    </cfRule>
  </conditionalFormatting>
  <conditionalFormatting sqref="AG20:AL20">
    <cfRule type="cellIs" dxfId="30" priority="5" stopIfTrue="1" operator="equal">
      <formula>#REF!</formula>
    </cfRule>
  </conditionalFormatting>
  <conditionalFormatting sqref="AN18:AQ18">
    <cfRule type="cellIs" dxfId="29" priority="4" stopIfTrue="1" operator="equal">
      <formula>#REF!</formula>
    </cfRule>
  </conditionalFormatting>
  <conditionalFormatting sqref="AN20:AQ21">
    <cfRule type="cellIs" dxfId="28" priority="3" stopIfTrue="1" operator="equal">
      <formula>#REF!</formula>
    </cfRule>
  </conditionalFormatting>
  <conditionalFormatting sqref="AR17:AX21">
    <cfRule type="cellIs" dxfId="27" priority="2" stopIfTrue="1" operator="equal">
      <formula>#REF!</formula>
    </cfRule>
  </conditionalFormatting>
  <conditionalFormatting sqref="AM20">
    <cfRule type="cellIs" dxfId="26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416F-0E4E-49CB-B707-A25622E7B0DC}">
  <sheetPr codeName="Hoja4"/>
  <dimension ref="A1:CU59"/>
  <sheetViews>
    <sheetView zoomScale="85" zoomScaleNormal="85" workbookViewId="0">
      <pane xSplit="7" ySplit="1" topLeftCell="CP2" activePane="bottomRight" state="frozen"/>
      <selection pane="topRight" activeCell="J1" sqref="J1"/>
      <selection pane="bottomLeft" activeCell="A9" sqref="A9"/>
      <selection pane="bottomRight" activeCell="D1" sqref="D1:F1"/>
    </sheetView>
  </sheetViews>
  <sheetFormatPr baseColWidth="10" defaultColWidth="10.7109375" defaultRowHeight="15" x14ac:dyDescent="0.25"/>
  <cols>
    <col min="1" max="1" width="10.7109375" style="11"/>
    <col min="2" max="2" width="24.140625" style="11" bestFit="1" customWidth="1"/>
    <col min="3" max="3" width="58.5703125" style="11" bestFit="1" customWidth="1"/>
    <col min="4" max="4" width="10.7109375" style="37"/>
    <col min="5" max="5" width="14" style="11" customWidth="1"/>
    <col min="6" max="6" width="18" style="11" customWidth="1"/>
    <col min="7" max="7" width="18.28515625" style="34" bestFit="1" customWidth="1"/>
    <col min="8" max="12" width="10.7109375" style="34"/>
    <col min="13" max="13" width="11.42578125" style="34" bestFit="1" customWidth="1"/>
    <col min="14" max="15" width="10.7109375" style="34"/>
    <col min="16" max="16" width="11.42578125" style="34" bestFit="1" customWidth="1"/>
    <col min="17" max="19" width="10.7109375" style="34"/>
    <col min="20" max="20" width="11.42578125" style="34" bestFit="1" customWidth="1"/>
    <col min="21" max="23" width="10.7109375" style="34"/>
    <col min="24" max="39" width="11.42578125" style="34" bestFit="1" customWidth="1"/>
    <col min="40" max="40" width="12.28515625" style="34" bestFit="1" customWidth="1"/>
    <col min="41" max="55" width="10.7109375" style="34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10" t="s">
        <v>159</v>
      </c>
      <c r="B1" s="10" t="s">
        <v>160</v>
      </c>
      <c r="C1" s="10" t="s">
        <v>161</v>
      </c>
      <c r="D1" s="12" t="s">
        <v>187</v>
      </c>
      <c r="E1" s="13" t="s">
        <v>194</v>
      </c>
      <c r="F1" s="13" t="s">
        <v>195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4" t="s">
        <v>62</v>
      </c>
      <c r="AC1" s="14" t="s">
        <v>63</v>
      </c>
      <c r="AD1" s="14" t="s">
        <v>64</v>
      </c>
      <c r="AE1" s="14" t="s">
        <v>65</v>
      </c>
      <c r="AF1" s="14" t="s">
        <v>66</v>
      </c>
      <c r="AG1" s="14" t="s">
        <v>67</v>
      </c>
      <c r="AH1" s="14" t="s">
        <v>68</v>
      </c>
      <c r="AI1" s="14" t="s">
        <v>69</v>
      </c>
      <c r="AJ1" s="14" t="s">
        <v>70</v>
      </c>
      <c r="AK1" s="14" t="s">
        <v>71</v>
      </c>
      <c r="AL1" s="14" t="s">
        <v>72</v>
      </c>
      <c r="AM1" s="14" t="s">
        <v>73</v>
      </c>
      <c r="AN1" s="14" t="s">
        <v>74</v>
      </c>
      <c r="AO1" s="14" t="s">
        <v>75</v>
      </c>
      <c r="AP1" s="14" t="s">
        <v>76</v>
      </c>
      <c r="AQ1" s="14" t="s">
        <v>77</v>
      </c>
      <c r="AR1" s="14" t="s">
        <v>78</v>
      </c>
      <c r="AS1" s="14" t="s">
        <v>79</v>
      </c>
      <c r="AT1" s="14" t="s">
        <v>80</v>
      </c>
      <c r="AU1" s="14" t="s">
        <v>81</v>
      </c>
      <c r="AV1" s="14" t="s">
        <v>82</v>
      </c>
      <c r="AW1" s="14" t="s">
        <v>83</v>
      </c>
      <c r="AX1" s="14" t="s">
        <v>84</v>
      </c>
      <c r="AY1" s="14" t="s">
        <v>85</v>
      </c>
      <c r="AZ1" s="14" t="s">
        <v>86</v>
      </c>
      <c r="BA1" s="14" t="s">
        <v>87</v>
      </c>
      <c r="BB1" s="14" t="s">
        <v>88</v>
      </c>
      <c r="BC1" s="14" t="s">
        <v>89</v>
      </c>
      <c r="BD1" s="14" t="s">
        <v>97</v>
      </c>
      <c r="BE1" s="14" t="s">
        <v>98</v>
      </c>
      <c r="BF1" s="14" t="s">
        <v>99</v>
      </c>
      <c r="BG1" s="14" t="s">
        <v>100</v>
      </c>
      <c r="BH1" s="14" t="s">
        <v>101</v>
      </c>
      <c r="BI1" s="14" t="s">
        <v>102</v>
      </c>
      <c r="BJ1" s="14" t="s">
        <v>103</v>
      </c>
      <c r="BK1" s="14" t="s">
        <v>104</v>
      </c>
      <c r="BL1" s="14" t="s">
        <v>105</v>
      </c>
      <c r="BM1" s="14" t="s">
        <v>106</v>
      </c>
      <c r="BN1" s="14" t="s">
        <v>107</v>
      </c>
      <c r="BO1" s="14" t="s">
        <v>108</v>
      </c>
      <c r="BP1" s="14" t="s">
        <v>109</v>
      </c>
      <c r="BQ1" s="14" t="s">
        <v>110</v>
      </c>
      <c r="BR1" s="14" t="s">
        <v>111</v>
      </c>
      <c r="BS1" s="14" t="s">
        <v>112</v>
      </c>
      <c r="BT1" s="14" t="s">
        <v>113</v>
      </c>
      <c r="BU1" s="14" t="s">
        <v>114</v>
      </c>
      <c r="BV1" s="14" t="s">
        <v>115</v>
      </c>
      <c r="BW1" s="14" t="s">
        <v>116</v>
      </c>
      <c r="BX1" s="14" t="s">
        <v>117</v>
      </c>
      <c r="BY1" s="14" t="s">
        <v>118</v>
      </c>
      <c r="BZ1" s="14" t="s">
        <v>119</v>
      </c>
      <c r="CA1" s="14" t="s">
        <v>120</v>
      </c>
      <c r="CB1" s="14" t="s">
        <v>121</v>
      </c>
      <c r="CC1" s="14" t="s">
        <v>122</v>
      </c>
      <c r="CD1" s="14" t="s">
        <v>123</v>
      </c>
      <c r="CE1" s="14" t="s">
        <v>124</v>
      </c>
      <c r="CF1" s="14" t="s">
        <v>125</v>
      </c>
      <c r="CG1" s="14" t="s">
        <v>126</v>
      </c>
      <c r="CH1" s="14" t="s">
        <v>127</v>
      </c>
      <c r="CI1" s="14" t="s">
        <v>128</v>
      </c>
      <c r="CJ1" s="14" t="s">
        <v>129</v>
      </c>
      <c r="CK1" s="14" t="s">
        <v>130</v>
      </c>
      <c r="CL1" s="14" t="s">
        <v>131</v>
      </c>
      <c r="CM1" s="14" t="s">
        <v>132</v>
      </c>
      <c r="CN1" s="14" t="s">
        <v>133</v>
      </c>
      <c r="CO1" s="14" t="s">
        <v>134</v>
      </c>
      <c r="CP1" s="14" t="s">
        <v>135</v>
      </c>
      <c r="CQ1" s="14" t="s">
        <v>136</v>
      </c>
      <c r="CR1" s="14" t="s">
        <v>137</v>
      </c>
      <c r="CS1" s="14" t="s">
        <v>138</v>
      </c>
      <c r="CT1" s="14" t="s">
        <v>139</v>
      </c>
      <c r="CU1" s="14" t="s">
        <v>140</v>
      </c>
    </row>
    <row r="2" spans="1:99" x14ac:dyDescent="0.25">
      <c r="A2" s="11" t="s">
        <v>4</v>
      </c>
      <c r="B2" s="11" t="s">
        <v>162</v>
      </c>
      <c r="C2" s="11" t="s">
        <v>31</v>
      </c>
      <c r="D2" s="35">
        <v>1</v>
      </c>
      <c r="E2" s="15">
        <v>5800</v>
      </c>
      <c r="F2" s="16">
        <f>D2*E2</f>
        <v>5800</v>
      </c>
      <c r="G2" s="17">
        <v>-5800</v>
      </c>
      <c r="H2" s="18">
        <v>0</v>
      </c>
      <c r="I2" s="18">
        <f>G2</f>
        <v>-5800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0</v>
      </c>
      <c r="BU2" s="18">
        <v>0</v>
      </c>
      <c r="BV2" s="18">
        <v>0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8">
        <v>0</v>
      </c>
      <c r="CC2" s="18">
        <v>0</v>
      </c>
      <c r="CD2" s="18">
        <v>0</v>
      </c>
      <c r="CE2" s="18">
        <v>0</v>
      </c>
      <c r="CF2" s="18">
        <v>0</v>
      </c>
      <c r="CG2" s="18">
        <v>0</v>
      </c>
      <c r="CH2" s="18">
        <v>0</v>
      </c>
      <c r="CI2" s="18">
        <v>0</v>
      </c>
      <c r="CJ2" s="18">
        <v>0</v>
      </c>
      <c r="CK2" s="18">
        <v>0</v>
      </c>
      <c r="CL2" s="18">
        <v>0</v>
      </c>
      <c r="CM2" s="18">
        <v>0</v>
      </c>
      <c r="CN2" s="18">
        <v>0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</row>
    <row r="3" spans="1:99" x14ac:dyDescent="0.25">
      <c r="A3" s="11" t="s">
        <v>4</v>
      </c>
      <c r="B3" s="11" t="s">
        <v>162</v>
      </c>
      <c r="C3" s="11" t="s">
        <v>18</v>
      </c>
      <c r="D3" s="36">
        <v>1</v>
      </c>
      <c r="E3" s="16">
        <v>1200</v>
      </c>
      <c r="F3" s="16">
        <f>D3*E3</f>
        <v>1200</v>
      </c>
      <c r="G3" s="19">
        <v>-1200</v>
      </c>
      <c r="H3" s="20">
        <v>0</v>
      </c>
      <c r="I3" s="20">
        <v>0</v>
      </c>
      <c r="J3" s="20">
        <v>0</v>
      </c>
      <c r="K3" s="20">
        <f>G3</f>
        <v>-1200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0</v>
      </c>
      <c r="CL3" s="20">
        <v>0</v>
      </c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</row>
    <row r="4" spans="1:99" x14ac:dyDescent="0.25">
      <c r="A4" s="11" t="s">
        <v>4</v>
      </c>
      <c r="B4" s="11" t="s">
        <v>162</v>
      </c>
      <c r="C4" s="11" t="s">
        <v>19</v>
      </c>
      <c r="D4" s="36">
        <v>1</v>
      </c>
      <c r="E4" s="16">
        <v>4500</v>
      </c>
      <c r="F4" s="16">
        <f>E4*D4</f>
        <v>4500</v>
      </c>
      <c r="G4" s="19">
        <v>-4500</v>
      </c>
      <c r="H4" s="20">
        <v>0</v>
      </c>
      <c r="I4" s="20">
        <v>0</v>
      </c>
      <c r="J4" s="20">
        <v>0</v>
      </c>
      <c r="K4" s="20">
        <f>G4</f>
        <v>-4500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</row>
    <row r="5" spans="1:99" x14ac:dyDescent="0.25">
      <c r="A5" s="11" t="s">
        <v>4</v>
      </c>
      <c r="B5" s="11" t="s">
        <v>162</v>
      </c>
      <c r="C5" s="11" t="s">
        <v>9</v>
      </c>
      <c r="D5" s="36">
        <v>0.21</v>
      </c>
      <c r="E5" s="16">
        <f>F3+F4+F2</f>
        <v>11500</v>
      </c>
      <c r="F5" s="16">
        <f>D5*E5</f>
        <v>2415</v>
      </c>
      <c r="G5" s="19">
        <f>(G2+G3+G4)*0.21</f>
        <v>-2415</v>
      </c>
      <c r="H5" s="20">
        <f>(H2+H3+H4)*0.21</f>
        <v>0</v>
      </c>
      <c r="I5" s="20">
        <f>(I2+I3+I4)*0.21</f>
        <v>-1218</v>
      </c>
      <c r="J5" s="20">
        <v>0</v>
      </c>
      <c r="K5" s="20">
        <f>(K2+K3+K4)*0.21</f>
        <v>-1197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</row>
    <row r="6" spans="1:99" x14ac:dyDescent="0.25">
      <c r="A6" s="11" t="s">
        <v>4</v>
      </c>
      <c r="B6" s="11" t="s">
        <v>163</v>
      </c>
      <c r="C6" s="11" t="s">
        <v>15</v>
      </c>
      <c r="D6" s="37">
        <v>5.6099999999999997E-2</v>
      </c>
      <c r="E6" s="11">
        <f>F16</f>
        <v>158230.80000000002</v>
      </c>
      <c r="F6" s="11">
        <f>E6*D6</f>
        <v>8876.7478800000008</v>
      </c>
      <c r="G6" s="17">
        <f>-F6</f>
        <v>-8876.7478800000008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f>G6</f>
        <v>-8876.7478800000008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</row>
    <row r="7" spans="1:99" x14ac:dyDescent="0.25">
      <c r="A7" s="11" t="s">
        <v>4</v>
      </c>
      <c r="B7" s="11" t="s">
        <v>163</v>
      </c>
      <c r="C7" s="11" t="s">
        <v>16</v>
      </c>
      <c r="D7" s="37">
        <v>4.7699999999999999E-2</v>
      </c>
      <c r="E7" s="11">
        <f>F16</f>
        <v>158230.80000000002</v>
      </c>
      <c r="F7" s="11">
        <f>E7*D7</f>
        <v>7547.6091600000009</v>
      </c>
      <c r="G7" s="19">
        <f>-F7</f>
        <v>-7547.6091600000009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f>G7*0.3</f>
        <v>-2264.2827480000001</v>
      </c>
      <c r="Y7" s="20">
        <f>0.7*G7</f>
        <v>-5283.3264120000003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</row>
    <row r="8" spans="1:99" x14ac:dyDescent="0.25">
      <c r="A8" s="11" t="s">
        <v>4</v>
      </c>
      <c r="B8" s="11" t="s">
        <v>163</v>
      </c>
      <c r="C8" s="11" t="s">
        <v>164</v>
      </c>
      <c r="D8" s="37">
        <v>7.0000000000000001E-3</v>
      </c>
      <c r="E8" s="11">
        <f>F16</f>
        <v>158230.80000000002</v>
      </c>
      <c r="F8" s="11">
        <f>D8*E8</f>
        <v>1107.6156000000001</v>
      </c>
      <c r="G8" s="19">
        <f>-F8</f>
        <v>-1107.6156000000001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f>G8*0.5</f>
        <v>-553.80780000000004</v>
      </c>
      <c r="Y8" s="20">
        <f>G8*0.5</f>
        <v>-553.80780000000004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</row>
    <row r="9" spans="1:99" x14ac:dyDescent="0.25">
      <c r="A9" s="11" t="s">
        <v>4</v>
      </c>
      <c r="B9" s="11" t="s">
        <v>163</v>
      </c>
      <c r="C9" s="11" t="s">
        <v>13</v>
      </c>
      <c r="D9" s="37">
        <v>5.6099999999999997E-2</v>
      </c>
      <c r="E9" s="11">
        <f>F18+F19</f>
        <v>3587694.3124994398</v>
      </c>
      <c r="F9" s="11">
        <f>D9*E9</f>
        <v>201269.65093121855</v>
      </c>
      <c r="G9" s="19">
        <f>-F9</f>
        <v>-201269.65093121855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f>G9*0.4</f>
        <v>-80507.860372487427</v>
      </c>
      <c r="N9" s="20">
        <v>0</v>
      </c>
      <c r="O9" s="20">
        <v>0</v>
      </c>
      <c r="P9" s="20">
        <f>G9*0.6</f>
        <v>-120761.79055873113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</row>
    <row r="10" spans="1:99" x14ac:dyDescent="0.25">
      <c r="A10" s="11" t="s">
        <v>4</v>
      </c>
      <c r="B10" s="11" t="s">
        <v>163</v>
      </c>
      <c r="C10" s="11" t="s">
        <v>14</v>
      </c>
      <c r="D10" s="37">
        <v>4.7699999999999999E-2</v>
      </c>
      <c r="E10" s="11">
        <f>F18+F19</f>
        <v>3587694.3124994398</v>
      </c>
      <c r="F10" s="11">
        <f>D10*E10</f>
        <v>171133.01870622329</v>
      </c>
      <c r="G10" s="19">
        <f>-F10</f>
        <v>-171133.01870622329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f>$G10/14</f>
        <v>-12223.78705044452</v>
      </c>
      <c r="AA10" s="20">
        <f t="shared" ref="AA10:AM10" si="0">$G10/14</f>
        <v>-12223.78705044452</v>
      </c>
      <c r="AB10" s="20">
        <f t="shared" si="0"/>
        <v>-12223.78705044452</v>
      </c>
      <c r="AC10" s="20">
        <f t="shared" si="0"/>
        <v>-12223.78705044452</v>
      </c>
      <c r="AD10" s="20">
        <f t="shared" si="0"/>
        <v>-12223.78705044452</v>
      </c>
      <c r="AE10" s="20">
        <f t="shared" si="0"/>
        <v>-12223.78705044452</v>
      </c>
      <c r="AF10" s="20">
        <f t="shared" si="0"/>
        <v>-12223.78705044452</v>
      </c>
      <c r="AG10" s="20">
        <f t="shared" si="0"/>
        <v>-12223.78705044452</v>
      </c>
      <c r="AH10" s="20">
        <f t="shared" si="0"/>
        <v>-12223.78705044452</v>
      </c>
      <c r="AI10" s="20">
        <f t="shared" si="0"/>
        <v>-12223.78705044452</v>
      </c>
      <c r="AJ10" s="20">
        <f t="shared" si="0"/>
        <v>-12223.78705044452</v>
      </c>
      <c r="AK10" s="20">
        <f t="shared" si="0"/>
        <v>-12223.78705044452</v>
      </c>
      <c r="AL10" s="20">
        <f t="shared" si="0"/>
        <v>-12223.78705044452</v>
      </c>
      <c r="AM10" s="20">
        <f t="shared" si="0"/>
        <v>-12223.78705044452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</row>
    <row r="11" spans="1:99" x14ac:dyDescent="0.25">
      <c r="A11" s="11" t="s">
        <v>4</v>
      </c>
      <c r="B11" s="11" t="s">
        <v>163</v>
      </c>
      <c r="C11" s="11" t="s">
        <v>165</v>
      </c>
      <c r="D11" s="37">
        <v>7.0000000000000001E-3</v>
      </c>
      <c r="E11" s="11">
        <f>F18+F19</f>
        <v>3587694.3124994398</v>
      </c>
      <c r="F11" s="11">
        <f>D11*E11</f>
        <v>25113.86018749608</v>
      </c>
      <c r="G11" s="19">
        <f>-F11</f>
        <v>-25113.86018749608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f>$G$11/14</f>
        <v>-1793.84715624972</v>
      </c>
      <c r="AA11" s="20">
        <f t="shared" ref="AA11:AM11" si="1">$G$11/14</f>
        <v>-1793.84715624972</v>
      </c>
      <c r="AB11" s="20">
        <f t="shared" si="1"/>
        <v>-1793.84715624972</v>
      </c>
      <c r="AC11" s="20">
        <f t="shared" si="1"/>
        <v>-1793.84715624972</v>
      </c>
      <c r="AD11" s="20">
        <f t="shared" si="1"/>
        <v>-1793.84715624972</v>
      </c>
      <c r="AE11" s="20">
        <f t="shared" si="1"/>
        <v>-1793.84715624972</v>
      </c>
      <c r="AF11" s="20">
        <f t="shared" si="1"/>
        <v>-1793.84715624972</v>
      </c>
      <c r="AG11" s="20">
        <f t="shared" si="1"/>
        <v>-1793.84715624972</v>
      </c>
      <c r="AH11" s="20">
        <f t="shared" si="1"/>
        <v>-1793.84715624972</v>
      </c>
      <c r="AI11" s="20">
        <f t="shared" si="1"/>
        <v>-1793.84715624972</v>
      </c>
      <c r="AJ11" s="20">
        <f t="shared" si="1"/>
        <v>-1793.84715624972</v>
      </c>
      <c r="AK11" s="20">
        <f t="shared" si="1"/>
        <v>-1793.84715624972</v>
      </c>
      <c r="AL11" s="20">
        <f t="shared" si="1"/>
        <v>-1793.84715624972</v>
      </c>
      <c r="AM11" s="20">
        <f t="shared" si="1"/>
        <v>-1793.84715624972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</row>
    <row r="12" spans="1:99" x14ac:dyDescent="0.25">
      <c r="A12" s="11" t="s">
        <v>4</v>
      </c>
      <c r="B12" s="11" t="s">
        <v>163</v>
      </c>
      <c r="C12" s="11" t="s">
        <v>141</v>
      </c>
      <c r="D12" s="37">
        <v>0.02</v>
      </c>
      <c r="E12" s="11">
        <f>F19+F18+F16</f>
        <v>3745925.1124994396</v>
      </c>
      <c r="F12" s="11">
        <f>D12*E12</f>
        <v>74918.5022499888</v>
      </c>
      <c r="G12" s="19">
        <f>-F12</f>
        <v>-74918.5022499888</v>
      </c>
      <c r="H12" s="20">
        <v>0</v>
      </c>
      <c r="I12" s="20">
        <v>0</v>
      </c>
      <c r="J12" s="20">
        <v>0</v>
      </c>
      <c r="K12" s="20">
        <f>G12*0.05</f>
        <v>-3745.9251124994403</v>
      </c>
      <c r="L12" s="20">
        <v>0</v>
      </c>
      <c r="M12" s="20">
        <v>0</v>
      </c>
      <c r="N12" s="20">
        <v>0</v>
      </c>
      <c r="O12" s="20">
        <v>0</v>
      </c>
      <c r="P12" s="20">
        <f>G12*0.15</f>
        <v>-11237.77533749832</v>
      </c>
      <c r="Q12" s="20">
        <v>0</v>
      </c>
      <c r="R12" s="20">
        <f>G12*0.05</f>
        <v>-3745.9251124994403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f t="shared" ref="X12:AL12" si="2">$G$12*0.04</f>
        <v>-2996.7400899995519</v>
      </c>
      <c r="Y12" s="20">
        <f t="shared" si="2"/>
        <v>-2996.7400899995519</v>
      </c>
      <c r="Z12" s="20">
        <f t="shared" si="2"/>
        <v>-2996.7400899995519</v>
      </c>
      <c r="AA12" s="20">
        <f t="shared" si="2"/>
        <v>-2996.7400899995519</v>
      </c>
      <c r="AB12" s="20">
        <f t="shared" si="2"/>
        <v>-2996.7400899995519</v>
      </c>
      <c r="AC12" s="20">
        <f t="shared" si="2"/>
        <v>-2996.7400899995519</v>
      </c>
      <c r="AD12" s="20">
        <f t="shared" si="2"/>
        <v>-2996.7400899995519</v>
      </c>
      <c r="AE12" s="20">
        <f t="shared" si="2"/>
        <v>-2996.7400899995519</v>
      </c>
      <c r="AF12" s="20">
        <f t="shared" si="2"/>
        <v>-2996.7400899995519</v>
      </c>
      <c r="AG12" s="20">
        <f t="shared" si="2"/>
        <v>-2996.7400899995519</v>
      </c>
      <c r="AH12" s="20">
        <f t="shared" si="2"/>
        <v>-2996.7400899995519</v>
      </c>
      <c r="AI12" s="20">
        <f t="shared" si="2"/>
        <v>-2996.7400899995519</v>
      </c>
      <c r="AJ12" s="20">
        <f t="shared" si="2"/>
        <v>-2996.7400899995519</v>
      </c>
      <c r="AK12" s="20">
        <f t="shared" si="2"/>
        <v>-2996.7400899995519</v>
      </c>
      <c r="AL12" s="20">
        <f t="shared" si="2"/>
        <v>-2996.7400899995519</v>
      </c>
      <c r="AM12" s="20">
        <f>$G$12*0.04</f>
        <v>-2996.7400899995519</v>
      </c>
      <c r="AN12" s="20">
        <f>G12*0.11</f>
        <v>-8241.0352474987685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</row>
    <row r="13" spans="1:99" x14ac:dyDescent="0.25">
      <c r="A13" s="11" t="s">
        <v>4</v>
      </c>
      <c r="B13" s="11" t="s">
        <v>163</v>
      </c>
      <c r="C13" s="11" t="s">
        <v>166</v>
      </c>
      <c r="D13" s="37">
        <v>0.21</v>
      </c>
      <c r="E13" s="11">
        <f>F6+F7+F8</f>
        <v>17531.972640000004</v>
      </c>
      <c r="F13" s="11">
        <f>D13*E13</f>
        <v>3681.7142544000008</v>
      </c>
      <c r="G13" s="19">
        <f>-F13</f>
        <v>-3681.7142544000008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f>SUM(M6:M8)*0.21</f>
        <v>-1864.1170548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f>(X7+X8)*0.21</f>
        <v>-591.79901508</v>
      </c>
      <c r="Y13" s="20">
        <f>(Y7+Y8)*0.21</f>
        <v>-1225.7981845200002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</row>
    <row r="14" spans="1:99" x14ac:dyDescent="0.25">
      <c r="A14" s="11" t="s">
        <v>4</v>
      </c>
      <c r="B14" s="11" t="s">
        <v>163</v>
      </c>
      <c r="C14" s="11" t="s">
        <v>167</v>
      </c>
      <c r="D14" s="37">
        <v>0.21</v>
      </c>
      <c r="E14" s="11">
        <f>F9+F10+F11+F12</f>
        <v>472435.03207492671</v>
      </c>
      <c r="F14" s="11">
        <f>D14*E14</f>
        <v>99211.356735734604</v>
      </c>
      <c r="G14" s="19">
        <f>-F14</f>
        <v>-99211.356735734604</v>
      </c>
      <c r="H14" s="20">
        <v>0</v>
      </c>
      <c r="I14" s="20">
        <v>0</v>
      </c>
      <c r="J14" s="20">
        <v>0</v>
      </c>
      <c r="K14" s="20">
        <f>SUM(K9:K12)*0.21</f>
        <v>-786.64427362488243</v>
      </c>
      <c r="L14" s="20">
        <v>0</v>
      </c>
      <c r="M14" s="20">
        <f>SUM(M9:M12)*0.21</f>
        <v>-16906.650678222359</v>
      </c>
      <c r="N14" s="20">
        <v>0</v>
      </c>
      <c r="O14" s="20">
        <v>0</v>
      </c>
      <c r="P14" s="20">
        <f>SUM(P9:P12)*0.21</f>
        <v>-27719.908838208183</v>
      </c>
      <c r="Q14" s="20">
        <v>0</v>
      </c>
      <c r="R14" s="20">
        <f>SUM(R9:R12)*0.21</f>
        <v>-786.64427362488243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f>SUM(X9:X12)*0.21</f>
        <v>-629.31541889990592</v>
      </c>
      <c r="Y14" s="20">
        <f>SUM(Y9:Y12)*0.21</f>
        <v>-629.31541889990592</v>
      </c>
      <c r="Z14" s="20">
        <f>SUM(Z9:Z12)*0.21</f>
        <v>-3573.0186023056963</v>
      </c>
      <c r="AA14" s="20">
        <f>SUM(AA9:AA12)*0.21</f>
        <v>-3573.0186023056963</v>
      </c>
      <c r="AB14" s="20">
        <f>SUM(AB9:AB12)*0.21</f>
        <v>-3573.0186023056963</v>
      </c>
      <c r="AC14" s="20">
        <f>SUM(AC9:AC12)*0.21</f>
        <v>-3573.0186023056963</v>
      </c>
      <c r="AD14" s="20">
        <f>SUM(AD9:AD12)*0.21</f>
        <v>-3573.0186023056963</v>
      </c>
      <c r="AE14" s="20">
        <f>SUM(AE9:AE12)*0.21</f>
        <v>-3573.0186023056963</v>
      </c>
      <c r="AF14" s="20">
        <f>SUM(AF9:AF12)*0.21</f>
        <v>-3573.0186023056963</v>
      </c>
      <c r="AG14" s="20">
        <f>SUM(AG9:AG12)*0.21</f>
        <v>-3573.0186023056963</v>
      </c>
      <c r="AH14" s="20">
        <f>SUM(AH9:AH12)*0.21</f>
        <v>-3573.0186023056963</v>
      </c>
      <c r="AI14" s="20">
        <f>SUM(AI9:AI12)*0.21</f>
        <v>-3573.0186023056963</v>
      </c>
      <c r="AJ14" s="20">
        <f>SUM(AJ9:AJ12)*0.21</f>
        <v>-3573.0186023056963</v>
      </c>
      <c r="AK14" s="20">
        <f>SUM(AK9:AK12)*0.21</f>
        <v>-3573.0186023056963</v>
      </c>
      <c r="AL14" s="20">
        <f>SUM(AL9:AL12)*0.21</f>
        <v>-3573.0186023056963</v>
      </c>
      <c r="AM14" s="20">
        <f>SUM(AM9:AM12)*0.21</f>
        <v>-3573.0186023056963</v>
      </c>
      <c r="AN14" s="20">
        <f>SUM(AN9:AN12)*0.21</f>
        <v>-1730.6174019747414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</row>
    <row r="15" spans="1:99" x14ac:dyDescent="0.25">
      <c r="A15" s="11" t="s">
        <v>4</v>
      </c>
      <c r="B15" s="11" t="s">
        <v>163</v>
      </c>
      <c r="C15" s="11" t="s">
        <v>20</v>
      </c>
      <c r="D15" s="37">
        <v>3.0000000000000001E-3</v>
      </c>
      <c r="E15" s="11">
        <f>F18+F19</f>
        <v>3587694.3124994398</v>
      </c>
      <c r="F15" s="11">
        <f>D15*E15</f>
        <v>10763.08293749832</v>
      </c>
      <c r="G15" s="19">
        <f>-F15</f>
        <v>-10763.08293749832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f>$G$15/14</f>
        <v>-768.79163839273713</v>
      </c>
      <c r="AA15" s="20">
        <f t="shared" ref="AA15:AM15" si="3">$G$15/14</f>
        <v>-768.79163839273713</v>
      </c>
      <c r="AB15" s="20">
        <f t="shared" si="3"/>
        <v>-768.79163839273713</v>
      </c>
      <c r="AC15" s="20">
        <f t="shared" si="3"/>
        <v>-768.79163839273713</v>
      </c>
      <c r="AD15" s="20">
        <f t="shared" si="3"/>
        <v>-768.79163839273713</v>
      </c>
      <c r="AE15" s="20">
        <f t="shared" si="3"/>
        <v>-768.79163839273713</v>
      </c>
      <c r="AF15" s="20">
        <f t="shared" si="3"/>
        <v>-768.79163839273713</v>
      </c>
      <c r="AG15" s="20">
        <f t="shared" si="3"/>
        <v>-768.79163839273713</v>
      </c>
      <c r="AH15" s="20">
        <f t="shared" si="3"/>
        <v>-768.79163839273713</v>
      </c>
      <c r="AI15" s="20">
        <f t="shared" si="3"/>
        <v>-768.79163839273713</v>
      </c>
      <c r="AJ15" s="20">
        <f t="shared" si="3"/>
        <v>-768.79163839273713</v>
      </c>
      <c r="AK15" s="20">
        <f t="shared" si="3"/>
        <v>-768.79163839273713</v>
      </c>
      <c r="AL15" s="20">
        <f t="shared" si="3"/>
        <v>-768.79163839273713</v>
      </c>
      <c r="AM15" s="20">
        <f t="shared" si="3"/>
        <v>-768.79163839273713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</row>
    <row r="16" spans="1:99" x14ac:dyDescent="0.25">
      <c r="A16" s="11" t="s">
        <v>4</v>
      </c>
      <c r="B16" s="11" t="s">
        <v>168</v>
      </c>
      <c r="C16" s="11" t="s">
        <v>8</v>
      </c>
      <c r="D16" s="37">
        <f>(8.4*44.5*15)+(8.4*15.3*15)</f>
        <v>7534.8</v>
      </c>
      <c r="E16" s="11">
        <v>21</v>
      </c>
      <c r="F16" s="11">
        <f>D16*E16</f>
        <v>158230.80000000002</v>
      </c>
      <c r="G16" s="19">
        <f>-F16</f>
        <v>-158230.80000000002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f>G16*0.4</f>
        <v>-63292.320000000007</v>
      </c>
      <c r="Y16" s="20">
        <f>G16*0.6</f>
        <v>-94938.48000000001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</row>
    <row r="17" spans="1:99" x14ac:dyDescent="0.25">
      <c r="A17" s="11" t="s">
        <v>4</v>
      </c>
      <c r="B17" s="11" t="s">
        <v>168</v>
      </c>
      <c r="C17" s="11" t="s">
        <v>12</v>
      </c>
      <c r="D17" s="36">
        <v>4507</v>
      </c>
      <c r="E17" s="11">
        <v>5.75</v>
      </c>
      <c r="F17" s="11">
        <f>D17*E17</f>
        <v>25915.25</v>
      </c>
      <c r="G17" s="19">
        <f>-F17</f>
        <v>-25915.25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f>G17*0.4</f>
        <v>-10366.1</v>
      </c>
      <c r="Y17" s="20">
        <f>G17*0.6</f>
        <v>-15549.15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</row>
    <row r="18" spans="1:99" x14ac:dyDescent="0.25">
      <c r="A18" s="11" t="s">
        <v>4</v>
      </c>
      <c r="B18" s="11" t="s">
        <v>168</v>
      </c>
      <c r="C18" s="11" t="s">
        <v>2</v>
      </c>
      <c r="D18" s="37">
        <f>4680+502.32</f>
        <v>5182.32</v>
      </c>
      <c r="E18" s="11">
        <v>692.29501700000003</v>
      </c>
      <c r="F18" s="11">
        <f>D18*E18</f>
        <v>3587694.3124994398</v>
      </c>
      <c r="G18" s="19">
        <f>-F18</f>
        <v>-3587694.3124994398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-37790.761245119997</v>
      </c>
      <c r="AA18" s="20">
        <v>-103089.08457432</v>
      </c>
      <c r="AB18" s="20">
        <v>-184035.01477608</v>
      </c>
      <c r="AC18" s="20">
        <v>-284064.84889848006</v>
      </c>
      <c r="AD18" s="20">
        <v>-234494.10152999999</v>
      </c>
      <c r="AE18" s="20">
        <v>-210571.375248</v>
      </c>
      <c r="AF18" s="20">
        <v>-203778.75023999999</v>
      </c>
      <c r="AG18" s="20">
        <v>-207175.062744</v>
      </c>
      <c r="AH18" s="20">
        <v>-247930.81279200001</v>
      </c>
      <c r="AI18" s="20">
        <v>-424539.06300000002</v>
      </c>
      <c r="AJ18" s="20">
        <v>-560391.56316000002</v>
      </c>
      <c r="AK18" s="20">
        <v>-410953.81298400002</v>
      </c>
      <c r="AL18" s="20">
        <v>-278497.62532800005</v>
      </c>
      <c r="AM18" s="20">
        <v>-200382.43773599999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</row>
    <row r="19" spans="1:99" x14ac:dyDescent="0.25">
      <c r="A19" s="11" t="s">
        <v>4</v>
      </c>
      <c r="B19" s="11" t="s">
        <v>168</v>
      </c>
      <c r="C19" s="11" t="s">
        <v>40</v>
      </c>
      <c r="D19" s="37">
        <v>0</v>
      </c>
      <c r="E19" s="11">
        <v>0</v>
      </c>
      <c r="F19" s="11">
        <f>D19*E19</f>
        <v>0</v>
      </c>
      <c r="G19" s="19">
        <f>-F19</f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</row>
    <row r="20" spans="1:99" x14ac:dyDescent="0.25">
      <c r="A20" s="11" t="s">
        <v>4</v>
      </c>
      <c r="B20" s="11" t="s">
        <v>168</v>
      </c>
      <c r="C20" s="11" t="s">
        <v>11</v>
      </c>
      <c r="D20" s="37">
        <v>0.21</v>
      </c>
      <c r="E20" s="11">
        <f>F16</f>
        <v>158230.80000000002</v>
      </c>
      <c r="F20" s="11">
        <f>E20*D20</f>
        <v>33228.468000000001</v>
      </c>
      <c r="G20" s="19">
        <f>-F20</f>
        <v>-33228.468000000001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f>X16*0.21</f>
        <v>-13291.387200000001</v>
      </c>
      <c r="Y20" s="20">
        <f>Y16*0.21</f>
        <v>-19937.0808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</row>
    <row r="21" spans="1:99" x14ac:dyDescent="0.25">
      <c r="A21" s="11" t="s">
        <v>4</v>
      </c>
      <c r="B21" s="11" t="s">
        <v>168</v>
      </c>
      <c r="C21" s="11" t="s">
        <v>10</v>
      </c>
      <c r="D21" s="37">
        <v>0.1</v>
      </c>
      <c r="E21" s="11">
        <f>F18+F19</f>
        <v>3587694.3124994398</v>
      </c>
      <c r="F21" s="11">
        <f>E21*D21</f>
        <v>358769.43124994403</v>
      </c>
      <c r="G21" s="19">
        <f>-F21</f>
        <v>-358769.43124994403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f>(Z18+Z19)*0.1</f>
        <v>-3779.0761245119998</v>
      </c>
      <c r="AA21" s="20">
        <f>(AA18+AA19)*0.1</f>
        <v>-10308.908457432</v>
      </c>
      <c r="AB21" s="20">
        <f>(AB18+AB19)*0.1</f>
        <v>-18403.501477608002</v>
      </c>
      <c r="AC21" s="20">
        <f>(AC18+AC19)*0.1</f>
        <v>-28406.484889848009</v>
      </c>
      <c r="AD21" s="20">
        <f>(AD18+AD19)*0.1</f>
        <v>-23449.410153000001</v>
      </c>
      <c r="AE21" s="20">
        <f>(AE18+AE19)*0.1</f>
        <v>-21057.1375248</v>
      </c>
      <c r="AF21" s="20">
        <f>(AF18+AF19)*0.1</f>
        <v>-20377.875024000001</v>
      </c>
      <c r="AG21" s="20">
        <f>(AG18+AG19)*0.1</f>
        <v>-20717.506274400002</v>
      </c>
      <c r="AH21" s="20">
        <f>(AH18+AH19)*0.1</f>
        <v>-24793.081279200003</v>
      </c>
      <c r="AI21" s="20">
        <f>(AI18+AI19)*0.1</f>
        <v>-42453.906300000002</v>
      </c>
      <c r="AJ21" s="20">
        <f>(AJ18+AJ19)*0.1</f>
        <v>-56039.156316000008</v>
      </c>
      <c r="AK21" s="20">
        <f>(AK18+AK19)*0.1</f>
        <v>-41095.381298400003</v>
      </c>
      <c r="AL21" s="20">
        <f>(AL18+AL19)*0.1</f>
        <v>-27849.762532800007</v>
      </c>
      <c r="AM21" s="20">
        <f>(AM18+AM19)*0.1</f>
        <v>-20038.243773599999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</row>
    <row r="22" spans="1:99" x14ac:dyDescent="0.25">
      <c r="A22" s="11" t="s">
        <v>4</v>
      </c>
      <c r="B22" s="11" t="s">
        <v>168</v>
      </c>
      <c r="C22" s="11" t="s">
        <v>21</v>
      </c>
      <c r="D22" s="37">
        <v>1</v>
      </c>
      <c r="E22" s="11">
        <v>700</v>
      </c>
      <c r="F22" s="11">
        <f>D22*E22</f>
        <v>700</v>
      </c>
      <c r="G22" s="19">
        <f>-F22</f>
        <v>-700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f>G22</f>
        <v>-700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37">
        <f>5%</f>
        <v>0.05</v>
      </c>
      <c r="E23" s="11">
        <f>(F18+F19)</f>
        <v>3587694.3124994398</v>
      </c>
      <c r="F23" s="11">
        <f>D23*E23</f>
        <v>179384.71562497201</v>
      </c>
      <c r="G23" s="17">
        <f>-F23</f>
        <v>-179384.71562497201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f>G23*0.2</f>
        <v>-35876.943124994403</v>
      </c>
      <c r="R23" s="18">
        <v>0</v>
      </c>
      <c r="S23" s="18">
        <v>0</v>
      </c>
      <c r="T23" s="18">
        <f>G23*0.8</f>
        <v>-143507.77249997761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37">
        <f>5%</f>
        <v>0.05</v>
      </c>
      <c r="E24" s="11">
        <f>F16</f>
        <v>158230.80000000002</v>
      </c>
      <c r="F24" s="11">
        <f>D24*E24</f>
        <v>7911.5400000000009</v>
      </c>
      <c r="G24" s="19">
        <f>-F24</f>
        <v>-7911.5400000000009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>G24*0.2</f>
        <v>-1582.3080000000002</v>
      </c>
      <c r="O24" s="20">
        <v>0</v>
      </c>
      <c r="P24" s="20">
        <f>G24*0.8</f>
        <v>-6329.2320000000009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</row>
    <row r="25" spans="1:99" x14ac:dyDescent="0.25">
      <c r="A25" s="11" t="s">
        <v>4</v>
      </c>
      <c r="B25" s="11" t="s">
        <v>0</v>
      </c>
      <c r="C25" s="11" t="s">
        <v>169</v>
      </c>
      <c r="D25" s="37">
        <v>2.9999999999999997E-4</v>
      </c>
      <c r="E25" s="11">
        <f>F18+F19</f>
        <v>3587694.3124994398</v>
      </c>
      <c r="F25" s="11">
        <f>D25*E25</f>
        <v>1076.3082937498318</v>
      </c>
      <c r="G25" s="19">
        <f>-F25</f>
        <v>-1076.3082937498318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f>G25</f>
        <v>-1076.3082937498318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</row>
    <row r="26" spans="1:99" x14ac:dyDescent="0.25">
      <c r="A26" s="11" t="s">
        <v>4</v>
      </c>
      <c r="B26" s="11" t="s">
        <v>0</v>
      </c>
      <c r="C26" s="11" t="s">
        <v>170</v>
      </c>
      <c r="D26" s="37">
        <v>2.0000000000000001E-4</v>
      </c>
      <c r="E26" s="11">
        <f>F18+F19</f>
        <v>3587694.3124994398</v>
      </c>
      <c r="F26" s="11">
        <f>D26*E26</f>
        <v>717.53886249988795</v>
      </c>
      <c r="G26" s="19">
        <f>-F26</f>
        <v>-717.53886249988795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f>G26</f>
        <v>-717.53886249988795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</row>
    <row r="27" spans="1:99" x14ac:dyDescent="0.25">
      <c r="A27" s="11" t="s">
        <v>4</v>
      </c>
      <c r="B27" s="11" t="s">
        <v>0</v>
      </c>
      <c r="C27" s="11" t="s">
        <v>171</v>
      </c>
      <c r="D27" s="37">
        <v>1</v>
      </c>
      <c r="E27" s="11">
        <v>250</v>
      </c>
      <c r="F27" s="11">
        <f>D27*E27</f>
        <v>250</v>
      </c>
      <c r="G27" s="19">
        <f>-F27</f>
        <v>-250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f>G27</f>
        <v>-250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</row>
    <row r="28" spans="1:99" x14ac:dyDescent="0.25">
      <c r="A28" s="11" t="s">
        <v>4</v>
      </c>
      <c r="B28" s="11" t="s">
        <v>0</v>
      </c>
      <c r="C28" s="11" t="s">
        <v>172</v>
      </c>
      <c r="D28" s="37">
        <v>2.9999999999999997E-4</v>
      </c>
      <c r="E28" s="11">
        <f>F18+F19</f>
        <v>3587694.3124994398</v>
      </c>
      <c r="F28" s="11">
        <f>D28*E28</f>
        <v>1076.3082937498318</v>
      </c>
      <c r="G28" s="19">
        <f>-F28</f>
        <v>-1076.3082937498318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f>G28</f>
        <v>-1076.3082937498318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</row>
    <row r="29" spans="1:99" x14ac:dyDescent="0.25">
      <c r="A29" s="11" t="s">
        <v>4</v>
      </c>
      <c r="B29" s="11" t="s">
        <v>0</v>
      </c>
      <c r="C29" s="11" t="s">
        <v>173</v>
      </c>
      <c r="D29" s="37">
        <v>2.0000000000000001E-4</v>
      </c>
      <c r="E29" s="11">
        <f>F18+F19</f>
        <v>3587694.3124994398</v>
      </c>
      <c r="F29" s="11">
        <f>D29*E29</f>
        <v>717.53886249988795</v>
      </c>
      <c r="G29" s="19">
        <f>-F29</f>
        <v>-717.53886249988795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f t="shared" ref="AN29:AN32" si="4">G29</f>
        <v>-717.53886249988795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</row>
    <row r="30" spans="1:99" x14ac:dyDescent="0.25">
      <c r="A30" s="11" t="s">
        <v>4</v>
      </c>
      <c r="B30" s="11" t="s">
        <v>0</v>
      </c>
      <c r="C30" s="11" t="s">
        <v>174</v>
      </c>
      <c r="D30" s="37">
        <v>1</v>
      </c>
      <c r="E30" s="11">
        <v>250</v>
      </c>
      <c r="F30" s="11">
        <f>D30*E30</f>
        <v>250</v>
      </c>
      <c r="G30" s="19">
        <f>-F30</f>
        <v>-250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f t="shared" si="4"/>
        <v>-250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37">
        <v>8.9999999999999993E-3</v>
      </c>
      <c r="E31" s="11">
        <f>F18+F19</f>
        <v>3587694.3124994398</v>
      </c>
      <c r="F31" s="11">
        <f>D31*E31</f>
        <v>32289.248812494956</v>
      </c>
      <c r="G31" s="19">
        <f>-F31</f>
        <v>-32289.248812494956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f>$G$31/16</f>
        <v>-2018.0780507809347</v>
      </c>
      <c r="Y31" s="20">
        <f t="shared" ref="Y31:AM31" si="5">$G$31/16</f>
        <v>-2018.0780507809347</v>
      </c>
      <c r="Z31" s="20">
        <f t="shared" si="5"/>
        <v>-2018.0780507809347</v>
      </c>
      <c r="AA31" s="20">
        <f t="shared" si="5"/>
        <v>-2018.0780507809347</v>
      </c>
      <c r="AB31" s="20">
        <f t="shared" si="5"/>
        <v>-2018.0780507809347</v>
      </c>
      <c r="AC31" s="20">
        <f t="shared" si="5"/>
        <v>-2018.0780507809347</v>
      </c>
      <c r="AD31" s="20">
        <f t="shared" si="5"/>
        <v>-2018.0780507809347</v>
      </c>
      <c r="AE31" s="20">
        <f t="shared" si="5"/>
        <v>-2018.0780507809347</v>
      </c>
      <c r="AF31" s="20">
        <f t="shared" si="5"/>
        <v>-2018.0780507809347</v>
      </c>
      <c r="AG31" s="20">
        <f t="shared" si="5"/>
        <v>-2018.0780507809347</v>
      </c>
      <c r="AH31" s="20">
        <f t="shared" si="5"/>
        <v>-2018.0780507809347</v>
      </c>
      <c r="AI31" s="20">
        <f t="shared" si="5"/>
        <v>-2018.0780507809347</v>
      </c>
      <c r="AJ31" s="20">
        <f t="shared" si="5"/>
        <v>-2018.0780507809347</v>
      </c>
      <c r="AK31" s="20">
        <f t="shared" si="5"/>
        <v>-2018.0780507809347</v>
      </c>
      <c r="AL31" s="20">
        <f t="shared" si="5"/>
        <v>-2018.0780507809347</v>
      </c>
      <c r="AM31" s="20">
        <f t="shared" si="5"/>
        <v>-2018.0780507809347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</row>
    <row r="32" spans="1:99" x14ac:dyDescent="0.25">
      <c r="A32" s="11" t="s">
        <v>4</v>
      </c>
      <c r="B32" s="11" t="s">
        <v>0</v>
      </c>
      <c r="C32" s="11" t="s">
        <v>175</v>
      </c>
      <c r="D32" s="37">
        <v>2.5000000000000001E-3</v>
      </c>
      <c r="E32" s="11">
        <f>20*65*1.2*725.71</f>
        <v>1132107.6000000001</v>
      </c>
      <c r="F32" s="11">
        <f>D32*E32</f>
        <v>2830.2690000000002</v>
      </c>
      <c r="G32" s="19">
        <f>-F32</f>
        <v>-2830.2690000000002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f t="shared" si="4"/>
        <v>-2830.2690000000002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0</v>
      </c>
      <c r="CS32" s="20">
        <v>0</v>
      </c>
      <c r="CT32" s="20">
        <v>0</v>
      </c>
      <c r="CU32" s="20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35">
        <v>1</v>
      </c>
      <c r="E33" s="21">
        <v>2500</v>
      </c>
      <c r="F33" s="21">
        <f>D33*E33</f>
        <v>2500</v>
      </c>
      <c r="G33" s="22">
        <f>-F33</f>
        <v>-2500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4">
        <f>G33</f>
        <v>-2500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</row>
    <row r="34" spans="1:99" x14ac:dyDescent="0.25">
      <c r="A34" s="11" t="s">
        <v>4</v>
      </c>
      <c r="B34" s="11" t="s">
        <v>24</v>
      </c>
      <c r="C34" s="11" t="s">
        <v>176</v>
      </c>
      <c r="D34" s="38">
        <v>2.5000000000000001E-3</v>
      </c>
      <c r="E34" s="21">
        <f>-0.8*SUM(G2:G32,G41:G42)</f>
        <v>4467663.9105135286</v>
      </c>
      <c r="F34" s="21">
        <f>D34*E34</f>
        <v>11169.159776283821</v>
      </c>
      <c r="G34" s="19">
        <f>-F34</f>
        <v>-11169.159776283821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f>G34</f>
        <v>-11169.159776283821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35">
        <v>1</v>
      </c>
      <c r="E35" s="21">
        <v>250</v>
      </c>
      <c r="F35" s="21">
        <f>D35*E35</f>
        <v>250</v>
      </c>
      <c r="G35" s="19">
        <f>-F35</f>
        <v>-250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f>G35</f>
        <v>-250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38">
        <v>2.5000000000000001E-3</v>
      </c>
      <c r="E36" s="21">
        <f>-0.8*SUM(G2:G32,G41:G42)</f>
        <v>4467663.9105135286</v>
      </c>
      <c r="F36" s="21">
        <f>D36*E36</f>
        <v>11169.159776283821</v>
      </c>
      <c r="G36" s="19">
        <f>-F36</f>
        <v>-11169.159776283821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f>G36</f>
        <v>-11169.159776283821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38">
        <v>1E-3</v>
      </c>
      <c r="E37" s="21">
        <f>-0.8*SUM(G2:G32,G41:G42)</f>
        <v>4467663.9105135286</v>
      </c>
      <c r="F37" s="21">
        <f>D37*E37</f>
        <v>4467.6639105135291</v>
      </c>
      <c r="G37" s="19">
        <f>-F37</f>
        <v>-4467.6639105135291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f>G37</f>
        <v>-4467.6639105135291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</row>
    <row r="38" spans="1:99" x14ac:dyDescent="0.25">
      <c r="A38" s="11" t="s">
        <v>4</v>
      </c>
      <c r="B38" s="11" t="s">
        <v>24</v>
      </c>
      <c r="C38" s="11" t="s">
        <v>96</v>
      </c>
      <c r="D38" s="38">
        <f>intereses!C5</f>
        <v>3.5000000000000003E-2</v>
      </c>
      <c r="E38" s="21">
        <f>0.8*(SUM(F2:F42)-F44-F45)</f>
        <v>4061457.2091050195</v>
      </c>
      <c r="F38" s="21">
        <v>371642.42</v>
      </c>
      <c r="G38" s="19"/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-11845.916865341866</v>
      </c>
      <c r="AO38" s="20">
        <v>-11664.969557645953</v>
      </c>
      <c r="AP38" s="20">
        <v>-11483.494486969263</v>
      </c>
      <c r="AQ38" s="20">
        <v>-11301.4901140031</v>
      </c>
      <c r="AR38" s="20">
        <v>-11118.954894949116</v>
      </c>
      <c r="AS38" s="20">
        <v>-10935.887281506226</v>
      </c>
      <c r="AT38" s="20">
        <v>-10752.285720857462</v>
      </c>
      <c r="AU38" s="20">
        <v>-10568.148655656803</v>
      </c>
      <c r="AV38" s="20">
        <v>-10383.474524015977</v>
      </c>
      <c r="AW38" s="20">
        <v>-10198.261759491201</v>
      </c>
      <c r="AX38" s="20">
        <v>-10012.508791069889</v>
      </c>
      <c r="AY38" s="20">
        <v>-9826.2140431573534</v>
      </c>
      <c r="AZ38" s="20">
        <v>-9639.3759355634029</v>
      </c>
      <c r="BA38" s="20">
        <v>-9451.9928834889724</v>
      </c>
      <c r="BB38" s="20">
        <v>-9264.0632975126555</v>
      </c>
      <c r="BC38" s="20">
        <v>-9075.5855835772418</v>
      </c>
      <c r="BD38" s="25">
        <v>-8886.5581429761842</v>
      </c>
      <c r="BE38" s="25">
        <v>-8696.9793723400417</v>
      </c>
      <c r="BF38" s="25">
        <v>-8506.8476636228734</v>
      </c>
      <c r="BG38" s="25">
        <v>-8316.1614040886143</v>
      </c>
      <c r="BH38" s="25">
        <v>-8124.9189762973801</v>
      </c>
      <c r="BI38" s="25">
        <v>-7933.1187580917567</v>
      </c>
      <c r="BJ38" s="25">
        <v>-7740.7591225830329</v>
      </c>
      <c r="BK38" s="25">
        <v>-7547.838438137408</v>
      </c>
      <c r="BL38" s="25">
        <v>-7354.3550683621506</v>
      </c>
      <c r="BM38" s="25">
        <v>-7160.3073720917146</v>
      </c>
      <c r="BN38" s="25">
        <v>-6965.693703373825</v>
      </c>
      <c r="BO38" s="25">
        <v>-6770.5124114555065</v>
      </c>
      <c r="BP38" s="25">
        <v>-6574.7618407690943</v>
      </c>
      <c r="BQ38" s="25">
        <v>-6378.440330918178</v>
      </c>
      <c r="BR38" s="25">
        <v>-6181.5462166635307</v>
      </c>
      <c r="BS38" s="25">
        <v>-5984.0778279089745</v>
      </c>
      <c r="BT38" s="25">
        <v>-5786.0334896872182</v>
      </c>
      <c r="BU38" s="25">
        <v>-5587.4115221456477</v>
      </c>
      <c r="BV38" s="25">
        <v>-5388.2102405320802</v>
      </c>
      <c r="BW38" s="25">
        <v>-5188.4279551804748</v>
      </c>
      <c r="BX38" s="25">
        <v>-4988.0629714965917</v>
      </c>
      <c r="BY38" s="25">
        <v>-4787.1135899436322</v>
      </c>
      <c r="BZ38" s="25">
        <v>-4585.5781060278086</v>
      </c>
      <c r="CA38" s="25">
        <v>-4383.454810283898</v>
      </c>
      <c r="CB38" s="25">
        <v>-4180.7419882607346</v>
      </c>
      <c r="CC38" s="25">
        <v>-3977.4379205066707</v>
      </c>
      <c r="CD38" s="25">
        <v>-3773.5408825549894</v>
      </c>
      <c r="CE38" s="25">
        <v>-3569.0491449092838</v>
      </c>
      <c r="CF38" s="25">
        <v>-3363.9609730287766</v>
      </c>
      <c r="CG38" s="25">
        <v>-3158.274627313619</v>
      </c>
      <c r="CH38" s="25">
        <v>-2951.9883630901259</v>
      </c>
      <c r="CI38" s="25">
        <v>-2745.10043059598</v>
      </c>
      <c r="CJ38" s="25">
        <v>-2537.6090749653936</v>
      </c>
      <c r="CK38" s="25">
        <v>-2329.5125362142171</v>
      </c>
      <c r="CL38" s="25">
        <v>-2120.8090492250176</v>
      </c>
      <c r="CM38" s="25">
        <v>-1911.4968437320986</v>
      </c>
      <c r="CN38" s="25">
        <v>-1701.5741443064921</v>
      </c>
      <c r="CO38" s="25">
        <v>-1491.0391703408945</v>
      </c>
      <c r="CP38" s="25">
        <v>-1279.8901360345637</v>
      </c>
      <c r="CQ38" s="25">
        <v>-1068.1252503781727</v>
      </c>
      <c r="CR38" s="25">
        <v>-855.74271713861742</v>
      </c>
      <c r="CS38" s="25">
        <v>-642.74073484378005</v>
      </c>
      <c r="CT38" s="25">
        <v>-429.11749676724946</v>
      </c>
      <c r="CU38" s="25">
        <v>-214.87119091299544</v>
      </c>
    </row>
    <row r="39" spans="1:99" x14ac:dyDescent="0.25">
      <c r="A39" s="11" t="s">
        <v>4</v>
      </c>
      <c r="B39" s="11" t="s">
        <v>24</v>
      </c>
      <c r="C39" s="11" t="s">
        <v>39</v>
      </c>
      <c r="D39" s="38">
        <f>intereses!E5</f>
        <v>0.05</v>
      </c>
      <c r="E39" s="21">
        <f>-0.8*SUM(G2:G32,G41:G42)</f>
        <v>4467663.9105135286</v>
      </c>
      <c r="F39" s="21">
        <v>159874.06</v>
      </c>
      <c r="G39" s="19"/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-18615.266291666667</v>
      </c>
      <c r="Y39" s="20">
        <v>-17487.741788170362</v>
      </c>
      <c r="Z39" s="20">
        <v>-16355.51926590949</v>
      </c>
      <c r="AA39" s="20">
        <v>-15218.579149805862</v>
      </c>
      <c r="AB39" s="20">
        <v>-14076.901783218471</v>
      </c>
      <c r="AC39" s="20">
        <v>-12930.467427603635</v>
      </c>
      <c r="AD39" s="20">
        <v>-11779.256262173732</v>
      </c>
      <c r="AE39" s="20">
        <v>-10623.248383554541</v>
      </c>
      <c r="AF39" s="20">
        <v>-9462.4238054411016</v>
      </c>
      <c r="AG39" s="20">
        <v>-8296.762458252193</v>
      </c>
      <c r="AH39" s="20">
        <v>-7126.2441887833274</v>
      </c>
      <c r="AI39" s="20">
        <v>-5950.8487598583415</v>
      </c>
      <c r="AJ39" s="20">
        <v>-4770.5558499795025</v>
      </c>
      <c r="AK39" s="20">
        <v>-3585.3450529761681</v>
      </c>
      <c r="AL39" s="20">
        <v>-2395.1958776519873</v>
      </c>
      <c r="AM39" s="20">
        <v>-1200.0877474306214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38">
        <v>2.5000000000000001E-3</v>
      </c>
      <c r="E40" s="21">
        <f>-0.8*SUM(G2:G32,G41:G42)</f>
        <v>4467663.9105135286</v>
      </c>
      <c r="F40" s="21">
        <f>D40*E40</f>
        <v>11169.159776283821</v>
      </c>
      <c r="G40" s="19">
        <f>-F40</f>
        <v>-11169.159776283821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f>G40</f>
        <v>-11169.159776283821</v>
      </c>
    </row>
    <row r="41" spans="1:99" x14ac:dyDescent="0.25">
      <c r="A41" s="11" t="s">
        <v>4</v>
      </c>
      <c r="B41" s="11" t="s">
        <v>1</v>
      </c>
      <c r="C41" s="11" t="s">
        <v>22</v>
      </c>
      <c r="D41" s="37">
        <f>40*16</f>
        <v>640</v>
      </c>
      <c r="E41" s="11">
        <v>700</v>
      </c>
      <c r="F41" s="21">
        <f>D41*E41</f>
        <v>448000</v>
      </c>
      <c r="G41" s="17">
        <f>-F41</f>
        <v>-448000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f>$G$41/16</f>
        <v>-28000</v>
      </c>
      <c r="Y41" s="18">
        <f t="shared" ref="Y41:AM41" si="6">$G$41/16</f>
        <v>-28000</v>
      </c>
      <c r="Z41" s="18">
        <f t="shared" si="6"/>
        <v>-28000</v>
      </c>
      <c r="AA41" s="18">
        <f t="shared" si="6"/>
        <v>-28000</v>
      </c>
      <c r="AB41" s="18">
        <f t="shared" si="6"/>
        <v>-28000</v>
      </c>
      <c r="AC41" s="18">
        <f t="shared" si="6"/>
        <v>-28000</v>
      </c>
      <c r="AD41" s="18">
        <f t="shared" si="6"/>
        <v>-28000</v>
      </c>
      <c r="AE41" s="18">
        <f t="shared" si="6"/>
        <v>-28000</v>
      </c>
      <c r="AF41" s="18">
        <f t="shared" si="6"/>
        <v>-28000</v>
      </c>
      <c r="AG41" s="18">
        <f t="shared" si="6"/>
        <v>-28000</v>
      </c>
      <c r="AH41" s="18">
        <f t="shared" si="6"/>
        <v>-28000</v>
      </c>
      <c r="AI41" s="18">
        <f t="shared" si="6"/>
        <v>-28000</v>
      </c>
      <c r="AJ41" s="18">
        <f t="shared" si="6"/>
        <v>-28000</v>
      </c>
      <c r="AK41" s="18">
        <f t="shared" si="6"/>
        <v>-28000</v>
      </c>
      <c r="AL41" s="18">
        <f t="shared" si="6"/>
        <v>-28000</v>
      </c>
      <c r="AM41" s="18">
        <f t="shared" si="6"/>
        <v>-28000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37">
        <f>40*16</f>
        <v>640</v>
      </c>
      <c r="E42" s="11">
        <v>200</v>
      </c>
      <c r="F42" s="21">
        <f>D42*E42</f>
        <v>128000</v>
      </c>
      <c r="G42" s="19">
        <f>-$F$42</f>
        <v>-128000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f>$G$42/16</f>
        <v>-8000</v>
      </c>
      <c r="Y42" s="20">
        <f t="shared" ref="Y42:AM42" si="7">$G$42/16</f>
        <v>-8000</v>
      </c>
      <c r="Z42" s="20">
        <f t="shared" si="7"/>
        <v>-8000</v>
      </c>
      <c r="AA42" s="20">
        <f t="shared" si="7"/>
        <v>-8000</v>
      </c>
      <c r="AB42" s="20">
        <f t="shared" si="7"/>
        <v>-8000</v>
      </c>
      <c r="AC42" s="20">
        <f t="shared" si="7"/>
        <v>-8000</v>
      </c>
      <c r="AD42" s="20">
        <f t="shared" si="7"/>
        <v>-8000</v>
      </c>
      <c r="AE42" s="20">
        <f t="shared" si="7"/>
        <v>-8000</v>
      </c>
      <c r="AF42" s="20">
        <f t="shared" si="7"/>
        <v>-8000</v>
      </c>
      <c r="AG42" s="20">
        <f t="shared" si="7"/>
        <v>-8000</v>
      </c>
      <c r="AH42" s="20">
        <f t="shared" si="7"/>
        <v>-8000</v>
      </c>
      <c r="AI42" s="20">
        <f t="shared" si="7"/>
        <v>-8000</v>
      </c>
      <c r="AJ42" s="20">
        <f t="shared" si="7"/>
        <v>-8000</v>
      </c>
      <c r="AK42" s="20">
        <f t="shared" si="7"/>
        <v>-8000</v>
      </c>
      <c r="AL42" s="20">
        <f t="shared" si="7"/>
        <v>-8000</v>
      </c>
      <c r="AM42" s="20">
        <f t="shared" si="7"/>
        <v>-8000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</row>
    <row r="43" spans="1:99" x14ac:dyDescent="0.25">
      <c r="A43" s="11" t="s">
        <v>5</v>
      </c>
      <c r="B43" s="11" t="s">
        <v>177</v>
      </c>
      <c r="C43" s="11" t="s">
        <v>145</v>
      </c>
      <c r="D43" s="37">
        <v>20</v>
      </c>
      <c r="E43" s="11">
        <f>65*2183.04</f>
        <v>141897.60000000001</v>
      </c>
      <c r="F43" s="11">
        <f>D43*E43</f>
        <v>2837952</v>
      </c>
      <c r="G43" s="19">
        <f>F43</f>
        <v>2837952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f>G43</f>
        <v>2837952</v>
      </c>
    </row>
    <row r="44" spans="1:99" x14ac:dyDescent="0.25">
      <c r="A44" s="11" t="s">
        <v>5</v>
      </c>
      <c r="B44" s="11" t="s">
        <v>178</v>
      </c>
      <c r="C44" s="11" t="s">
        <v>179</v>
      </c>
      <c r="D44" s="37">
        <v>40</v>
      </c>
      <c r="E44" s="11">
        <v>16000</v>
      </c>
      <c r="F44" s="11">
        <f>D44*E44</f>
        <v>640000</v>
      </c>
      <c r="G44" s="19">
        <f>F44</f>
        <v>640000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f>G44</f>
        <v>640000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</row>
    <row r="45" spans="1:99" x14ac:dyDescent="0.25">
      <c r="A45" s="11" t="s">
        <v>5</v>
      </c>
      <c r="B45" s="11" t="s">
        <v>178</v>
      </c>
      <c r="C45" s="11" t="s">
        <v>180</v>
      </c>
      <c r="D45" s="37">
        <v>40</v>
      </c>
      <c r="E45" s="11">
        <v>11000</v>
      </c>
      <c r="F45" s="11">
        <f>D45*E45</f>
        <v>440000</v>
      </c>
      <c r="G45" s="19">
        <f>F45</f>
        <v>440000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f>G45</f>
        <v>440000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  <c r="CT45" s="20">
        <v>0</v>
      </c>
      <c r="CU45" s="20">
        <v>0</v>
      </c>
    </row>
    <row r="46" spans="1:99" x14ac:dyDescent="0.25">
      <c r="A46" s="11" t="s">
        <v>5</v>
      </c>
      <c r="B46" s="11" t="s">
        <v>181</v>
      </c>
      <c r="C46" s="11" t="s">
        <v>182</v>
      </c>
      <c r="D46" s="37">
        <f>20*60</f>
        <v>1200</v>
      </c>
      <c r="E46" s="11">
        <v>450</v>
      </c>
      <c r="F46" s="21">
        <f>D46*E46</f>
        <v>540000</v>
      </c>
      <c r="G46" s="19">
        <f>F46</f>
        <v>540000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f>($D$46*$E$46)/60</f>
        <v>9000</v>
      </c>
      <c r="AO46" s="20">
        <f t="shared" ref="AO46:CU46" si="8">($D$46*$E$46)/60</f>
        <v>9000</v>
      </c>
      <c r="AP46" s="20">
        <f t="shared" si="8"/>
        <v>9000</v>
      </c>
      <c r="AQ46" s="20">
        <f t="shared" si="8"/>
        <v>9000</v>
      </c>
      <c r="AR46" s="20">
        <f t="shared" si="8"/>
        <v>9000</v>
      </c>
      <c r="AS46" s="20">
        <f t="shared" si="8"/>
        <v>9000</v>
      </c>
      <c r="AT46" s="20">
        <f t="shared" si="8"/>
        <v>9000</v>
      </c>
      <c r="AU46" s="20">
        <f t="shared" si="8"/>
        <v>9000</v>
      </c>
      <c r="AV46" s="20">
        <f t="shared" si="8"/>
        <v>9000</v>
      </c>
      <c r="AW46" s="20">
        <f t="shared" si="8"/>
        <v>9000</v>
      </c>
      <c r="AX46" s="20">
        <f t="shared" si="8"/>
        <v>9000</v>
      </c>
      <c r="AY46" s="20">
        <f t="shared" si="8"/>
        <v>9000</v>
      </c>
      <c r="AZ46" s="20">
        <f t="shared" si="8"/>
        <v>9000</v>
      </c>
      <c r="BA46" s="20">
        <f t="shared" si="8"/>
        <v>9000</v>
      </c>
      <c r="BB46" s="20">
        <f t="shared" si="8"/>
        <v>9000</v>
      </c>
      <c r="BC46" s="20">
        <f t="shared" si="8"/>
        <v>9000</v>
      </c>
      <c r="BD46" s="20">
        <f t="shared" si="8"/>
        <v>9000</v>
      </c>
      <c r="BE46" s="20">
        <f t="shared" si="8"/>
        <v>9000</v>
      </c>
      <c r="BF46" s="20">
        <f t="shared" si="8"/>
        <v>9000</v>
      </c>
      <c r="BG46" s="20">
        <f t="shared" si="8"/>
        <v>9000</v>
      </c>
      <c r="BH46" s="20">
        <f t="shared" si="8"/>
        <v>9000</v>
      </c>
      <c r="BI46" s="20">
        <f t="shared" si="8"/>
        <v>9000</v>
      </c>
      <c r="BJ46" s="20">
        <f t="shared" si="8"/>
        <v>9000</v>
      </c>
      <c r="BK46" s="20">
        <f t="shared" si="8"/>
        <v>9000</v>
      </c>
      <c r="BL46" s="20">
        <f t="shared" si="8"/>
        <v>9000</v>
      </c>
      <c r="BM46" s="20">
        <f t="shared" si="8"/>
        <v>9000</v>
      </c>
      <c r="BN46" s="20">
        <f t="shared" si="8"/>
        <v>9000</v>
      </c>
      <c r="BO46" s="20">
        <f t="shared" si="8"/>
        <v>9000</v>
      </c>
      <c r="BP46" s="20">
        <f t="shared" si="8"/>
        <v>9000</v>
      </c>
      <c r="BQ46" s="20">
        <f t="shared" si="8"/>
        <v>9000</v>
      </c>
      <c r="BR46" s="20">
        <f t="shared" si="8"/>
        <v>9000</v>
      </c>
      <c r="BS46" s="20">
        <f t="shared" si="8"/>
        <v>9000</v>
      </c>
      <c r="BT46" s="20">
        <f t="shared" si="8"/>
        <v>9000</v>
      </c>
      <c r="BU46" s="20">
        <f t="shared" si="8"/>
        <v>9000</v>
      </c>
      <c r="BV46" s="20">
        <f t="shared" si="8"/>
        <v>9000</v>
      </c>
      <c r="BW46" s="20">
        <f t="shared" si="8"/>
        <v>9000</v>
      </c>
      <c r="BX46" s="20">
        <f t="shared" si="8"/>
        <v>9000</v>
      </c>
      <c r="BY46" s="20">
        <f t="shared" si="8"/>
        <v>9000</v>
      </c>
      <c r="BZ46" s="20">
        <f t="shared" si="8"/>
        <v>9000</v>
      </c>
      <c r="CA46" s="20">
        <f t="shared" si="8"/>
        <v>9000</v>
      </c>
      <c r="CB46" s="20">
        <f t="shared" si="8"/>
        <v>9000</v>
      </c>
      <c r="CC46" s="20">
        <f t="shared" si="8"/>
        <v>9000</v>
      </c>
      <c r="CD46" s="20">
        <f t="shared" si="8"/>
        <v>9000</v>
      </c>
      <c r="CE46" s="20">
        <f t="shared" si="8"/>
        <v>9000</v>
      </c>
      <c r="CF46" s="20">
        <f t="shared" si="8"/>
        <v>9000</v>
      </c>
      <c r="CG46" s="20">
        <f t="shared" si="8"/>
        <v>9000</v>
      </c>
      <c r="CH46" s="20">
        <f t="shared" si="8"/>
        <v>9000</v>
      </c>
      <c r="CI46" s="20">
        <f t="shared" si="8"/>
        <v>9000</v>
      </c>
      <c r="CJ46" s="20">
        <f t="shared" si="8"/>
        <v>9000</v>
      </c>
      <c r="CK46" s="20">
        <f t="shared" si="8"/>
        <v>9000</v>
      </c>
      <c r="CL46" s="20">
        <f t="shared" si="8"/>
        <v>9000</v>
      </c>
      <c r="CM46" s="20">
        <f t="shared" si="8"/>
        <v>9000</v>
      </c>
      <c r="CN46" s="20">
        <f t="shared" si="8"/>
        <v>9000</v>
      </c>
      <c r="CO46" s="20">
        <f t="shared" si="8"/>
        <v>9000</v>
      </c>
      <c r="CP46" s="20">
        <f t="shared" si="8"/>
        <v>9000</v>
      </c>
      <c r="CQ46" s="20">
        <f t="shared" si="8"/>
        <v>9000</v>
      </c>
      <c r="CR46" s="20">
        <f t="shared" si="8"/>
        <v>9000</v>
      </c>
      <c r="CS46" s="20">
        <f t="shared" si="8"/>
        <v>9000</v>
      </c>
      <c r="CT46" s="20">
        <f t="shared" si="8"/>
        <v>9000</v>
      </c>
      <c r="CU46" s="20">
        <f t="shared" si="8"/>
        <v>9000</v>
      </c>
    </row>
    <row r="47" spans="1:99" x14ac:dyDescent="0.25">
      <c r="A47" s="11" t="s">
        <v>5</v>
      </c>
      <c r="B47" s="11" t="s">
        <v>183</v>
      </c>
      <c r="C47" s="11" t="s">
        <v>157</v>
      </c>
      <c r="D47" s="37">
        <v>0</v>
      </c>
      <c r="E47" s="11">
        <v>50</v>
      </c>
      <c r="F47" s="11">
        <f>D47*E47</f>
        <v>0</v>
      </c>
      <c r="G47" s="42">
        <f>F47</f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f>($D$47*$E$47)/60</f>
        <v>0</v>
      </c>
      <c r="AO47" s="20">
        <f t="shared" ref="AO47:CU47" si="9">($D$47*$E$47)/60</f>
        <v>0</v>
      </c>
      <c r="AP47" s="20">
        <f t="shared" si="9"/>
        <v>0</v>
      </c>
      <c r="AQ47" s="20">
        <f t="shared" si="9"/>
        <v>0</v>
      </c>
      <c r="AR47" s="20">
        <f t="shared" si="9"/>
        <v>0</v>
      </c>
      <c r="AS47" s="20">
        <f t="shared" si="9"/>
        <v>0</v>
      </c>
      <c r="AT47" s="20">
        <f t="shared" si="9"/>
        <v>0</v>
      </c>
      <c r="AU47" s="20">
        <f t="shared" si="9"/>
        <v>0</v>
      </c>
      <c r="AV47" s="20">
        <f t="shared" si="9"/>
        <v>0</v>
      </c>
      <c r="AW47" s="20">
        <f t="shared" si="9"/>
        <v>0</v>
      </c>
      <c r="AX47" s="20">
        <f t="shared" si="9"/>
        <v>0</v>
      </c>
      <c r="AY47" s="20">
        <f t="shared" si="9"/>
        <v>0</v>
      </c>
      <c r="AZ47" s="20">
        <f t="shared" si="9"/>
        <v>0</v>
      </c>
      <c r="BA47" s="20">
        <f t="shared" si="9"/>
        <v>0</v>
      </c>
      <c r="BB47" s="20">
        <f t="shared" si="9"/>
        <v>0</v>
      </c>
      <c r="BC47" s="20">
        <f t="shared" si="9"/>
        <v>0</v>
      </c>
      <c r="BD47" s="20">
        <f t="shared" si="9"/>
        <v>0</v>
      </c>
      <c r="BE47" s="20">
        <f t="shared" si="9"/>
        <v>0</v>
      </c>
      <c r="BF47" s="20">
        <f t="shared" si="9"/>
        <v>0</v>
      </c>
      <c r="BG47" s="20">
        <f t="shared" si="9"/>
        <v>0</v>
      </c>
      <c r="BH47" s="20">
        <f t="shared" si="9"/>
        <v>0</v>
      </c>
      <c r="BI47" s="20">
        <f t="shared" si="9"/>
        <v>0</v>
      </c>
      <c r="BJ47" s="20">
        <f t="shared" si="9"/>
        <v>0</v>
      </c>
      <c r="BK47" s="20">
        <f t="shared" si="9"/>
        <v>0</v>
      </c>
      <c r="BL47" s="20">
        <f t="shared" si="9"/>
        <v>0</v>
      </c>
      <c r="BM47" s="20">
        <f t="shared" si="9"/>
        <v>0</v>
      </c>
      <c r="BN47" s="20">
        <f t="shared" si="9"/>
        <v>0</v>
      </c>
      <c r="BO47" s="20">
        <f t="shared" si="9"/>
        <v>0</v>
      </c>
      <c r="BP47" s="20">
        <f t="shared" si="9"/>
        <v>0</v>
      </c>
      <c r="BQ47" s="20">
        <f t="shared" si="9"/>
        <v>0</v>
      </c>
      <c r="BR47" s="20">
        <f t="shared" si="9"/>
        <v>0</v>
      </c>
      <c r="BS47" s="20">
        <f t="shared" si="9"/>
        <v>0</v>
      </c>
      <c r="BT47" s="20">
        <f t="shared" si="9"/>
        <v>0</v>
      </c>
      <c r="BU47" s="20">
        <f t="shared" si="9"/>
        <v>0</v>
      </c>
      <c r="BV47" s="20">
        <f t="shared" si="9"/>
        <v>0</v>
      </c>
      <c r="BW47" s="20">
        <f t="shared" si="9"/>
        <v>0</v>
      </c>
      <c r="BX47" s="20">
        <f t="shared" si="9"/>
        <v>0</v>
      </c>
      <c r="BY47" s="20">
        <f t="shared" si="9"/>
        <v>0</v>
      </c>
      <c r="BZ47" s="20">
        <f t="shared" si="9"/>
        <v>0</v>
      </c>
      <c r="CA47" s="20">
        <f t="shared" si="9"/>
        <v>0</v>
      </c>
      <c r="CB47" s="20">
        <f t="shared" si="9"/>
        <v>0</v>
      </c>
      <c r="CC47" s="20">
        <f t="shared" si="9"/>
        <v>0</v>
      </c>
      <c r="CD47" s="20">
        <f t="shared" si="9"/>
        <v>0</v>
      </c>
      <c r="CE47" s="20">
        <f t="shared" si="9"/>
        <v>0</v>
      </c>
      <c r="CF47" s="20">
        <f t="shared" si="9"/>
        <v>0</v>
      </c>
      <c r="CG47" s="20">
        <f t="shared" si="9"/>
        <v>0</v>
      </c>
      <c r="CH47" s="20">
        <f t="shared" si="9"/>
        <v>0</v>
      </c>
      <c r="CI47" s="20">
        <f t="shared" si="9"/>
        <v>0</v>
      </c>
      <c r="CJ47" s="20">
        <f t="shared" si="9"/>
        <v>0</v>
      </c>
      <c r="CK47" s="20">
        <f t="shared" si="9"/>
        <v>0</v>
      </c>
      <c r="CL47" s="20">
        <f t="shared" si="9"/>
        <v>0</v>
      </c>
      <c r="CM47" s="20">
        <f t="shared" si="9"/>
        <v>0</v>
      </c>
      <c r="CN47" s="20">
        <f t="shared" si="9"/>
        <v>0</v>
      </c>
      <c r="CO47" s="20">
        <f t="shared" si="9"/>
        <v>0</v>
      </c>
      <c r="CP47" s="20">
        <f t="shared" si="9"/>
        <v>0</v>
      </c>
      <c r="CQ47" s="20">
        <f t="shared" si="9"/>
        <v>0</v>
      </c>
      <c r="CR47" s="20">
        <f t="shared" si="9"/>
        <v>0</v>
      </c>
      <c r="CS47" s="20">
        <f t="shared" si="9"/>
        <v>0</v>
      </c>
      <c r="CT47" s="20">
        <f t="shared" si="9"/>
        <v>0</v>
      </c>
      <c r="CU47" s="20">
        <f t="shared" si="9"/>
        <v>0</v>
      </c>
    </row>
    <row r="48" spans="1:99" x14ac:dyDescent="0.25">
      <c r="A48" s="11" t="s">
        <v>184</v>
      </c>
      <c r="B48" s="11" t="s">
        <v>185</v>
      </c>
      <c r="C48" s="11" t="s">
        <v>5</v>
      </c>
      <c r="F48" s="43"/>
      <c r="G48" s="45">
        <f>SUM(F43:F47)</f>
        <v>4457952</v>
      </c>
      <c r="H48" s="3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spans="1:99" x14ac:dyDescent="0.25">
      <c r="A49" s="11" t="s">
        <v>184</v>
      </c>
      <c r="B49" s="11" t="s">
        <v>185</v>
      </c>
      <c r="C49" s="11" t="s">
        <v>90</v>
      </c>
      <c r="F49" s="43"/>
      <c r="G49" s="45">
        <f>-SUM(F2:F42)</f>
        <v>-6156821.5113812741</v>
      </c>
      <c r="H49" s="39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spans="1:99" x14ac:dyDescent="0.25">
      <c r="A50" s="11" t="s">
        <v>184</v>
      </c>
      <c r="B50" s="11" t="s">
        <v>185</v>
      </c>
      <c r="C50" s="11" t="s">
        <v>186</v>
      </c>
      <c r="F50" s="43"/>
      <c r="G50" s="45">
        <f>SUM(G48:G49)</f>
        <v>-1698869.5113812741</v>
      </c>
      <c r="H50" s="39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spans="1:99" x14ac:dyDescent="0.25">
      <c r="A51" s="11" t="s">
        <v>184</v>
      </c>
      <c r="B51" s="11" t="s">
        <v>185</v>
      </c>
      <c r="C51" s="11" t="s">
        <v>187</v>
      </c>
      <c r="F51" s="43"/>
      <c r="G51" s="46">
        <f>G50/-G49</f>
        <v>-0.27593288326465309</v>
      </c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spans="1:99" x14ac:dyDescent="0.25">
      <c r="A52" s="11" t="s">
        <v>184</v>
      </c>
      <c r="B52" s="11" t="s">
        <v>188</v>
      </c>
      <c r="C52" s="11" t="s">
        <v>189</v>
      </c>
      <c r="F52" s="43"/>
      <c r="G52" s="47"/>
      <c r="H52" s="40">
        <f>SUM(H2:H47)</f>
        <v>0</v>
      </c>
      <c r="I52" s="25">
        <f>SUM(I2:I47)</f>
        <v>-7018</v>
      </c>
      <c r="J52" s="25">
        <f>SUM(J2:J47)</f>
        <v>0</v>
      </c>
      <c r="K52" s="25">
        <f>SUM(K2:K47)</f>
        <v>-11429.569386124324</v>
      </c>
      <c r="L52" s="25">
        <f>SUM(L2:L47)</f>
        <v>0</v>
      </c>
      <c r="M52" s="25">
        <f>SUM(M2:M47)</f>
        <v>-108155.37598550977</v>
      </c>
      <c r="N52" s="25">
        <f>SUM(N2:N47)</f>
        <v>-1582.3080000000002</v>
      </c>
      <c r="O52" s="25">
        <f>SUM(O2:O47)</f>
        <v>0</v>
      </c>
      <c r="P52" s="25">
        <f>SUM(P2:P47)</f>
        <v>-166048.70673443761</v>
      </c>
      <c r="Q52" s="25">
        <f>SUM(Q2:Q47)</f>
        <v>-35876.943124994403</v>
      </c>
      <c r="R52" s="25">
        <f>SUM(R2:R47)</f>
        <v>-4532.5693861243226</v>
      </c>
      <c r="S52" s="25">
        <f>SUM(S2:S47)</f>
        <v>0</v>
      </c>
      <c r="T52" s="25">
        <f>SUM(T2:T47)</f>
        <v>-143507.77249997761</v>
      </c>
      <c r="U52" s="25">
        <f>SUM(U2:U47)</f>
        <v>0</v>
      </c>
      <c r="V52" s="25">
        <f>SUM(V2:V47)</f>
        <v>0</v>
      </c>
      <c r="W52" s="25">
        <f>SUM(W2:W47)</f>
        <v>-29555.983463081171</v>
      </c>
      <c r="X52" s="25">
        <f>SUM(X2:X47)</f>
        <v>-150619.09661442708</v>
      </c>
      <c r="Y52" s="25">
        <f>SUM(Y2:Y47)</f>
        <v>-196619.51854437075</v>
      </c>
      <c r="Z52" s="25">
        <f>SUM(Z2:Z47)</f>
        <v>-117299.61922371465</v>
      </c>
      <c r="AA52" s="25">
        <f>SUM(AA2:AA47)</f>
        <v>-187990.83476973101</v>
      </c>
      <c r="AB52" s="25">
        <f>SUM(AB2:AB47)</f>
        <v>-275889.68062507961</v>
      </c>
      <c r="AC52" s="25">
        <f>SUM(AC2:AC47)</f>
        <v>-384776.06380410481</v>
      </c>
      <c r="AD52" s="25">
        <f>SUM(AD2:AD47)</f>
        <v>-329097.03053334687</v>
      </c>
      <c r="AE52" s="25">
        <f>SUM(AE2:AE47)</f>
        <v>-301626.02374452766</v>
      </c>
      <c r="AF52" s="25">
        <f>SUM(AF2:AF47)</f>
        <v>-292993.31165761425</v>
      </c>
      <c r="AG52" s="25">
        <f>SUM(AG2:AG47)</f>
        <v>-295563.59406482533</v>
      </c>
      <c r="AH52" s="25">
        <f>SUM(AH2:AH47)</f>
        <v>-339224.40084815648</v>
      </c>
      <c r="AI52" s="25">
        <f>SUM(AI2:AI47)</f>
        <v>-532318.08064803155</v>
      </c>
      <c r="AJ52" s="25">
        <f>SUM(AJ2:AJ47)</f>
        <v>-680575.53791415272</v>
      </c>
      <c r="AK52" s="25">
        <f>SUM(AK2:AK47)</f>
        <v>-515008.80192354933</v>
      </c>
      <c r="AL52" s="25">
        <f>SUM(AL2:AL47)</f>
        <v>-368116.84632662521</v>
      </c>
      <c r="AM52" s="25">
        <f>SUM(AM2:AM47)</f>
        <v>-281695.03184520378</v>
      </c>
      <c r="AN52" s="25">
        <f>SUM(AN2:AN47)</f>
        <v>1060264.4671726851</v>
      </c>
      <c r="AO52" s="25">
        <f>SUM(AO2:AO47)</f>
        <v>-2664.9695576459526</v>
      </c>
      <c r="AP52" s="25">
        <f>SUM(AP2:AP47)</f>
        <v>-2483.4944869692627</v>
      </c>
      <c r="AQ52" s="25">
        <f>SUM(AQ2:AQ47)</f>
        <v>-2301.4901140030997</v>
      </c>
      <c r="AR52" s="25">
        <f>SUM(AR2:AR47)</f>
        <v>-2118.9548949491164</v>
      </c>
      <c r="AS52" s="25">
        <f>SUM(AS2:AS47)</f>
        <v>-1935.8872815062259</v>
      </c>
      <c r="AT52" s="25">
        <f>SUM(AT2:AT47)</f>
        <v>-1752.2857208574624</v>
      </c>
      <c r="AU52" s="25">
        <f>SUM(AU2:AU47)</f>
        <v>-1568.1486556568034</v>
      </c>
      <c r="AV52" s="25">
        <f>SUM(AV2:AV47)</f>
        <v>-1383.4745240159773</v>
      </c>
      <c r="AW52" s="25">
        <f>SUM(AW2:AW47)</f>
        <v>-1198.2617594912008</v>
      </c>
      <c r="AX52" s="25">
        <f>SUM(AX2:AX47)</f>
        <v>-1012.5087910698894</v>
      </c>
      <c r="AY52" s="25">
        <f>SUM(AY2:AY47)</f>
        <v>-826.21404315735344</v>
      </c>
      <c r="AZ52" s="25">
        <f>SUM(AZ2:AZ47)</f>
        <v>-639.37593556340289</v>
      </c>
      <c r="BA52" s="25">
        <f>SUM(BA2:BA47)</f>
        <v>-451.99288348897244</v>
      </c>
      <c r="BB52" s="25">
        <f>SUM(BB2:BB47)</f>
        <v>-264.06329751265548</v>
      </c>
      <c r="BC52" s="25">
        <f>SUM(BC2:BC47)</f>
        <v>-75.585583577241778</v>
      </c>
      <c r="BD52" s="25">
        <f>SUM(BD2:BD47)</f>
        <v>113.44185702381583</v>
      </c>
      <c r="BE52" s="25">
        <f>SUM(BE2:BE47)</f>
        <v>303.02062765995834</v>
      </c>
      <c r="BF52" s="25">
        <f>SUM(BF2:BF47)</f>
        <v>493.15233637712663</v>
      </c>
      <c r="BG52" s="25">
        <f>SUM(BG2:BG47)</f>
        <v>683.83859591138571</v>
      </c>
      <c r="BH52" s="25">
        <f>SUM(BH2:BH47)</f>
        <v>875.08102370261986</v>
      </c>
      <c r="BI52" s="25">
        <f>SUM(BI2:BI47)</f>
        <v>1066.8812419082433</v>
      </c>
      <c r="BJ52" s="25">
        <f>SUM(BJ2:BJ47)</f>
        <v>1259.2408774169671</v>
      </c>
      <c r="BK52" s="25">
        <f>SUM(BK2:BK47)</f>
        <v>1452.161561862592</v>
      </c>
      <c r="BL52" s="25">
        <f>SUM(BL2:BL47)</f>
        <v>1645.6449316378494</v>
      </c>
      <c r="BM52" s="25">
        <f>SUM(BM2:BM47)</f>
        <v>1839.6926279082854</v>
      </c>
      <c r="BN52" s="25">
        <f>SUM(BN2:BN47)</f>
        <v>2034.306296626175</v>
      </c>
      <c r="BO52" s="25">
        <f>SUM(BO2:BO47)</f>
        <v>2229.4875885444935</v>
      </c>
      <c r="BP52" s="25">
        <f>SUM(BP2:BP47)</f>
        <v>2425.2381592309057</v>
      </c>
      <c r="BQ52" s="25">
        <f>SUM(BQ2:BQ47)</f>
        <v>2621.559669081822</v>
      </c>
      <c r="BR52" s="25">
        <f>SUM(BR2:BR47)</f>
        <v>2818.4537833364693</v>
      </c>
      <c r="BS52" s="25">
        <f>SUM(BS2:BS47)</f>
        <v>3015.9221720910255</v>
      </c>
      <c r="BT52" s="25">
        <f>SUM(BT2:BT47)</f>
        <v>3213.9665103127818</v>
      </c>
      <c r="BU52" s="25">
        <f>SUM(BU2:BU47)</f>
        <v>3412.5884778543523</v>
      </c>
      <c r="BV52" s="25">
        <f>SUM(BV2:BV47)</f>
        <v>3611.7897594679198</v>
      </c>
      <c r="BW52" s="25">
        <f>SUM(BW2:BW47)</f>
        <v>3811.5720448195252</v>
      </c>
      <c r="BX52" s="25">
        <f>SUM(BX2:BX47)</f>
        <v>4011.9370285034083</v>
      </c>
      <c r="BY52" s="25">
        <f>SUM(BY2:BY47)</f>
        <v>4212.8864100563678</v>
      </c>
      <c r="BZ52" s="25">
        <f>SUM(BZ2:BZ47)</f>
        <v>4414.4218939721914</v>
      </c>
      <c r="CA52" s="25">
        <f>SUM(CA2:CA47)</f>
        <v>4616.545189716102</v>
      </c>
      <c r="CB52" s="25">
        <f>SUM(CB2:CB47)</f>
        <v>4819.2580117392654</v>
      </c>
      <c r="CC52" s="25">
        <f>SUM(CC2:CC47)</f>
        <v>5022.5620794933293</v>
      </c>
      <c r="CD52" s="25">
        <f>SUM(CD2:CD47)</f>
        <v>5226.4591174450106</v>
      </c>
      <c r="CE52" s="25">
        <f>SUM(CE2:CE47)</f>
        <v>5430.9508550907158</v>
      </c>
      <c r="CF52" s="25">
        <f>SUM(CF2:CF47)</f>
        <v>5636.0390269712234</v>
      </c>
      <c r="CG52" s="25">
        <f>SUM(CG2:CG47)</f>
        <v>5841.725372686381</v>
      </c>
      <c r="CH52" s="25">
        <f>SUM(CH2:CH47)</f>
        <v>6048.0116369098741</v>
      </c>
      <c r="CI52" s="25">
        <f>SUM(CI2:CI47)</f>
        <v>6254.8995694040204</v>
      </c>
      <c r="CJ52" s="25">
        <f>SUM(CJ2:CJ47)</f>
        <v>6462.390925034606</v>
      </c>
      <c r="CK52" s="25">
        <f>SUM(CK2:CK47)</f>
        <v>6670.4874637857829</v>
      </c>
      <c r="CL52" s="25">
        <f>SUM(CL2:CL47)</f>
        <v>6879.1909507749824</v>
      </c>
      <c r="CM52" s="25">
        <f>SUM(CM2:CM47)</f>
        <v>7088.5031562679014</v>
      </c>
      <c r="CN52" s="25">
        <f>SUM(CN2:CN47)</f>
        <v>7298.4258556935074</v>
      </c>
      <c r="CO52" s="25">
        <f>SUM(CO2:CO47)</f>
        <v>7508.960829659105</v>
      </c>
      <c r="CP52" s="25">
        <f>SUM(CP2:CP47)</f>
        <v>7720.1098639654365</v>
      </c>
      <c r="CQ52" s="25">
        <f>SUM(CQ2:CQ47)</f>
        <v>7931.8747496218275</v>
      </c>
      <c r="CR52" s="25">
        <f>SUM(CR2:CR47)</f>
        <v>8144.2572828613829</v>
      </c>
      <c r="CS52" s="25">
        <f>SUM(CS2:CS47)</f>
        <v>8357.259265156219</v>
      </c>
      <c r="CT52" s="25">
        <f>SUM(CT2:CT47)</f>
        <v>8570.8825032327513</v>
      </c>
      <c r="CU52" s="25">
        <f>SUM(CU2:CU47)</f>
        <v>2835567.9690328031</v>
      </c>
    </row>
    <row r="53" spans="1:99" x14ac:dyDescent="0.25">
      <c r="A53" s="11" t="s">
        <v>184</v>
      </c>
      <c r="B53" s="11" t="s">
        <v>188</v>
      </c>
      <c r="C53" s="11" t="s">
        <v>190</v>
      </c>
      <c r="F53" s="43"/>
      <c r="G53" s="46">
        <f>SUM(H52:CU52)</f>
        <v>-1698869.8938108706</v>
      </c>
      <c r="H53" s="28">
        <f>SUM(H52:R52)</f>
        <v>-334643.47261719045</v>
      </c>
      <c r="I53" s="28"/>
      <c r="J53" s="28"/>
      <c r="K53" s="28"/>
      <c r="L53" s="28"/>
      <c r="M53" s="28"/>
      <c r="N53" s="28"/>
      <c r="O53" s="28"/>
      <c r="P53" s="28"/>
      <c r="Q53" s="28"/>
      <c r="R53" s="29"/>
      <c r="S53" s="27">
        <f>SUM(S52:AD52)</f>
        <v>-1815355.6000778335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9"/>
      <c r="AE53" s="27">
        <f>SUM(AE52:AP52)</f>
        <v>-2552005.625844616</v>
      </c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27">
        <f>SUM(AQ52:BB52)</f>
        <v>-15452.65790127216</v>
      </c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9"/>
      <c r="BC53" s="27">
        <f>SUM(BC52:BN52)</f>
        <v>11690.876394457777</v>
      </c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9"/>
      <c r="BO53" s="27">
        <f>SUM(BO52:BZ52)</f>
        <v>39799.82349727126</v>
      </c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9"/>
      <c r="CA53" s="27">
        <f>SUM(CA52:CL52)</f>
        <v>68908.520199051287</v>
      </c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9"/>
      <c r="CM53" s="27">
        <f>SUM(CM52:CU52)</f>
        <v>2898188.242539261</v>
      </c>
      <c r="CN53" s="28"/>
      <c r="CO53" s="28"/>
      <c r="CP53" s="28"/>
      <c r="CQ53" s="28"/>
      <c r="CR53" s="28"/>
      <c r="CS53" s="28"/>
      <c r="CT53" s="28"/>
      <c r="CU53" s="29"/>
    </row>
    <row r="54" spans="1:99" x14ac:dyDescent="0.25">
      <c r="A54" s="11" t="s">
        <v>184</v>
      </c>
      <c r="B54" s="11" t="s">
        <v>191</v>
      </c>
      <c r="C54" s="11" t="s">
        <v>192</v>
      </c>
      <c r="F54" s="43"/>
      <c r="G54" s="45">
        <v>0.06</v>
      </c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spans="1:99" x14ac:dyDescent="0.25">
      <c r="A55" s="11" t="s">
        <v>184</v>
      </c>
      <c r="B55" s="11" t="s">
        <v>191</v>
      </c>
      <c r="C55" s="11" t="s">
        <v>91</v>
      </c>
      <c r="F55" s="43"/>
      <c r="G55" s="45">
        <f xml:space="preserve"> (1+G54)^(1/12)-1</f>
        <v>4.8675505653430484E-3</v>
      </c>
      <c r="H55" s="39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spans="1:99" x14ac:dyDescent="0.25">
      <c r="A56" s="11" t="s">
        <v>184</v>
      </c>
      <c r="B56" s="11" t="s">
        <v>191</v>
      </c>
      <c r="C56" s="11" t="s">
        <v>92</v>
      </c>
      <c r="F56" s="43"/>
      <c r="G56" s="45">
        <v>5.0000000000000001E-4</v>
      </c>
      <c r="H56" s="39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spans="1:99" x14ac:dyDescent="0.25">
      <c r="A57" s="11" t="s">
        <v>184</v>
      </c>
      <c r="B57" s="11" t="s">
        <v>193</v>
      </c>
      <c r="C57" s="11" t="s">
        <v>93</v>
      </c>
      <c r="F57" s="43"/>
      <c r="G57" s="45">
        <f>NPV(G55,Q52:CU52)+SUM(H52:P52)</f>
        <v>-2388806.5088404519</v>
      </c>
      <c r="H57" s="4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</row>
    <row r="58" spans="1:99" x14ac:dyDescent="0.25">
      <c r="A58" s="11" t="s">
        <v>184</v>
      </c>
      <c r="B58" s="11" t="s">
        <v>193</v>
      </c>
      <c r="C58" s="11" t="s">
        <v>94</v>
      </c>
      <c r="F58" s="43"/>
      <c r="G58" s="45">
        <f>CU58</f>
        <v>-2.7502383389551577E-3</v>
      </c>
      <c r="H58" s="40"/>
      <c r="I58" s="25">
        <f>MIRR(H52:I52,G56,G55)</f>
        <v>-1</v>
      </c>
      <c r="J58" s="25">
        <f>MIRR($H$52:J52,$G$56,$G$55)</f>
        <v>-1</v>
      </c>
      <c r="K58" s="25">
        <f>MIRR($H$52:K52,$G$56,$G$55)</f>
        <v>-1</v>
      </c>
      <c r="L58" s="25">
        <f>MIRR($H$52:L52,$G$56,$G$55)</f>
        <v>-1</v>
      </c>
      <c r="M58" s="25">
        <f>MIRR($H$52:M52,$G$56,$G$55)</f>
        <v>-1</v>
      </c>
      <c r="N58" s="25">
        <f>MIRR($H$52:N52,$G$56,$G$55)</f>
        <v>-1</v>
      </c>
      <c r="O58" s="25">
        <f>MIRR($H$52:O52,$G$56,$G$55)</f>
        <v>-1</v>
      </c>
      <c r="P58" s="25">
        <f>MIRR($H$52:P52,$G$56,$G$55)</f>
        <v>-1</v>
      </c>
      <c r="Q58" s="25">
        <f>MIRR($H$52:Q52,$G$56,$G$55)</f>
        <v>-1</v>
      </c>
      <c r="R58" s="25">
        <f>MIRR($H$52:R52,$G$56,$G$55)</f>
        <v>-1</v>
      </c>
      <c r="S58" s="25">
        <f>MIRR($H$52:S52,$G$56,$G$55)</f>
        <v>-1</v>
      </c>
      <c r="T58" s="25">
        <f>MIRR($H$52:T52,$G$56,$G$55)</f>
        <v>-1</v>
      </c>
      <c r="U58" s="25">
        <f>MIRR($H$52:U52,$G$56,$G$55)</f>
        <v>-1</v>
      </c>
      <c r="V58" s="25">
        <f>MIRR($H$52:V52,$G$56,$G$55)</f>
        <v>-1</v>
      </c>
      <c r="W58" s="25">
        <f>MIRR($H$52:W52,$G$56,$G$55)</f>
        <v>-1</v>
      </c>
      <c r="X58" s="25">
        <f>MIRR($H$52:X52,$G$56,$G$55)</f>
        <v>-1</v>
      </c>
      <c r="Y58" s="25">
        <f>MIRR($H$52:Y52,$G$56,$G$55)</f>
        <v>-1</v>
      </c>
      <c r="Z58" s="25">
        <f>MIRR($H$52:Z52,$G$56,$G$55)</f>
        <v>-1</v>
      </c>
      <c r="AA58" s="25">
        <f>MIRR($H$52:AA52,$G$56,$G$55)</f>
        <v>-1</v>
      </c>
      <c r="AB58" s="25">
        <f>MIRR($H$52:AB52,$G$56,$G$55)</f>
        <v>-1</v>
      </c>
      <c r="AC58" s="25">
        <f>MIRR($H$52:AC52,$G$56,$G$55)</f>
        <v>-1</v>
      </c>
      <c r="AD58" s="25">
        <f>MIRR($H$52:AD52,$G$56,$G$55)</f>
        <v>-1</v>
      </c>
      <c r="AE58" s="25">
        <f>MIRR($H$52:AE52,$G$56,$G$55)</f>
        <v>-1</v>
      </c>
      <c r="AF58" s="25">
        <f>MIRR($H$52:AF52,$G$56,$G$55)</f>
        <v>-1</v>
      </c>
      <c r="AG58" s="25">
        <f>MIRR($H$52:AG52,$G$56,$G$55)</f>
        <v>-1</v>
      </c>
      <c r="AH58" s="25">
        <f>MIRR($H$52:AH52,$G$56,$G$55)</f>
        <v>-1</v>
      </c>
      <c r="AI58" s="25">
        <f>MIRR($H$52:AI52,$G$56,$G$55)</f>
        <v>-1</v>
      </c>
      <c r="AJ58" s="25">
        <f>MIRR($H$52:AJ52,$G$56,$G$55)</f>
        <v>-1</v>
      </c>
      <c r="AK58" s="25">
        <f>MIRR($H$52:AK52,$G$56,$G$55)</f>
        <v>-1</v>
      </c>
      <c r="AL58" s="25">
        <f>MIRR($H$52:AL52,$G$56,$G$55)</f>
        <v>-1</v>
      </c>
      <c r="AM58" s="25">
        <f>MIRR($H$52:AM52,$G$56,$G$55)</f>
        <v>-1</v>
      </c>
      <c r="AN58" s="25">
        <f>MIRR($H$52:AN52,$G$56,$G$55)</f>
        <v>-5.1151554298850765E-2</v>
      </c>
      <c r="AO58" s="25">
        <f>MIRR($H$52:AO52,$G$56,$G$55)</f>
        <v>-4.9514059511443942E-2</v>
      </c>
      <c r="AP58" s="25">
        <f>MIRR($H$52:AP52,$G$56,$G$55)</f>
        <v>-4.7969416972189927E-2</v>
      </c>
      <c r="AQ58" s="25">
        <f>MIRR($H$52:AQ52,$G$56,$G$55)</f>
        <v>-4.6509874634426907E-2</v>
      </c>
      <c r="AR58" s="25">
        <f>MIRR($H$52:AR52,$G$56,$G$55)</f>
        <v>-4.5128519691265967E-2</v>
      </c>
      <c r="AS58" s="25">
        <f>MIRR($H$52:AS52,$G$56,$G$55)</f>
        <v>-4.3819168011269949E-2</v>
      </c>
      <c r="AT58" s="25">
        <f>MIRR($H$52:AT52,$G$56,$G$55)</f>
        <v>-4.2576270601014876E-2</v>
      </c>
      <c r="AU58" s="25">
        <f>MIRR($H$52:AU52,$G$56,$G$55)</f>
        <v>-4.139483411254985E-2</v>
      </c>
      <c r="AV58" s="25">
        <f>MIRR($H$52:AV52,$G$56,$G$55)</f>
        <v>-4.0270352995940173E-2</v>
      </c>
      <c r="AW58" s="25">
        <f>MIRR($H$52:AW52,$G$56,$G$55)</f>
        <v>-3.9198751354447503E-2</v>
      </c>
      <c r="AX58" s="25">
        <f>MIRR($H$52:AX52,$G$56,$G$55)</f>
        <v>-3.8176332921512568E-2</v>
      </c>
      <c r="AY58" s="25">
        <f>MIRR($H$52:AY52,$G$56,$G$55)</f>
        <v>-3.7199737866318805E-2</v>
      </c>
      <c r="AZ58" s="25">
        <f>MIRR($H$52:AZ52,$G$56,$G$55)</f>
        <v>-3.6265905364773476E-2</v>
      </c>
      <c r="BA58" s="25">
        <f>MIRR($H$52:BA52,$G$56,$G$55)</f>
        <v>-3.5372041057775805E-2</v>
      </c>
      <c r="BB58" s="25">
        <f>MIRR($H$52:BB52,$G$56,$G$55)</f>
        <v>-3.4515588668215913E-2</v>
      </c>
      <c r="BC58" s="25">
        <f>MIRR($H$52:BC52,$G$56,$G$55)</f>
        <v>-3.3694205169665925E-2</v>
      </c>
      <c r="BD58" s="25">
        <f>MIRR($H$52:BD52,$G$56,$G$55)</f>
        <v>-3.2904135315613758E-2</v>
      </c>
      <c r="BE58" s="25">
        <f>MIRR($H$52:BE52,$G$56,$G$55)</f>
        <v>-3.2142464903916257E-2</v>
      </c>
      <c r="BF58" s="25">
        <f>MIRR($H$52:BF52,$G$56,$G$55)</f>
        <v>-3.1407542099909369E-2</v>
      </c>
      <c r="BG58" s="25">
        <f>MIRR($H$52:BG52,$G$56,$G$55)</f>
        <v>-3.0697843896297483E-2</v>
      </c>
      <c r="BH58" s="25">
        <f>MIRR($H$52:BH52,$G$56,$G$55)</f>
        <v>-3.0011963887899062E-2</v>
      </c>
      <c r="BI58" s="25">
        <f>MIRR($H$52:BI52,$G$56,$G$55)</f>
        <v>-2.9348601406588792E-2</v>
      </c>
      <c r="BJ58" s="25">
        <f>MIRR($H$52:BJ52,$G$56,$G$55)</f>
        <v>-2.8706551843020511E-2</v>
      </c>
      <c r="BK58" s="25">
        <f>MIRR($H$52:BK52,$G$56,$G$55)</f>
        <v>-2.8084698006550557E-2</v>
      </c>
      <c r="BL58" s="25">
        <f>MIRR($H$52:BL52,$G$56,$G$55)</f>
        <v>-2.7482002395682326E-2</v>
      </c>
      <c r="BM58" s="25">
        <f>MIRR($H$52:BM52,$G$56,$G$55)</f>
        <v>-2.6897500269008612E-2</v>
      </c>
      <c r="BN58" s="25">
        <f>MIRR($H$52:BN52,$G$56,$G$55)</f>
        <v>-2.6330293421575335E-2</v>
      </c>
      <c r="BO58" s="25">
        <f>MIRR($H$52:BO52,$G$56,$G$55)</f>
        <v>-2.5779544584302871E-2</v>
      </c>
      <c r="BP58" s="25">
        <f>MIRR($H$52:BP52,$G$56,$G$55)</f>
        <v>-2.5244472374918892E-2</v>
      </c>
      <c r="BQ58" s="25">
        <f>MIRR($H$52:BQ52,$G$56,$G$55)</f>
        <v>-2.4724346738112968E-2</v>
      </c>
      <c r="BR58" s="25">
        <f>MIRR($H$52:BR52,$G$56,$G$55)</f>
        <v>-2.4218484820545449E-2</v>
      </c>
      <c r="BS58" s="25">
        <f>MIRR($H$52:BS52,$G$56,$G$55)</f>
        <v>-2.3726247233154529E-2</v>
      </c>
      <c r="BT58" s="25">
        <f>MIRR($H$52:BT52,$G$56,$G$55)</f>
        <v>-2.3247034659064747E-2</v>
      </c>
      <c r="BU58" s="25">
        <f>MIRR($H$52:BU52,$G$56,$G$55)</f>
        <v>-2.2780284770466563E-2</v>
      </c>
      <c r="BV58" s="25">
        <f>MIRR($H$52:BV52,$G$56,$G$55)</f>
        <v>-2.2325469422213584E-2</v>
      </c>
      <c r="BW58" s="25">
        <f>MIRR($H$52:BW52,$G$56,$G$55)</f>
        <v>-2.1882092093684413E-2</v>
      </c>
      <c r="BX58" s="25">
        <f>MIRR($H$52:BX52,$G$56,$G$55)</f>
        <v>-2.1449685553757591E-2</v>
      </c>
      <c r="BY58" s="25">
        <f>MIRR($H$52:BY52,$G$56,$G$55)</f>
        <v>-2.1027809726626434E-2</v>
      </c>
      <c r="BZ58" s="25">
        <f>MIRR($H$52:BZ52,$G$56,$G$55)</f>
        <v>-2.0616049738688025E-2</v>
      </c>
      <c r="CA58" s="25">
        <f>MIRR($H$52:CA52,$G$56,$G$55)</f>
        <v>-2.0214014128941971E-2</v>
      </c>
      <c r="CB58" s="25">
        <f>MIRR($H$52:CB52,$G$56,$G$55)</f>
        <v>-1.9821333207254321E-2</v>
      </c>
      <c r="CC58" s="25">
        <f>MIRR($H$52:CC52,$G$56,$G$55)</f>
        <v>-1.9437657546536702E-2</v>
      </c>
      <c r="CD58" s="25">
        <f>MIRR($H$52:CD52,$G$56,$G$55)</f>
        <v>-1.9062656596374183E-2</v>
      </c>
      <c r="CE58" s="25">
        <f>MIRR($H$52:CE52,$G$56,$G$55)</f>
        <v>-1.8696017406948484E-2</v>
      </c>
      <c r="CF58" s="25">
        <f>MIRR($H$52:CF52,$G$56,$G$55)</f>
        <v>-1.8337443453259272E-2</v>
      </c>
      <c r="CG58" s="25">
        <f>MIRR($H$52:CG52,$G$56,$G$55)</f>
        <v>-1.7986653550667531E-2</v>
      </c>
      <c r="CH58" s="25">
        <f>MIRR($H$52:CH52,$G$56,$G$55)</f>
        <v>-1.7643380853696322E-2</v>
      </c>
      <c r="CI58" s="25">
        <f>MIRR($H$52:CI52,$G$56,$G$55)</f>
        <v>-1.7307371930822435E-2</v>
      </c>
      <c r="CJ58" s="25">
        <f>MIRR($H$52:CJ52,$G$56,$G$55)</f>
        <v>-1.6978385908713034E-2</v>
      </c>
      <c r="CK58" s="25">
        <f>MIRR($H$52:CK52,$G$56,$G$55)</f>
        <v>-1.6656193679993714E-2</v>
      </c>
      <c r="CL58" s="25">
        <f>MIRR($H$52:CL52,$G$56,$G$55)</f>
        <v>-1.6340577169202786E-2</v>
      </c>
      <c r="CM58" s="25">
        <f>MIRR($H$52:CM52,$G$56,$G$55)</f>
        <v>-1.6031328652095111E-2</v>
      </c>
      <c r="CN58" s="25">
        <f>MIRR($H$52:CN52,$G$56,$G$55)</f>
        <v>-1.5728250123908549E-2</v>
      </c>
      <c r="CO58" s="25">
        <f>MIRR($H$52:CO52,$G$56,$G$55)</f>
        <v>-1.5431152712613194E-2</v>
      </c>
      <c r="CP58" s="25">
        <f>MIRR($H$52:CP52,$G$56,$G$55)</f>
        <v>-1.5139856133527418E-2</v>
      </c>
      <c r="CQ58" s="25">
        <f>MIRR($H$52:CQ52,$G$56,$G$55)</f>
        <v>-1.4854188182011341E-2</v>
      </c>
      <c r="CR58" s="25">
        <f>MIRR($H$52:CR52,$G$56,$G$55)</f>
        <v>-1.4573984261239681E-2</v>
      </c>
      <c r="CS58" s="25">
        <f>MIRR($H$52:CS52,$G$56,$G$55)</f>
        <v>-1.4299086942324291E-2</v>
      </c>
      <c r="CT58" s="25">
        <f>MIRR($H$52:CT52,$G$56,$G$55)</f>
        <v>-1.402934555429014E-2</v>
      </c>
      <c r="CU58" s="25">
        <f>MIRR($H$52:CU52,$G$56,$G$55)</f>
        <v>-2.7502383389551577E-3</v>
      </c>
    </row>
    <row r="59" spans="1:99" x14ac:dyDescent="0.25">
      <c r="F59" s="44"/>
      <c r="G59" s="45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22 AM19 AM22 AP22">
    <cfRule type="cellIs" dxfId="25" priority="12" stopIfTrue="1" operator="equal">
      <formula>#REF!</formula>
    </cfRule>
  </conditionalFormatting>
  <conditionalFormatting sqref="Y22:AF22 AH22:AI22 AK22:AL22 AN22:AO22 H33:V39 W33:CU36 W38:BC38 W39:CU39 N24:R24 H23:M24 N23:CU23 H16:W17 Y16:CU16 X17:CU17 H6:W11 X9:Y11 Y7:AM7 X8:AM8 X6:AM6 Z9:AM9 Z10:CU11 AN6:CU9 Y19:AF19 H40:CU45 H2:CU5 H18:H22 AQ22:CU22 H25:CU32 H13:CU15 K22:R22 K18:K21 Z18:AM18 Z21:AM21 X20:AG20 AM20 AS18:CU21">
    <cfRule type="cellIs" dxfId="24" priority="14" stopIfTrue="1" operator="equal">
      <formula>#REF!</formula>
    </cfRule>
  </conditionalFormatting>
  <conditionalFormatting sqref="X7 X16 X19 S22:X22 W37:CU37 S24:CU24">
    <cfRule type="cellIs" dxfId="23" priority="13" stopIfTrue="1" operator="equal">
      <formula>#REF!</formula>
    </cfRule>
  </conditionalFormatting>
  <conditionalFormatting sqref="H12:CU12">
    <cfRule type="cellIs" dxfId="22" priority="11" stopIfTrue="1" operator="equal">
      <formula>#REF!</formula>
    </cfRule>
  </conditionalFormatting>
  <conditionalFormatting sqref="H46:CU46">
    <cfRule type="cellIs" dxfId="21" priority="10" stopIfTrue="1" operator="equal">
      <formula>#REF!</formula>
    </cfRule>
  </conditionalFormatting>
  <conditionalFormatting sqref="I18:J22">
    <cfRule type="cellIs" dxfId="20" priority="9" stopIfTrue="1" operator="equal">
      <formula>#REF!</formula>
    </cfRule>
  </conditionalFormatting>
  <conditionalFormatting sqref="L18:P21">
    <cfRule type="cellIs" dxfId="19" priority="8" stopIfTrue="1" operator="equal">
      <formula>#REF!</formula>
    </cfRule>
  </conditionalFormatting>
  <conditionalFormatting sqref="Q18:U21">
    <cfRule type="cellIs" dxfId="18" priority="7" stopIfTrue="1" operator="equal">
      <formula>#REF!</formula>
    </cfRule>
  </conditionalFormatting>
  <conditionalFormatting sqref="V18:W21">
    <cfRule type="cellIs" dxfId="17" priority="6" stopIfTrue="1" operator="equal">
      <formula>#REF!</formula>
    </cfRule>
  </conditionalFormatting>
  <conditionalFormatting sqref="X18:Y18">
    <cfRule type="cellIs" dxfId="16" priority="5" stopIfTrue="1" operator="equal">
      <formula>#REF!</formula>
    </cfRule>
  </conditionalFormatting>
  <conditionalFormatting sqref="X21:Y21">
    <cfRule type="cellIs" dxfId="15" priority="4" stopIfTrue="1" operator="equal">
      <formula>#REF!</formula>
    </cfRule>
  </conditionalFormatting>
  <conditionalFormatting sqref="AH19:AL20">
    <cfRule type="cellIs" dxfId="14" priority="3" stopIfTrue="1" operator="equal">
      <formula>#REF!</formula>
    </cfRule>
  </conditionalFormatting>
  <conditionalFormatting sqref="AN18:AR21">
    <cfRule type="cellIs" dxfId="13" priority="2" stopIfTrue="1" operator="equal">
      <formula>#REF!</formula>
    </cfRule>
  </conditionalFormatting>
  <conditionalFormatting sqref="H47:CU47">
    <cfRule type="cellIs" dxfId="12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0CB5-A561-4303-A3EF-5E34B1F7802D}">
  <sheetPr codeName="Hoja5"/>
  <dimension ref="A1:CU59"/>
  <sheetViews>
    <sheetView zoomScale="85" zoomScaleNormal="85" workbookViewId="0">
      <pane xSplit="7" ySplit="1" topLeftCell="CO2" activePane="bottomRight" state="frozen"/>
      <selection pane="topRight" activeCell="J1" sqref="J1"/>
      <selection pane="bottomLeft" activeCell="A9" sqref="A9"/>
      <selection pane="bottomRight" activeCell="G20" sqref="G20"/>
    </sheetView>
  </sheetViews>
  <sheetFormatPr baseColWidth="10" defaultColWidth="10.7109375" defaultRowHeight="15" x14ac:dyDescent="0.25"/>
  <cols>
    <col min="1" max="1" width="12.5703125" style="11" bestFit="1" customWidth="1"/>
    <col min="2" max="2" width="24.140625" style="11" bestFit="1" customWidth="1"/>
    <col min="3" max="3" width="57.85546875" style="11" bestFit="1" customWidth="1"/>
    <col min="4" max="4" width="10.7109375" style="37"/>
    <col min="5" max="5" width="14" style="11" customWidth="1"/>
    <col min="6" max="6" width="18" style="11" customWidth="1"/>
    <col min="7" max="7" width="18.28515625" style="34" bestFit="1" customWidth="1"/>
    <col min="8" max="10" width="10.7109375" style="34"/>
    <col min="11" max="11" width="11.42578125" style="34" bestFit="1" customWidth="1"/>
    <col min="12" max="15" width="10.7109375" style="34"/>
    <col min="16" max="16" width="11.42578125" style="34" bestFit="1" customWidth="1"/>
    <col min="17" max="17" width="10.7109375" style="34"/>
    <col min="18" max="18" width="11.42578125" style="34" bestFit="1" customWidth="1"/>
    <col min="19" max="19" width="10.7109375" style="34"/>
    <col min="20" max="20" width="11.42578125" style="34" bestFit="1" customWidth="1"/>
    <col min="21" max="23" width="10.7109375" style="34"/>
    <col min="24" max="27" width="11.28515625" style="34" bestFit="1" customWidth="1"/>
    <col min="28" max="39" width="11.42578125" style="34" bestFit="1" customWidth="1"/>
    <col min="40" max="40" width="12.28515625" style="34" bestFit="1" customWidth="1"/>
    <col min="41" max="55" width="10.7109375" style="34"/>
    <col min="56" max="98" width="10.7109375" style="11"/>
    <col min="99" max="99" width="12.28515625" style="11" bestFit="1" customWidth="1"/>
    <col min="100" max="100" width="12.85546875" style="11" bestFit="1" customWidth="1"/>
    <col min="101" max="16384" width="10.7109375" style="11"/>
  </cols>
  <sheetData>
    <row r="1" spans="1:99" x14ac:dyDescent="0.25">
      <c r="A1" s="10" t="s">
        <v>159</v>
      </c>
      <c r="B1" s="10" t="s">
        <v>160</v>
      </c>
      <c r="C1" s="10" t="s">
        <v>161</v>
      </c>
      <c r="D1" s="12" t="s">
        <v>187</v>
      </c>
      <c r="E1" s="13" t="s">
        <v>194</v>
      </c>
      <c r="F1" s="13" t="s">
        <v>195</v>
      </c>
      <c r="G1" s="14" t="s">
        <v>41</v>
      </c>
      <c r="H1" s="14" t="s">
        <v>42</v>
      </c>
      <c r="I1" s="14" t="s">
        <v>43</v>
      </c>
      <c r="J1" s="14" t="s">
        <v>44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49</v>
      </c>
      <c r="P1" s="14" t="s">
        <v>50</v>
      </c>
      <c r="Q1" s="14" t="s">
        <v>51</v>
      </c>
      <c r="R1" s="14" t="s">
        <v>52</v>
      </c>
      <c r="S1" s="14" t="s">
        <v>53</v>
      </c>
      <c r="T1" s="14" t="s">
        <v>54</v>
      </c>
      <c r="U1" s="14" t="s">
        <v>55</v>
      </c>
      <c r="V1" s="14" t="s">
        <v>56</v>
      </c>
      <c r="W1" s="14" t="s">
        <v>57</v>
      </c>
      <c r="X1" s="14" t="s">
        <v>58</v>
      </c>
      <c r="Y1" s="14" t="s">
        <v>59</v>
      </c>
      <c r="Z1" s="14" t="s">
        <v>60</v>
      </c>
      <c r="AA1" s="14" t="s">
        <v>61</v>
      </c>
      <c r="AB1" s="14" t="s">
        <v>62</v>
      </c>
      <c r="AC1" s="14" t="s">
        <v>63</v>
      </c>
      <c r="AD1" s="14" t="s">
        <v>64</v>
      </c>
      <c r="AE1" s="14" t="s">
        <v>65</v>
      </c>
      <c r="AF1" s="14" t="s">
        <v>66</v>
      </c>
      <c r="AG1" s="14" t="s">
        <v>67</v>
      </c>
      <c r="AH1" s="14" t="s">
        <v>68</v>
      </c>
      <c r="AI1" s="14" t="s">
        <v>69</v>
      </c>
      <c r="AJ1" s="14" t="s">
        <v>70</v>
      </c>
      <c r="AK1" s="14" t="s">
        <v>71</v>
      </c>
      <c r="AL1" s="14" t="s">
        <v>72</v>
      </c>
      <c r="AM1" s="14" t="s">
        <v>73</v>
      </c>
      <c r="AN1" s="14" t="s">
        <v>74</v>
      </c>
      <c r="AO1" s="14" t="s">
        <v>75</v>
      </c>
      <c r="AP1" s="14" t="s">
        <v>76</v>
      </c>
      <c r="AQ1" s="14" t="s">
        <v>77</v>
      </c>
      <c r="AR1" s="14" t="s">
        <v>78</v>
      </c>
      <c r="AS1" s="14" t="s">
        <v>79</v>
      </c>
      <c r="AT1" s="14" t="s">
        <v>80</v>
      </c>
      <c r="AU1" s="14" t="s">
        <v>81</v>
      </c>
      <c r="AV1" s="14" t="s">
        <v>82</v>
      </c>
      <c r="AW1" s="14" t="s">
        <v>83</v>
      </c>
      <c r="AX1" s="14" t="s">
        <v>84</v>
      </c>
      <c r="AY1" s="14" t="s">
        <v>85</v>
      </c>
      <c r="AZ1" s="14" t="s">
        <v>86</v>
      </c>
      <c r="BA1" s="14" t="s">
        <v>87</v>
      </c>
      <c r="BB1" s="14" t="s">
        <v>88</v>
      </c>
      <c r="BC1" s="14" t="s">
        <v>89</v>
      </c>
      <c r="BD1" s="14" t="s">
        <v>97</v>
      </c>
      <c r="BE1" s="14" t="s">
        <v>98</v>
      </c>
      <c r="BF1" s="14" t="s">
        <v>99</v>
      </c>
      <c r="BG1" s="14" t="s">
        <v>100</v>
      </c>
      <c r="BH1" s="14" t="s">
        <v>101</v>
      </c>
      <c r="BI1" s="14" t="s">
        <v>102</v>
      </c>
      <c r="BJ1" s="14" t="s">
        <v>103</v>
      </c>
      <c r="BK1" s="14" t="s">
        <v>104</v>
      </c>
      <c r="BL1" s="14" t="s">
        <v>105</v>
      </c>
      <c r="BM1" s="14" t="s">
        <v>106</v>
      </c>
      <c r="BN1" s="14" t="s">
        <v>107</v>
      </c>
      <c r="BO1" s="14" t="s">
        <v>108</v>
      </c>
      <c r="BP1" s="14" t="s">
        <v>109</v>
      </c>
      <c r="BQ1" s="14" t="s">
        <v>110</v>
      </c>
      <c r="BR1" s="14" t="s">
        <v>111</v>
      </c>
      <c r="BS1" s="14" t="s">
        <v>112</v>
      </c>
      <c r="BT1" s="14" t="s">
        <v>113</v>
      </c>
      <c r="BU1" s="14" t="s">
        <v>114</v>
      </c>
      <c r="BV1" s="14" t="s">
        <v>115</v>
      </c>
      <c r="BW1" s="14" t="s">
        <v>116</v>
      </c>
      <c r="BX1" s="14" t="s">
        <v>117</v>
      </c>
      <c r="BY1" s="14" t="s">
        <v>118</v>
      </c>
      <c r="BZ1" s="14" t="s">
        <v>119</v>
      </c>
      <c r="CA1" s="14" t="s">
        <v>120</v>
      </c>
      <c r="CB1" s="14" t="s">
        <v>121</v>
      </c>
      <c r="CC1" s="14" t="s">
        <v>122</v>
      </c>
      <c r="CD1" s="14" t="s">
        <v>123</v>
      </c>
      <c r="CE1" s="14" t="s">
        <v>124</v>
      </c>
      <c r="CF1" s="14" t="s">
        <v>125</v>
      </c>
      <c r="CG1" s="14" t="s">
        <v>126</v>
      </c>
      <c r="CH1" s="14" t="s">
        <v>127</v>
      </c>
      <c r="CI1" s="14" t="s">
        <v>128</v>
      </c>
      <c r="CJ1" s="14" t="s">
        <v>129</v>
      </c>
      <c r="CK1" s="14" t="s">
        <v>130</v>
      </c>
      <c r="CL1" s="14" t="s">
        <v>131</v>
      </c>
      <c r="CM1" s="14" t="s">
        <v>132</v>
      </c>
      <c r="CN1" s="14" t="s">
        <v>133</v>
      </c>
      <c r="CO1" s="14" t="s">
        <v>134</v>
      </c>
      <c r="CP1" s="14" t="s">
        <v>135</v>
      </c>
      <c r="CQ1" s="14" t="s">
        <v>136</v>
      </c>
      <c r="CR1" s="14" t="s">
        <v>137</v>
      </c>
      <c r="CS1" s="14" t="s">
        <v>138</v>
      </c>
      <c r="CT1" s="14" t="s">
        <v>139</v>
      </c>
      <c r="CU1" s="14" t="s">
        <v>140</v>
      </c>
    </row>
    <row r="2" spans="1:99" x14ac:dyDescent="0.25">
      <c r="A2" s="11" t="s">
        <v>4</v>
      </c>
      <c r="B2" s="11" t="s">
        <v>162</v>
      </c>
      <c r="C2" s="11" t="s">
        <v>31</v>
      </c>
      <c r="D2" s="35">
        <v>1</v>
      </c>
      <c r="E2" s="15">
        <v>5800</v>
      </c>
      <c r="F2" s="16">
        <f>D2*E2</f>
        <v>5800</v>
      </c>
      <c r="G2" s="17">
        <v>-5800</v>
      </c>
      <c r="H2" s="18">
        <v>0</v>
      </c>
      <c r="I2" s="18">
        <f>G2</f>
        <v>-5800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0</v>
      </c>
      <c r="BF2" s="18">
        <v>0</v>
      </c>
      <c r="BG2" s="18">
        <v>0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0</v>
      </c>
      <c r="BU2" s="18">
        <v>0</v>
      </c>
      <c r="BV2" s="18">
        <v>0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8">
        <v>0</v>
      </c>
      <c r="CC2" s="18">
        <v>0</v>
      </c>
      <c r="CD2" s="18">
        <v>0</v>
      </c>
      <c r="CE2" s="18">
        <v>0</v>
      </c>
      <c r="CF2" s="18">
        <v>0</v>
      </c>
      <c r="CG2" s="18">
        <v>0</v>
      </c>
      <c r="CH2" s="18">
        <v>0</v>
      </c>
      <c r="CI2" s="18">
        <v>0</v>
      </c>
      <c r="CJ2" s="18">
        <v>0</v>
      </c>
      <c r="CK2" s="18">
        <v>0</v>
      </c>
      <c r="CL2" s="18">
        <v>0</v>
      </c>
      <c r="CM2" s="18">
        <v>0</v>
      </c>
      <c r="CN2" s="18">
        <v>0</v>
      </c>
      <c r="CO2" s="18">
        <v>0</v>
      </c>
      <c r="CP2" s="18">
        <v>0</v>
      </c>
      <c r="CQ2" s="18">
        <v>0</v>
      </c>
      <c r="CR2" s="18">
        <v>0</v>
      </c>
      <c r="CS2" s="18">
        <v>0</v>
      </c>
      <c r="CT2" s="18">
        <v>0</v>
      </c>
      <c r="CU2" s="18">
        <v>0</v>
      </c>
    </row>
    <row r="3" spans="1:99" x14ac:dyDescent="0.25">
      <c r="A3" s="11" t="s">
        <v>4</v>
      </c>
      <c r="B3" s="11" t="s">
        <v>162</v>
      </c>
      <c r="C3" s="11" t="s">
        <v>18</v>
      </c>
      <c r="D3" s="36">
        <v>1</v>
      </c>
      <c r="E3" s="16">
        <v>1200</v>
      </c>
      <c r="F3" s="16">
        <f>D3*E3</f>
        <v>1200</v>
      </c>
      <c r="G3" s="19">
        <v>-1200</v>
      </c>
      <c r="H3" s="20">
        <v>0</v>
      </c>
      <c r="I3" s="20">
        <v>0</v>
      </c>
      <c r="J3" s="20">
        <v>0</v>
      </c>
      <c r="K3" s="20">
        <f>G3</f>
        <v>-1200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20">
        <v>0</v>
      </c>
      <c r="AX3" s="20">
        <v>0</v>
      </c>
      <c r="AY3" s="20">
        <v>0</v>
      </c>
      <c r="AZ3" s="20">
        <v>0</v>
      </c>
      <c r="BA3" s="20">
        <v>0</v>
      </c>
      <c r="BB3" s="20">
        <v>0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0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0</v>
      </c>
      <c r="CL3" s="20">
        <v>0</v>
      </c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</row>
    <row r="4" spans="1:99" x14ac:dyDescent="0.25">
      <c r="A4" s="11" t="s">
        <v>4</v>
      </c>
      <c r="B4" s="11" t="s">
        <v>162</v>
      </c>
      <c r="C4" s="11" t="s">
        <v>19</v>
      </c>
      <c r="D4" s="36">
        <v>1</v>
      </c>
      <c r="E4" s="16">
        <v>4500</v>
      </c>
      <c r="F4" s="16">
        <f>E4*D4</f>
        <v>4500</v>
      </c>
      <c r="G4" s="19">
        <v>-4500</v>
      </c>
      <c r="H4" s="20">
        <v>0</v>
      </c>
      <c r="I4" s="20">
        <v>0</v>
      </c>
      <c r="J4" s="20">
        <v>0</v>
      </c>
      <c r="K4" s="20">
        <f>G4</f>
        <v>-4500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</row>
    <row r="5" spans="1:99" x14ac:dyDescent="0.25">
      <c r="A5" s="11" t="s">
        <v>4</v>
      </c>
      <c r="B5" s="11" t="s">
        <v>162</v>
      </c>
      <c r="C5" s="11" t="s">
        <v>9</v>
      </c>
      <c r="D5" s="36">
        <v>0.21</v>
      </c>
      <c r="E5" s="16">
        <f>F3+F4+F2</f>
        <v>11500</v>
      </c>
      <c r="F5" s="16">
        <f>D5*E5</f>
        <v>2415</v>
      </c>
      <c r="G5" s="19">
        <f>(G2+G3+G4)*0.21</f>
        <v>-2415</v>
      </c>
      <c r="H5" s="20">
        <f>(H2+H3+H4)*0.21</f>
        <v>0</v>
      </c>
      <c r="I5" s="20">
        <f>(I2+I3+I4)*0.21</f>
        <v>-1218</v>
      </c>
      <c r="J5" s="20">
        <v>0</v>
      </c>
      <c r="K5" s="20">
        <f>(K2+K3+K4)*0.21</f>
        <v>-1197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</row>
    <row r="6" spans="1:99" x14ac:dyDescent="0.25">
      <c r="A6" s="11" t="s">
        <v>4</v>
      </c>
      <c r="B6" s="11" t="s">
        <v>163</v>
      </c>
      <c r="C6" s="11" t="s">
        <v>15</v>
      </c>
      <c r="D6" s="37">
        <v>5.6099999999999997E-2</v>
      </c>
      <c r="E6" s="11">
        <f>F16</f>
        <v>158230.80000000002</v>
      </c>
      <c r="F6" s="11">
        <f>E6*D6</f>
        <v>8876.7478800000008</v>
      </c>
      <c r="G6" s="17">
        <f>-F6</f>
        <v>-8876.7478800000008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f>G6</f>
        <v>-8876.7478800000008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</row>
    <row r="7" spans="1:99" x14ac:dyDescent="0.25">
      <c r="A7" s="11" t="s">
        <v>4</v>
      </c>
      <c r="B7" s="11" t="s">
        <v>163</v>
      </c>
      <c r="C7" s="11" t="s">
        <v>16</v>
      </c>
      <c r="D7" s="37">
        <v>4.7699999999999999E-2</v>
      </c>
      <c r="E7" s="11">
        <f>F16</f>
        <v>158230.80000000002</v>
      </c>
      <c r="F7" s="11">
        <f>E7*D7</f>
        <v>7547.6091600000009</v>
      </c>
      <c r="G7" s="19">
        <f>-F7</f>
        <v>-7547.6091600000009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f>G7*0.3</f>
        <v>-2264.2827480000001</v>
      </c>
      <c r="Y7" s="20">
        <f>0.7*G7</f>
        <v>-5283.3264120000003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  <c r="CT7" s="20">
        <v>0</v>
      </c>
      <c r="CU7" s="20">
        <v>0</v>
      </c>
    </row>
    <row r="8" spans="1:99" x14ac:dyDescent="0.25">
      <c r="A8" s="11" t="s">
        <v>4</v>
      </c>
      <c r="B8" s="11" t="s">
        <v>163</v>
      </c>
      <c r="C8" s="11" t="s">
        <v>164</v>
      </c>
      <c r="D8" s="37">
        <v>7.0000000000000001E-3</v>
      </c>
      <c r="E8" s="11">
        <f>F16</f>
        <v>158230.80000000002</v>
      </c>
      <c r="F8" s="11">
        <f>D8*E8</f>
        <v>1107.6156000000001</v>
      </c>
      <c r="G8" s="19">
        <f>-F8</f>
        <v>-1107.6156000000001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f>G8*0.5</f>
        <v>-553.80780000000004</v>
      </c>
      <c r="Y8" s="20">
        <f>G8*0.5</f>
        <v>-553.80780000000004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</row>
    <row r="9" spans="1:99" x14ac:dyDescent="0.25">
      <c r="A9" s="11" t="s">
        <v>4</v>
      </c>
      <c r="B9" s="11" t="s">
        <v>163</v>
      </c>
      <c r="C9" s="11" t="s">
        <v>13</v>
      </c>
      <c r="D9" s="37">
        <v>5.6099999999999997E-2</v>
      </c>
      <c r="E9" s="11">
        <f>F18+F19</f>
        <v>3021642.2315164795</v>
      </c>
      <c r="F9" s="11">
        <f>D9*E9</f>
        <v>169514.1291880745</v>
      </c>
      <c r="G9" s="19">
        <f>-F9</f>
        <v>-169514.1291880745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f>G9*0.4</f>
        <v>-67805.651675229805</v>
      </c>
      <c r="N9" s="20">
        <v>0</v>
      </c>
      <c r="O9" s="20">
        <v>0</v>
      </c>
      <c r="P9" s="20">
        <f>G9*0.6</f>
        <v>-101708.47751284469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</row>
    <row r="10" spans="1:99" x14ac:dyDescent="0.25">
      <c r="A10" s="11" t="s">
        <v>4</v>
      </c>
      <c r="B10" s="11" t="s">
        <v>163</v>
      </c>
      <c r="C10" s="11" t="s">
        <v>14</v>
      </c>
      <c r="D10" s="37">
        <v>4.7699999999999999E-2</v>
      </c>
      <c r="E10" s="11">
        <f>F18+F19</f>
        <v>3021642.2315164795</v>
      </c>
      <c r="F10" s="11">
        <f>D10*E10</f>
        <v>144132.33444333606</v>
      </c>
      <c r="G10" s="19">
        <f>-F10</f>
        <v>-144132.33444333606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f>$G10/14</f>
        <v>-10295.166745952576</v>
      </c>
      <c r="AA10" s="20">
        <f t="shared" ref="AA10:AM10" si="0">$G10/14</f>
        <v>-10295.166745952576</v>
      </c>
      <c r="AB10" s="20">
        <f t="shared" si="0"/>
        <v>-10295.166745952576</v>
      </c>
      <c r="AC10" s="20">
        <f t="shared" si="0"/>
        <v>-10295.166745952576</v>
      </c>
      <c r="AD10" s="20">
        <f t="shared" si="0"/>
        <v>-10295.166745952576</v>
      </c>
      <c r="AE10" s="20">
        <f t="shared" si="0"/>
        <v>-10295.166745952576</v>
      </c>
      <c r="AF10" s="20">
        <f t="shared" si="0"/>
        <v>-10295.166745952576</v>
      </c>
      <c r="AG10" s="20">
        <f t="shared" si="0"/>
        <v>-10295.166745952576</v>
      </c>
      <c r="AH10" s="20">
        <f t="shared" si="0"/>
        <v>-10295.166745952576</v>
      </c>
      <c r="AI10" s="20">
        <f t="shared" si="0"/>
        <v>-10295.166745952576</v>
      </c>
      <c r="AJ10" s="20">
        <f t="shared" si="0"/>
        <v>-10295.166745952576</v>
      </c>
      <c r="AK10" s="20">
        <f t="shared" si="0"/>
        <v>-10295.166745952576</v>
      </c>
      <c r="AL10" s="20">
        <f t="shared" si="0"/>
        <v>-10295.166745952576</v>
      </c>
      <c r="AM10" s="20">
        <f t="shared" si="0"/>
        <v>-10295.166745952576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</row>
    <row r="11" spans="1:99" x14ac:dyDescent="0.25">
      <c r="A11" s="11" t="s">
        <v>4</v>
      </c>
      <c r="B11" s="11" t="s">
        <v>163</v>
      </c>
      <c r="C11" s="11" t="s">
        <v>165</v>
      </c>
      <c r="D11" s="37">
        <v>7.0000000000000001E-3</v>
      </c>
      <c r="E11" s="11">
        <f>F18+F19</f>
        <v>3021642.2315164795</v>
      </c>
      <c r="F11" s="11">
        <f>D11*E11</f>
        <v>21151.495620615358</v>
      </c>
      <c r="G11" s="19">
        <f>-F11</f>
        <v>-21151.495620615358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f>$G$11/14</f>
        <v>-1510.8211157582398</v>
      </c>
      <c r="AA11" s="20">
        <f t="shared" ref="AA11:AM11" si="1">$G$11/14</f>
        <v>-1510.8211157582398</v>
      </c>
      <c r="AB11" s="20">
        <f t="shared" si="1"/>
        <v>-1510.8211157582398</v>
      </c>
      <c r="AC11" s="20">
        <f t="shared" si="1"/>
        <v>-1510.8211157582398</v>
      </c>
      <c r="AD11" s="20">
        <f t="shared" si="1"/>
        <v>-1510.8211157582398</v>
      </c>
      <c r="AE11" s="20">
        <f t="shared" si="1"/>
        <v>-1510.8211157582398</v>
      </c>
      <c r="AF11" s="20">
        <f t="shared" si="1"/>
        <v>-1510.8211157582398</v>
      </c>
      <c r="AG11" s="20">
        <f t="shared" si="1"/>
        <v>-1510.8211157582398</v>
      </c>
      <c r="AH11" s="20">
        <f t="shared" si="1"/>
        <v>-1510.8211157582398</v>
      </c>
      <c r="AI11" s="20">
        <f t="shared" si="1"/>
        <v>-1510.8211157582398</v>
      </c>
      <c r="AJ11" s="20">
        <f t="shared" si="1"/>
        <v>-1510.8211157582398</v>
      </c>
      <c r="AK11" s="20">
        <f t="shared" si="1"/>
        <v>-1510.8211157582398</v>
      </c>
      <c r="AL11" s="20">
        <f t="shared" si="1"/>
        <v>-1510.8211157582398</v>
      </c>
      <c r="AM11" s="20">
        <f t="shared" si="1"/>
        <v>-1510.8211157582398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</row>
    <row r="12" spans="1:99" x14ac:dyDescent="0.25">
      <c r="A12" s="11" t="s">
        <v>4</v>
      </c>
      <c r="B12" s="11" t="s">
        <v>163</v>
      </c>
      <c r="C12" s="11" t="s">
        <v>141</v>
      </c>
      <c r="D12" s="37">
        <v>0.02</v>
      </c>
      <c r="E12" s="11">
        <f>F19+F18+F16</f>
        <v>3179873.0315164793</v>
      </c>
      <c r="F12" s="11">
        <f>D12*E12</f>
        <v>63597.460630329588</v>
      </c>
      <c r="G12" s="19">
        <f>-F12</f>
        <v>-63597.460630329588</v>
      </c>
      <c r="H12" s="20">
        <v>0</v>
      </c>
      <c r="I12" s="20">
        <v>0</v>
      </c>
      <c r="J12" s="20">
        <v>0</v>
      </c>
      <c r="K12" s="20">
        <f>G12*0.05</f>
        <v>-3179.8730315164794</v>
      </c>
      <c r="L12" s="20">
        <v>0</v>
      </c>
      <c r="M12" s="20">
        <v>0</v>
      </c>
      <c r="N12" s="20">
        <v>0</v>
      </c>
      <c r="O12" s="20">
        <v>0</v>
      </c>
      <c r="P12" s="20">
        <f>G12*0.15</f>
        <v>-9539.6190945494382</v>
      </c>
      <c r="Q12" s="20">
        <v>0</v>
      </c>
      <c r="R12" s="20">
        <f>G12*0.05</f>
        <v>-3179.8730315164794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f t="shared" ref="X12:AL12" si="2">$G$12*0.04</f>
        <v>-2543.8984252131836</v>
      </c>
      <c r="Y12" s="20">
        <f t="shared" si="2"/>
        <v>-2543.8984252131836</v>
      </c>
      <c r="Z12" s="20">
        <f t="shared" si="2"/>
        <v>-2543.8984252131836</v>
      </c>
      <c r="AA12" s="20">
        <f t="shared" si="2"/>
        <v>-2543.8984252131836</v>
      </c>
      <c r="AB12" s="20">
        <f t="shared" si="2"/>
        <v>-2543.8984252131836</v>
      </c>
      <c r="AC12" s="20">
        <f t="shared" si="2"/>
        <v>-2543.8984252131836</v>
      </c>
      <c r="AD12" s="20">
        <f t="shared" si="2"/>
        <v>-2543.8984252131836</v>
      </c>
      <c r="AE12" s="20">
        <f t="shared" si="2"/>
        <v>-2543.8984252131836</v>
      </c>
      <c r="AF12" s="20">
        <f t="shared" si="2"/>
        <v>-2543.8984252131836</v>
      </c>
      <c r="AG12" s="20">
        <f t="shared" si="2"/>
        <v>-2543.8984252131836</v>
      </c>
      <c r="AH12" s="20">
        <f t="shared" si="2"/>
        <v>-2543.8984252131836</v>
      </c>
      <c r="AI12" s="20">
        <f t="shared" si="2"/>
        <v>-2543.8984252131836</v>
      </c>
      <c r="AJ12" s="20">
        <f t="shared" si="2"/>
        <v>-2543.8984252131836</v>
      </c>
      <c r="AK12" s="20">
        <f t="shared" si="2"/>
        <v>-2543.8984252131836</v>
      </c>
      <c r="AL12" s="20">
        <f t="shared" si="2"/>
        <v>-2543.8984252131836</v>
      </c>
      <c r="AM12" s="20">
        <f>$G$12*0.04</f>
        <v>-2543.8984252131836</v>
      </c>
      <c r="AN12" s="20">
        <f>G12*0.11</f>
        <v>-6995.720669336255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</row>
    <row r="13" spans="1:99" x14ac:dyDescent="0.25">
      <c r="A13" s="11" t="s">
        <v>4</v>
      </c>
      <c r="B13" s="11" t="s">
        <v>163</v>
      </c>
      <c r="C13" s="11" t="s">
        <v>166</v>
      </c>
      <c r="D13" s="37">
        <v>0.21</v>
      </c>
      <c r="E13" s="11">
        <f>F6+F7+F8</f>
        <v>17531.972640000004</v>
      </c>
      <c r="F13" s="11">
        <f>D13*E13</f>
        <v>3681.7142544000008</v>
      </c>
      <c r="G13" s="19">
        <f>-F13</f>
        <v>-3681.7142544000008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f>SUM(M6:M8)*0.21</f>
        <v>-1864.1170548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f>(X7+X8)*0.21</f>
        <v>-591.79901508</v>
      </c>
      <c r="Y13" s="20">
        <f>(Y7+Y8)*0.21</f>
        <v>-1225.7981845200002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</row>
    <row r="14" spans="1:99" x14ac:dyDescent="0.25">
      <c r="A14" s="11" t="s">
        <v>4</v>
      </c>
      <c r="B14" s="11" t="s">
        <v>163</v>
      </c>
      <c r="C14" s="11" t="s">
        <v>167</v>
      </c>
      <c r="D14" s="37">
        <v>0.21</v>
      </c>
      <c r="E14" s="11">
        <f>F9+F10+F11+F12</f>
        <v>398395.41988235549</v>
      </c>
      <c r="F14" s="11">
        <f>D14*E14</f>
        <v>83663.038175294656</v>
      </c>
      <c r="G14" s="19">
        <f>-F14</f>
        <v>-83663.038175294656</v>
      </c>
      <c r="H14" s="20">
        <v>0</v>
      </c>
      <c r="I14" s="20">
        <v>0</v>
      </c>
      <c r="J14" s="20">
        <v>0</v>
      </c>
      <c r="K14" s="20">
        <f>SUM(K9:K12)*0.21</f>
        <v>-667.77333661846069</v>
      </c>
      <c r="L14" s="20">
        <v>0</v>
      </c>
      <c r="M14" s="20">
        <f>SUM(M9:M12)*0.21</f>
        <v>-14239.186851798258</v>
      </c>
      <c r="N14" s="20">
        <v>0</v>
      </c>
      <c r="O14" s="20">
        <v>0</v>
      </c>
      <c r="P14" s="20">
        <f>SUM(P9:P12)*0.21</f>
        <v>-23362.100287552767</v>
      </c>
      <c r="Q14" s="20">
        <v>0</v>
      </c>
      <c r="R14" s="20">
        <f>SUM(R9:R12)*0.21</f>
        <v>-667.77333661846069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f>SUM(X9:X12)*0.21</f>
        <v>-534.21866929476857</v>
      </c>
      <c r="Y14" s="20">
        <f>SUM(Y9:Y12)*0.21</f>
        <v>-534.21866929476857</v>
      </c>
      <c r="Z14" s="20">
        <f>SUM(Z9:Z12)*0.21</f>
        <v>-3013.4761202540394</v>
      </c>
      <c r="AA14" s="20">
        <f>SUM(AA9:AA12)*0.21</f>
        <v>-3013.4761202540394</v>
      </c>
      <c r="AB14" s="20">
        <f>SUM(AB9:AB12)*0.21</f>
        <v>-3013.4761202540394</v>
      </c>
      <c r="AC14" s="20">
        <f>SUM(AC9:AC12)*0.21</f>
        <v>-3013.4761202540394</v>
      </c>
      <c r="AD14" s="20">
        <f>SUM(AD9:AD12)*0.21</f>
        <v>-3013.4761202540394</v>
      </c>
      <c r="AE14" s="20">
        <f>SUM(AE9:AE12)*0.21</f>
        <v>-3013.4761202540394</v>
      </c>
      <c r="AF14" s="20">
        <f>SUM(AF9:AF12)*0.21</f>
        <v>-3013.4761202540394</v>
      </c>
      <c r="AG14" s="20">
        <f>SUM(AG9:AG12)*0.21</f>
        <v>-3013.4761202540394</v>
      </c>
      <c r="AH14" s="20">
        <f>SUM(AH9:AH12)*0.21</f>
        <v>-3013.4761202540394</v>
      </c>
      <c r="AI14" s="20">
        <f>SUM(AI9:AI12)*0.21</f>
        <v>-3013.4761202540394</v>
      </c>
      <c r="AJ14" s="20">
        <f>SUM(AJ9:AJ12)*0.21</f>
        <v>-3013.4761202540394</v>
      </c>
      <c r="AK14" s="20">
        <f>SUM(AK9:AK12)*0.21</f>
        <v>-3013.4761202540394</v>
      </c>
      <c r="AL14" s="20">
        <f>SUM(AL9:AL12)*0.21</f>
        <v>-3013.4761202540394</v>
      </c>
      <c r="AM14" s="20">
        <f>SUM(AM9:AM12)*0.21</f>
        <v>-3013.4761202540394</v>
      </c>
      <c r="AN14" s="20">
        <f>SUM(AN9:AN12)*0.21</f>
        <v>-1469.1013405606136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</row>
    <row r="15" spans="1:99" x14ac:dyDescent="0.25">
      <c r="A15" s="11" t="s">
        <v>4</v>
      </c>
      <c r="B15" s="11" t="s">
        <v>163</v>
      </c>
      <c r="C15" s="11" t="s">
        <v>20</v>
      </c>
      <c r="D15" s="37">
        <v>3.0000000000000001E-3</v>
      </c>
      <c r="E15" s="11">
        <f>F18+F19</f>
        <v>3021642.2315164795</v>
      </c>
      <c r="F15" s="11">
        <f>D15*E15</f>
        <v>9064.9266945494383</v>
      </c>
      <c r="G15" s="19">
        <f>-F15</f>
        <v>-9064.9266945494383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f>$G$15/14</f>
        <v>-647.49476389638846</v>
      </c>
      <c r="AA15" s="20">
        <f t="shared" ref="AA15:AM15" si="3">$G$15/14</f>
        <v>-647.49476389638846</v>
      </c>
      <c r="AB15" s="20">
        <f t="shared" si="3"/>
        <v>-647.49476389638846</v>
      </c>
      <c r="AC15" s="20">
        <f t="shared" si="3"/>
        <v>-647.49476389638846</v>
      </c>
      <c r="AD15" s="20">
        <f t="shared" si="3"/>
        <v>-647.49476389638846</v>
      </c>
      <c r="AE15" s="20">
        <f t="shared" si="3"/>
        <v>-647.49476389638846</v>
      </c>
      <c r="AF15" s="20">
        <f t="shared" si="3"/>
        <v>-647.49476389638846</v>
      </c>
      <c r="AG15" s="20">
        <f t="shared" si="3"/>
        <v>-647.49476389638846</v>
      </c>
      <c r="AH15" s="20">
        <f t="shared" si="3"/>
        <v>-647.49476389638846</v>
      </c>
      <c r="AI15" s="20">
        <f t="shared" si="3"/>
        <v>-647.49476389638846</v>
      </c>
      <c r="AJ15" s="20">
        <f t="shared" si="3"/>
        <v>-647.49476389638846</v>
      </c>
      <c r="AK15" s="20">
        <f t="shared" si="3"/>
        <v>-647.49476389638846</v>
      </c>
      <c r="AL15" s="20">
        <f t="shared" si="3"/>
        <v>-647.49476389638846</v>
      </c>
      <c r="AM15" s="20">
        <f t="shared" si="3"/>
        <v>-647.49476389638846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</row>
    <row r="16" spans="1:99" x14ac:dyDescent="0.25">
      <c r="A16" s="11" t="s">
        <v>4</v>
      </c>
      <c r="B16" s="11" t="s">
        <v>168</v>
      </c>
      <c r="C16" s="11" t="s">
        <v>8</v>
      </c>
      <c r="D16" s="37">
        <f>(8.4*44.5*15)+(8.4*15.3*15)</f>
        <v>7534.8</v>
      </c>
      <c r="E16" s="11">
        <v>21</v>
      </c>
      <c r="F16" s="11">
        <f>D16*E16</f>
        <v>158230.80000000002</v>
      </c>
      <c r="G16" s="19">
        <f>-F16</f>
        <v>-158230.80000000002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f>G16*0.4</f>
        <v>-63292.320000000007</v>
      </c>
      <c r="Y16" s="20">
        <f>G16*0.6</f>
        <v>-94938.48000000001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</row>
    <row r="17" spans="1:99" x14ac:dyDescent="0.25">
      <c r="A17" s="11" t="s">
        <v>4</v>
      </c>
      <c r="B17" s="11" t="s">
        <v>168</v>
      </c>
      <c r="C17" s="11" t="s">
        <v>12</v>
      </c>
      <c r="D17" s="36">
        <v>4507</v>
      </c>
      <c r="E17" s="11">
        <v>5.75</v>
      </c>
      <c r="F17" s="11">
        <f>D17*E17</f>
        <v>25915.25</v>
      </c>
      <c r="G17" s="19">
        <f>-F17</f>
        <v>-25915.25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f>G17*0.4</f>
        <v>-10366.1</v>
      </c>
      <c r="Y17" s="20">
        <f>G17*0.6</f>
        <v>-15549.15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</row>
    <row r="18" spans="1:99" x14ac:dyDescent="0.25">
      <c r="A18" s="11" t="s">
        <v>4</v>
      </c>
      <c r="B18" s="11" t="s">
        <v>168</v>
      </c>
      <c r="C18" s="11" t="s">
        <v>2</v>
      </c>
      <c r="D18" s="37">
        <f>3900+502.32</f>
        <v>4402.32</v>
      </c>
      <c r="E18" s="11">
        <v>686.37496399999998</v>
      </c>
      <c r="F18" s="11">
        <f>D18*E18</f>
        <v>3021642.2315164795</v>
      </c>
      <c r="G18" s="19">
        <f>-F18</f>
        <v>-3021642.2315164795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-32130.240405120003</v>
      </c>
      <c r="AA18" s="20">
        <v>-88937.782474320004</v>
      </c>
      <c r="AB18" s="20">
        <v>-163091.08766808</v>
      </c>
      <c r="AC18" s="20">
        <v>-251233.82802648001</v>
      </c>
      <c r="AD18" s="20">
        <v>-199398.87232199998</v>
      </c>
      <c r="AE18" s="20">
        <v>-175476.14603999999</v>
      </c>
      <c r="AF18" s="20">
        <v>-169815.62519999998</v>
      </c>
      <c r="AG18" s="20">
        <v>-172645.88561999999</v>
      </c>
      <c r="AH18" s="20">
        <v>-206609.01065999997</v>
      </c>
      <c r="AI18" s="20">
        <v>-353782.55249999999</v>
      </c>
      <c r="AJ18" s="20">
        <v>-466992.9693</v>
      </c>
      <c r="AK18" s="20">
        <v>-342461.51081999997</v>
      </c>
      <c r="AL18" s="20">
        <v>-232081.35444</v>
      </c>
      <c r="AM18" s="20">
        <v>-166985.36477999997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</row>
    <row r="19" spans="1:99" x14ac:dyDescent="0.25">
      <c r="A19" s="11" t="s">
        <v>4</v>
      </c>
      <c r="B19" s="11" t="s">
        <v>168</v>
      </c>
      <c r="C19" s="11" t="s">
        <v>40</v>
      </c>
      <c r="D19" s="37">
        <v>0</v>
      </c>
      <c r="E19" s="11">
        <v>0</v>
      </c>
      <c r="F19" s="11">
        <f>D19*E19</f>
        <v>0</v>
      </c>
      <c r="G19" s="19">
        <f>-F19</f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</row>
    <row r="20" spans="1:99" x14ac:dyDescent="0.25">
      <c r="A20" s="11" t="s">
        <v>4</v>
      </c>
      <c r="B20" s="11" t="s">
        <v>168</v>
      </c>
      <c r="C20" s="11" t="s">
        <v>11</v>
      </c>
      <c r="D20" s="37">
        <v>0.21</v>
      </c>
      <c r="E20" s="11">
        <f>F16</f>
        <v>158230.80000000002</v>
      </c>
      <c r="F20" s="11">
        <f>E20*D20</f>
        <v>33228.468000000001</v>
      </c>
      <c r="G20" s="19">
        <f>-F20</f>
        <v>-33228.468000000001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f>X16*0.21</f>
        <v>-13291.387200000001</v>
      </c>
      <c r="Y20" s="20">
        <f>Y16*0.21</f>
        <v>-19937.0808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</row>
    <row r="21" spans="1:99" x14ac:dyDescent="0.25">
      <c r="A21" s="11" t="s">
        <v>4</v>
      </c>
      <c r="B21" s="11" t="s">
        <v>168</v>
      </c>
      <c r="C21" s="11" t="s">
        <v>10</v>
      </c>
      <c r="D21" s="37">
        <v>0.1</v>
      </c>
      <c r="E21" s="11">
        <f>F18+F19</f>
        <v>3021642.2315164795</v>
      </c>
      <c r="F21" s="11">
        <f>E21*D21</f>
        <v>302164.22315164795</v>
      </c>
      <c r="G21" s="19">
        <f>-F21</f>
        <v>-302164.22315164795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f>(Z18+Z19)*0.1</f>
        <v>-3213.0240405120003</v>
      </c>
      <c r="AA21" s="20">
        <f>(AA18+AA19)*0.1</f>
        <v>-8893.7782474320011</v>
      </c>
      <c r="AB21" s="20">
        <f>(AB18+AB19)*0.1</f>
        <v>-16309.108766808</v>
      </c>
      <c r="AC21" s="20">
        <f>(AC18+AC19)*0.1</f>
        <v>-25123.382802648004</v>
      </c>
      <c r="AD21" s="20">
        <f>(AD18+AD19)*0.1</f>
        <v>-19939.887232199999</v>
      </c>
      <c r="AE21" s="20">
        <f>(AE18+AE19)*0.1</f>
        <v>-17547.614603999999</v>
      </c>
      <c r="AF21" s="20">
        <f>(AF18+AF19)*0.1</f>
        <v>-16981.562519999999</v>
      </c>
      <c r="AG21" s="20">
        <f>(AG18+AG19)*0.1</f>
        <v>-17264.588562000001</v>
      </c>
      <c r="AH21" s="20">
        <f>(AH18+AH19)*0.1</f>
        <v>-20660.901065999999</v>
      </c>
      <c r="AI21" s="20">
        <f>(AI18+AI19)*0.1</f>
        <v>-35378.255250000002</v>
      </c>
      <c r="AJ21" s="20">
        <f>(AJ18+AJ19)*0.1</f>
        <v>-46699.296930000004</v>
      </c>
      <c r="AK21" s="20">
        <f>(AK18+AK19)*0.1</f>
        <v>-34246.151081999997</v>
      </c>
      <c r="AL21" s="20">
        <f>(AL18+AL19)*0.1</f>
        <v>-23208.135444</v>
      </c>
      <c r="AM21" s="20">
        <f>(AM18+AM19)*0.1</f>
        <v>-16698.536477999998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</row>
    <row r="22" spans="1:99" x14ac:dyDescent="0.25">
      <c r="A22" s="11" t="s">
        <v>4</v>
      </c>
      <c r="B22" s="11" t="s">
        <v>168</v>
      </c>
      <c r="C22" s="11" t="s">
        <v>21</v>
      </c>
      <c r="D22" s="37">
        <v>1</v>
      </c>
      <c r="E22" s="11">
        <v>700</v>
      </c>
      <c r="F22" s="11">
        <f>D22*E22</f>
        <v>700</v>
      </c>
      <c r="G22" s="19">
        <f>-F22</f>
        <v>-700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f>G22</f>
        <v>-700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</row>
    <row r="23" spans="1:99" x14ac:dyDescent="0.25">
      <c r="A23" s="11" t="s">
        <v>4</v>
      </c>
      <c r="B23" s="11" t="s">
        <v>0</v>
      </c>
      <c r="C23" s="11" t="s">
        <v>7</v>
      </c>
      <c r="D23" s="37">
        <f>5%</f>
        <v>0.05</v>
      </c>
      <c r="E23" s="11">
        <f>(F18+F19)</f>
        <v>3021642.2315164795</v>
      </c>
      <c r="F23" s="11">
        <f>D23*E23</f>
        <v>151082.11157582398</v>
      </c>
      <c r="G23" s="17">
        <f>-F23</f>
        <v>-151082.11157582398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f>G23*0.2</f>
        <v>-30216.422315164797</v>
      </c>
      <c r="R23" s="18">
        <v>0</v>
      </c>
      <c r="S23" s="18">
        <v>0</v>
      </c>
      <c r="T23" s="18">
        <f>G23*0.8</f>
        <v>-120865.68926065919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</row>
    <row r="24" spans="1:99" x14ac:dyDescent="0.25">
      <c r="A24" s="11" t="s">
        <v>4</v>
      </c>
      <c r="B24" s="11" t="s">
        <v>0</v>
      </c>
      <c r="C24" s="11" t="s">
        <v>6</v>
      </c>
      <c r="D24" s="37">
        <f>5%</f>
        <v>0.05</v>
      </c>
      <c r="E24" s="11">
        <f>F16</f>
        <v>158230.80000000002</v>
      </c>
      <c r="F24" s="11">
        <f>D24*E24</f>
        <v>7911.5400000000009</v>
      </c>
      <c r="G24" s="19">
        <f>-F24</f>
        <v>-7911.5400000000009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f>G24*0.2</f>
        <v>-1582.3080000000002</v>
      </c>
      <c r="O24" s="20">
        <v>0</v>
      </c>
      <c r="P24" s="20">
        <f>G24*0.8</f>
        <v>-6329.2320000000009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</row>
    <row r="25" spans="1:99" x14ac:dyDescent="0.25">
      <c r="A25" s="11" t="s">
        <v>4</v>
      </c>
      <c r="B25" s="11" t="s">
        <v>0</v>
      </c>
      <c r="C25" s="11" t="s">
        <v>169</v>
      </c>
      <c r="D25" s="37">
        <v>2.9999999999999997E-4</v>
      </c>
      <c r="E25" s="11">
        <f>F18+F19</f>
        <v>3021642.2315164795</v>
      </c>
      <c r="F25" s="11">
        <f>D25*E25</f>
        <v>906.49266945494378</v>
      </c>
      <c r="G25" s="19">
        <f>-F25</f>
        <v>-906.49266945494378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f>G25</f>
        <v>-906.49266945494378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</row>
    <row r="26" spans="1:99" x14ac:dyDescent="0.25">
      <c r="A26" s="11" t="s">
        <v>4</v>
      </c>
      <c r="B26" s="11" t="s">
        <v>0</v>
      </c>
      <c r="C26" s="11" t="s">
        <v>170</v>
      </c>
      <c r="D26" s="37">
        <v>2.0000000000000001E-4</v>
      </c>
      <c r="E26" s="11">
        <f>F18+F19</f>
        <v>3021642.2315164795</v>
      </c>
      <c r="F26" s="11">
        <f>D26*E26</f>
        <v>604.32844630329589</v>
      </c>
      <c r="G26" s="19">
        <f>-F26</f>
        <v>-604.32844630329589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f>G26</f>
        <v>-604.32844630329589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</row>
    <row r="27" spans="1:99" x14ac:dyDescent="0.25">
      <c r="A27" s="11" t="s">
        <v>4</v>
      </c>
      <c r="B27" s="11" t="s">
        <v>0</v>
      </c>
      <c r="C27" s="11" t="s">
        <v>171</v>
      </c>
      <c r="D27" s="37">
        <v>1</v>
      </c>
      <c r="E27" s="11">
        <v>250</v>
      </c>
      <c r="F27" s="11">
        <f>D27*E27</f>
        <v>250</v>
      </c>
      <c r="G27" s="19">
        <f>-F27</f>
        <v>-250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f>G27</f>
        <v>-250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</row>
    <row r="28" spans="1:99" x14ac:dyDescent="0.25">
      <c r="A28" s="11" t="s">
        <v>4</v>
      </c>
      <c r="B28" s="11" t="s">
        <v>0</v>
      </c>
      <c r="C28" s="11" t="s">
        <v>172</v>
      </c>
      <c r="D28" s="37">
        <v>2.9999999999999997E-4</v>
      </c>
      <c r="E28" s="11">
        <f>F18+F19</f>
        <v>3021642.2315164795</v>
      </c>
      <c r="F28" s="11">
        <f>D28*E28</f>
        <v>906.49266945494378</v>
      </c>
      <c r="G28" s="19">
        <f>-F28</f>
        <v>-906.49266945494378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f>G28</f>
        <v>-906.49266945494378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</row>
    <row r="29" spans="1:99" x14ac:dyDescent="0.25">
      <c r="A29" s="11" t="s">
        <v>4</v>
      </c>
      <c r="B29" s="11" t="s">
        <v>0</v>
      </c>
      <c r="C29" s="11" t="s">
        <v>173</v>
      </c>
      <c r="D29" s="37">
        <v>2.0000000000000001E-4</v>
      </c>
      <c r="E29" s="11">
        <f>F18+F19</f>
        <v>3021642.2315164795</v>
      </c>
      <c r="F29" s="11">
        <f>D29*E29</f>
        <v>604.32844630329589</v>
      </c>
      <c r="G29" s="19">
        <f>-F29</f>
        <v>-604.32844630329589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f t="shared" ref="AN29:AN32" si="4">G29</f>
        <v>-604.32844630329589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</row>
    <row r="30" spans="1:99" x14ac:dyDescent="0.25">
      <c r="A30" s="11" t="s">
        <v>4</v>
      </c>
      <c r="B30" s="11" t="s">
        <v>0</v>
      </c>
      <c r="C30" s="11" t="s">
        <v>174</v>
      </c>
      <c r="D30" s="37">
        <v>1</v>
      </c>
      <c r="E30" s="11">
        <v>250</v>
      </c>
      <c r="F30" s="11">
        <f>D30*E30</f>
        <v>250</v>
      </c>
      <c r="G30" s="19">
        <f>-F30</f>
        <v>-250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f t="shared" si="4"/>
        <v>-250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</row>
    <row r="31" spans="1:99" x14ac:dyDescent="0.25">
      <c r="A31" s="11" t="s">
        <v>4</v>
      </c>
      <c r="B31" s="11" t="s">
        <v>0</v>
      </c>
      <c r="C31" s="11" t="s">
        <v>23</v>
      </c>
      <c r="D31" s="37">
        <v>8.9999999999999993E-3</v>
      </c>
      <c r="E31" s="11">
        <f>F18+F19</f>
        <v>3021642.2315164795</v>
      </c>
      <c r="F31" s="11">
        <f>D31*E31</f>
        <v>27194.780083648315</v>
      </c>
      <c r="G31" s="19">
        <f>-F31</f>
        <v>-27194.780083648315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f>$G$31/16</f>
        <v>-1699.6737552280197</v>
      </c>
      <c r="Y31" s="20">
        <f t="shared" ref="Y31:AM31" si="5">$G$31/16</f>
        <v>-1699.6737552280197</v>
      </c>
      <c r="Z31" s="20">
        <f t="shared" si="5"/>
        <v>-1699.6737552280197</v>
      </c>
      <c r="AA31" s="20">
        <f t="shared" si="5"/>
        <v>-1699.6737552280197</v>
      </c>
      <c r="AB31" s="20">
        <f t="shared" si="5"/>
        <v>-1699.6737552280197</v>
      </c>
      <c r="AC31" s="20">
        <f t="shared" si="5"/>
        <v>-1699.6737552280197</v>
      </c>
      <c r="AD31" s="20">
        <f t="shared" si="5"/>
        <v>-1699.6737552280197</v>
      </c>
      <c r="AE31" s="20">
        <f t="shared" si="5"/>
        <v>-1699.6737552280197</v>
      </c>
      <c r="AF31" s="20">
        <f t="shared" si="5"/>
        <v>-1699.6737552280197</v>
      </c>
      <c r="AG31" s="20">
        <f t="shared" si="5"/>
        <v>-1699.6737552280197</v>
      </c>
      <c r="AH31" s="20">
        <f t="shared" si="5"/>
        <v>-1699.6737552280197</v>
      </c>
      <c r="AI31" s="20">
        <f t="shared" si="5"/>
        <v>-1699.6737552280197</v>
      </c>
      <c r="AJ31" s="20">
        <f t="shared" si="5"/>
        <v>-1699.6737552280197</v>
      </c>
      <c r="AK31" s="20">
        <f t="shared" si="5"/>
        <v>-1699.6737552280197</v>
      </c>
      <c r="AL31" s="20">
        <f t="shared" si="5"/>
        <v>-1699.6737552280197</v>
      </c>
      <c r="AM31" s="20">
        <f t="shared" si="5"/>
        <v>-1699.6737552280197</v>
      </c>
      <c r="AN31" s="20">
        <v>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0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</row>
    <row r="32" spans="1:99" x14ac:dyDescent="0.25">
      <c r="A32" s="11" t="s">
        <v>4</v>
      </c>
      <c r="B32" s="11" t="s">
        <v>0</v>
      </c>
      <c r="C32" s="11" t="s">
        <v>175</v>
      </c>
      <c r="D32" s="37">
        <v>2.5000000000000001E-3</v>
      </c>
      <c r="E32" s="11">
        <f>10*65*1.2*725.71</f>
        <v>566053.80000000005</v>
      </c>
      <c r="F32" s="11">
        <f>D32*E32</f>
        <v>1415.1345000000001</v>
      </c>
      <c r="G32" s="19">
        <f>-F32</f>
        <v>-1415.1345000000001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f t="shared" si="4"/>
        <v>-1415.1345000000001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0</v>
      </c>
      <c r="CS32" s="20">
        <v>0</v>
      </c>
      <c r="CT32" s="20">
        <v>0</v>
      </c>
      <c r="CU32" s="20">
        <v>0</v>
      </c>
    </row>
    <row r="33" spans="1:99" x14ac:dyDescent="0.25">
      <c r="A33" s="11" t="s">
        <v>4</v>
      </c>
      <c r="B33" s="11" t="s">
        <v>24</v>
      </c>
      <c r="C33" s="11" t="s">
        <v>27</v>
      </c>
      <c r="D33" s="35">
        <v>1</v>
      </c>
      <c r="E33" s="21">
        <v>2500</v>
      </c>
      <c r="F33" s="21">
        <f>D33*E33</f>
        <v>2500</v>
      </c>
      <c r="G33" s="22">
        <f>-F33</f>
        <v>-2500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4">
        <v>0</v>
      </c>
      <c r="W33" s="24">
        <f>G33</f>
        <v>-2500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</row>
    <row r="34" spans="1:99" x14ac:dyDescent="0.25">
      <c r="A34" s="11" t="s">
        <v>4</v>
      </c>
      <c r="B34" s="11" t="s">
        <v>24</v>
      </c>
      <c r="C34" s="11" t="s">
        <v>176</v>
      </c>
      <c r="D34" s="38">
        <v>2.5000000000000001E-3</v>
      </c>
      <c r="E34" s="21">
        <f>-0.8*SUM(G2:G32,G41:G42)</f>
        <v>3868206.6021645726</v>
      </c>
      <c r="F34" s="21">
        <f>D34*E34</f>
        <v>9670.5165054114314</v>
      </c>
      <c r="G34" s="19">
        <f>-F34</f>
        <v>-9670.5165054114314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f>G34</f>
        <v>-9670.5165054114314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</row>
    <row r="35" spans="1:99" x14ac:dyDescent="0.25">
      <c r="A35" s="11" t="s">
        <v>4</v>
      </c>
      <c r="B35" s="11" t="s">
        <v>24</v>
      </c>
      <c r="C35" s="11" t="s">
        <v>28</v>
      </c>
      <c r="D35" s="35">
        <v>1</v>
      </c>
      <c r="E35" s="21">
        <v>250</v>
      </c>
      <c r="F35" s="21">
        <f>D35*E35</f>
        <v>250</v>
      </c>
      <c r="G35" s="19">
        <f>-F35</f>
        <v>-250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f>G35</f>
        <v>-250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</row>
    <row r="36" spans="1:99" x14ac:dyDescent="0.25">
      <c r="A36" s="11" t="s">
        <v>4</v>
      </c>
      <c r="B36" s="11" t="s">
        <v>24</v>
      </c>
      <c r="C36" s="11" t="s">
        <v>29</v>
      </c>
      <c r="D36" s="38">
        <v>2.5000000000000001E-3</v>
      </c>
      <c r="E36" s="21">
        <f>-0.8*SUM(G2:G32,G41:G42)</f>
        <v>3868206.6021645726</v>
      </c>
      <c r="F36" s="21">
        <f>D36*E36</f>
        <v>9670.5165054114314</v>
      </c>
      <c r="G36" s="19">
        <f>-F36</f>
        <v>-9670.5165054114314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f>G36</f>
        <v>-9670.5165054114314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0</v>
      </c>
      <c r="CE36" s="20">
        <v>0</v>
      </c>
      <c r="CF36" s="20">
        <v>0</v>
      </c>
      <c r="CG36" s="20">
        <v>0</v>
      </c>
      <c r="CH36" s="20">
        <v>0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</row>
    <row r="37" spans="1:99" x14ac:dyDescent="0.25">
      <c r="A37" s="11" t="s">
        <v>4</v>
      </c>
      <c r="B37" s="11" t="s">
        <v>24</v>
      </c>
      <c r="C37" s="11" t="s">
        <v>25</v>
      </c>
      <c r="D37" s="38">
        <v>1E-3</v>
      </c>
      <c r="E37" s="21">
        <f>-0.8*SUM(G2:G32,G41:G42)</f>
        <v>3868206.6021645726</v>
      </c>
      <c r="F37" s="21">
        <f>D37*E37</f>
        <v>3868.2066021645728</v>
      </c>
      <c r="G37" s="19">
        <f>-F37</f>
        <v>-3868.2066021645728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f>G37</f>
        <v>-3868.2066021645728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</row>
    <row r="38" spans="1:99" x14ac:dyDescent="0.25">
      <c r="A38" s="11" t="s">
        <v>4</v>
      </c>
      <c r="B38" s="11" t="s">
        <v>24</v>
      </c>
      <c r="C38" s="11" t="s">
        <v>96</v>
      </c>
      <c r="D38" s="38">
        <f>intereses!C5</f>
        <v>3.5000000000000003E-2</v>
      </c>
      <c r="E38" s="21">
        <f>0.8*(SUM(F2:F42)-F44-F45)</f>
        <v>3391736.3830592926</v>
      </c>
      <c r="F38" s="21">
        <v>310359.81</v>
      </c>
      <c r="G38" s="19"/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-9892.5644466771682</v>
      </c>
      <c r="AO38" s="20">
        <v>-9741.454750130868</v>
      </c>
      <c r="AP38" s="20">
        <v>-9589.9043169696397</v>
      </c>
      <c r="AQ38" s="20">
        <v>-9437.9118617116928</v>
      </c>
      <c r="AR38" s="20">
        <v>-9285.4760951259068</v>
      </c>
      <c r="AS38" s="20">
        <v>-9132.5957242209151</v>
      </c>
      <c r="AT38" s="20">
        <v>-8979.2694522341153</v>
      </c>
      <c r="AU38" s="20">
        <v>-8825.4959786206873</v>
      </c>
      <c r="AV38" s="20">
        <v>-8671.2739990425544</v>
      </c>
      <c r="AW38" s="20">
        <v>-8516.6022053573215</v>
      </c>
      <c r="AX38" s="20">
        <v>-8361.4792856071672</v>
      </c>
      <c r="AY38" s="20">
        <v>-8205.9039240077454</v>
      </c>
      <c r="AZ38" s="20">
        <v>-8049.8748009369911</v>
      </c>
      <c r="BA38" s="20">
        <v>-7893.390592923949</v>
      </c>
      <c r="BB38" s="20">
        <v>-7736.4499726375334</v>
      </c>
      <c r="BC38" s="20">
        <v>-7579.051608875282</v>
      </c>
      <c r="BD38" s="25">
        <v>-7421.1941665520571</v>
      </c>
      <c r="BE38" s="25">
        <v>-7262.8763066887259</v>
      </c>
      <c r="BF38" s="25">
        <v>-7104.0966864007905</v>
      </c>
      <c r="BG38" s="25">
        <v>-6944.8539588870162</v>
      </c>
      <c r="BH38" s="25">
        <v>-6785.1467734179914</v>
      </c>
      <c r="BI38" s="25">
        <v>-6624.9737753246836</v>
      </c>
      <c r="BJ38" s="25">
        <v>-6464.333605986938</v>
      </c>
      <c r="BK38" s="25">
        <v>-6303.2249028219567</v>
      </c>
      <c r="BL38" s="25">
        <v>-6141.6462992727447</v>
      </c>
      <c r="BM38" s="25">
        <v>-5979.596424796513</v>
      </c>
      <c r="BN38" s="25">
        <v>-5817.0739048530595</v>
      </c>
      <c r="BO38" s="25">
        <v>-5654.0773608931049</v>
      </c>
      <c r="BP38" s="25">
        <v>-5490.6054103466004</v>
      </c>
      <c r="BQ38" s="25">
        <v>-5326.6566666110002</v>
      </c>
      <c r="BR38" s="25">
        <v>-5162.2297390395051</v>
      </c>
      <c r="BS38" s="25">
        <v>-4997.3232329292605</v>
      </c>
      <c r="BT38" s="25">
        <v>-4831.9357495095283</v>
      </c>
      <c r="BU38" s="25">
        <v>-4666.065885929821</v>
      </c>
      <c r="BV38" s="25">
        <v>-4499.7122352480064</v>
      </c>
      <c r="BW38" s="25">
        <v>-4332.8733864183696</v>
      </c>
      <c r="BX38" s="25">
        <v>-4165.5479242796464</v>
      </c>
      <c r="BY38" s="25">
        <v>-3997.7344295430194</v>
      </c>
      <c r="BZ38" s="25">
        <v>-3829.4314787800758</v>
      </c>
      <c r="CA38" s="25">
        <v>-3660.63764441074</v>
      </c>
      <c r="CB38" s="25">
        <v>-3491.3514946911619</v>
      </c>
      <c r="CC38" s="25">
        <v>-3321.5715937015684</v>
      </c>
      <c r="CD38" s="25">
        <v>-3151.2965013340877</v>
      </c>
      <c r="CE38" s="25">
        <v>-2980.5247732805351</v>
      </c>
      <c r="CF38" s="25">
        <v>-2809.25496102016</v>
      </c>
      <c r="CG38" s="25">
        <v>-2637.4856118073585</v>
      </c>
      <c r="CH38" s="25">
        <v>-2465.2152686593536</v>
      </c>
      <c r="CI38" s="25">
        <v>-2292.4424703438331</v>
      </c>
      <c r="CJ38" s="25">
        <v>-2119.1657513665591</v>
      </c>
      <c r="CK38" s="25">
        <v>-1945.3836419589352</v>
      </c>
      <c r="CL38" s="25">
        <v>-1771.0946680655388</v>
      </c>
      <c r="CM38" s="25">
        <v>-1596.2973513316194</v>
      </c>
      <c r="CN38" s="25">
        <v>-1420.9902090905603</v>
      </c>
      <c r="CO38" s="25">
        <v>-1245.171754351298</v>
      </c>
      <c r="CP38" s="25">
        <v>-1068.8404957857124</v>
      </c>
      <c r="CQ38" s="25">
        <v>-891.99493771597713</v>
      </c>
      <c r="CR38" s="25">
        <v>-714.6335801018721</v>
      </c>
      <c r="CS38" s="25">
        <v>-536.75491852805931</v>
      </c>
      <c r="CT38" s="25">
        <v>-358.35744419132277</v>
      </c>
      <c r="CU38" s="25">
        <v>-179.4396438877707</v>
      </c>
    </row>
    <row r="39" spans="1:99" x14ac:dyDescent="0.25">
      <c r="A39" s="11" t="s">
        <v>4</v>
      </c>
      <c r="B39" s="11" t="s">
        <v>24</v>
      </c>
      <c r="C39" s="11" t="s">
        <v>39</v>
      </c>
      <c r="D39" s="38">
        <f>intereses!E5</f>
        <v>0.05</v>
      </c>
      <c r="E39" s="21">
        <f>-0.8*SUM(G2:G32,G41:G42)</f>
        <v>3868206.6021645726</v>
      </c>
      <c r="F39" s="21">
        <v>138422.66</v>
      </c>
      <c r="G39" s="19"/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-16117.5275</v>
      </c>
      <c r="Y39" s="20">
        <v>-15141.290743174188</v>
      </c>
      <c r="Z39" s="20">
        <v>-14160.986333194936</v>
      </c>
      <c r="AA39" s="20">
        <v>-13176.597321507434</v>
      </c>
      <c r="AB39" s="20">
        <v>-12188.106688937904</v>
      </c>
      <c r="AC39" s="20">
        <v>-11195.497345399333</v>
      </c>
      <c r="AD39" s="20">
        <v>-10198.752129596016</v>
      </c>
      <c r="AE39" s="20">
        <v>-9197.8538087268535</v>
      </c>
      <c r="AF39" s="20">
        <v>-8192.785078187404</v>
      </c>
      <c r="AG39" s="20">
        <v>-7183.5285612707066</v>
      </c>
      <c r="AH39" s="20">
        <v>-6170.0668088668554</v>
      </c>
      <c r="AI39" s="20">
        <v>-5152.3822991613197</v>
      </c>
      <c r="AJ39" s="20">
        <v>-4130.4574373320129</v>
      </c>
      <c r="AK39" s="20">
        <v>-3104.2745552450847</v>
      </c>
      <c r="AL39" s="20">
        <v>-2073.8159111494601</v>
      </c>
      <c r="AM39" s="20">
        <v>-1039.0636893701037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</row>
    <row r="40" spans="1:99" x14ac:dyDescent="0.25">
      <c r="A40" s="11" t="s">
        <v>4</v>
      </c>
      <c r="B40" s="11" t="s">
        <v>24</v>
      </c>
      <c r="C40" s="11" t="s">
        <v>26</v>
      </c>
      <c r="D40" s="38">
        <v>2.5000000000000001E-3</v>
      </c>
      <c r="E40" s="21">
        <f>-0.8*SUM(G2:G32,G41:G42)</f>
        <v>3868206.6021645726</v>
      </c>
      <c r="F40" s="21">
        <f>D40*E40</f>
        <v>9670.5165054114314</v>
      </c>
      <c r="G40" s="19">
        <f>-F40</f>
        <v>-9670.5165054114314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f>G40</f>
        <v>-9670.5165054114314</v>
      </c>
    </row>
    <row r="41" spans="1:99" x14ac:dyDescent="0.25">
      <c r="A41" s="11" t="s">
        <v>4</v>
      </c>
      <c r="B41" s="11" t="s">
        <v>1</v>
      </c>
      <c r="C41" s="11" t="s">
        <v>22</v>
      </c>
      <c r="D41" s="37">
        <f>40*16</f>
        <v>640</v>
      </c>
      <c r="E41" s="11">
        <v>700</v>
      </c>
      <c r="F41" s="21">
        <f>D41*E41</f>
        <v>448000</v>
      </c>
      <c r="G41" s="17">
        <f>-F41</f>
        <v>-448000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f>$G$41/16</f>
        <v>-28000</v>
      </c>
      <c r="Y41" s="18">
        <f t="shared" ref="Y41:AM41" si="6">$G$41/16</f>
        <v>-28000</v>
      </c>
      <c r="Z41" s="18">
        <f t="shared" si="6"/>
        <v>-28000</v>
      </c>
      <c r="AA41" s="18">
        <f t="shared" si="6"/>
        <v>-28000</v>
      </c>
      <c r="AB41" s="18">
        <f t="shared" si="6"/>
        <v>-28000</v>
      </c>
      <c r="AC41" s="18">
        <f t="shared" si="6"/>
        <v>-28000</v>
      </c>
      <c r="AD41" s="18">
        <f t="shared" si="6"/>
        <v>-28000</v>
      </c>
      <c r="AE41" s="18">
        <f t="shared" si="6"/>
        <v>-28000</v>
      </c>
      <c r="AF41" s="18">
        <f t="shared" si="6"/>
        <v>-28000</v>
      </c>
      <c r="AG41" s="18">
        <f t="shared" si="6"/>
        <v>-28000</v>
      </c>
      <c r="AH41" s="18">
        <f t="shared" si="6"/>
        <v>-28000</v>
      </c>
      <c r="AI41" s="18">
        <f t="shared" si="6"/>
        <v>-28000</v>
      </c>
      <c r="AJ41" s="18">
        <f t="shared" si="6"/>
        <v>-28000</v>
      </c>
      <c r="AK41" s="18">
        <f t="shared" si="6"/>
        <v>-28000</v>
      </c>
      <c r="AL41" s="18">
        <f t="shared" si="6"/>
        <v>-28000</v>
      </c>
      <c r="AM41" s="18">
        <f t="shared" si="6"/>
        <v>-28000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</row>
    <row r="42" spans="1:99" x14ac:dyDescent="0.25">
      <c r="A42" s="11" t="s">
        <v>4</v>
      </c>
      <c r="B42" s="11" t="s">
        <v>1</v>
      </c>
      <c r="C42" s="11" t="s">
        <v>17</v>
      </c>
      <c r="D42" s="37">
        <f>40*16</f>
        <v>640</v>
      </c>
      <c r="E42" s="11">
        <v>200</v>
      </c>
      <c r="F42" s="21">
        <f>D42*E42</f>
        <v>128000</v>
      </c>
      <c r="G42" s="19">
        <f>-$F$42</f>
        <v>-128000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f>$G$42/16</f>
        <v>-8000</v>
      </c>
      <c r="Y42" s="20">
        <f t="shared" ref="Y42:AM42" si="7">$G$42/16</f>
        <v>-8000</v>
      </c>
      <c r="Z42" s="20">
        <f t="shared" si="7"/>
        <v>-8000</v>
      </c>
      <c r="AA42" s="20">
        <f t="shared" si="7"/>
        <v>-8000</v>
      </c>
      <c r="AB42" s="20">
        <f t="shared" si="7"/>
        <v>-8000</v>
      </c>
      <c r="AC42" s="20">
        <f t="shared" si="7"/>
        <v>-8000</v>
      </c>
      <c r="AD42" s="20">
        <f t="shared" si="7"/>
        <v>-8000</v>
      </c>
      <c r="AE42" s="20">
        <f t="shared" si="7"/>
        <v>-8000</v>
      </c>
      <c r="AF42" s="20">
        <f t="shared" si="7"/>
        <v>-8000</v>
      </c>
      <c r="AG42" s="20">
        <f t="shared" si="7"/>
        <v>-8000</v>
      </c>
      <c r="AH42" s="20">
        <f t="shared" si="7"/>
        <v>-8000</v>
      </c>
      <c r="AI42" s="20">
        <f t="shared" si="7"/>
        <v>-8000</v>
      </c>
      <c r="AJ42" s="20">
        <f t="shared" si="7"/>
        <v>-8000</v>
      </c>
      <c r="AK42" s="20">
        <f t="shared" si="7"/>
        <v>-8000</v>
      </c>
      <c r="AL42" s="20">
        <f t="shared" si="7"/>
        <v>-8000</v>
      </c>
      <c r="AM42" s="20">
        <f t="shared" si="7"/>
        <v>-8000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</row>
    <row r="43" spans="1:99" x14ac:dyDescent="0.25">
      <c r="A43" s="11" t="s">
        <v>5</v>
      </c>
      <c r="B43" s="11" t="s">
        <v>177</v>
      </c>
      <c r="C43" s="11" t="s">
        <v>145</v>
      </c>
      <c r="D43" s="37">
        <v>10</v>
      </c>
      <c r="E43" s="11">
        <f>65*2183.04</f>
        <v>141897.60000000001</v>
      </c>
      <c r="F43" s="11">
        <f>D43*E43</f>
        <v>1418976</v>
      </c>
      <c r="G43" s="19">
        <f>F43</f>
        <v>1418976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20">
        <v>0</v>
      </c>
      <c r="AW43" s="20">
        <v>0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0</v>
      </c>
      <c r="BL43" s="20">
        <v>0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0</v>
      </c>
      <c r="BZ43" s="20">
        <v>0</v>
      </c>
      <c r="CA43" s="20">
        <v>0</v>
      </c>
      <c r="CB43" s="20">
        <v>0</v>
      </c>
      <c r="CC43" s="20">
        <v>0</v>
      </c>
      <c r="CD43" s="20">
        <v>0</v>
      </c>
      <c r="CE43" s="20">
        <v>0</v>
      </c>
      <c r="CF43" s="20">
        <v>0</v>
      </c>
      <c r="CG43" s="20">
        <v>0</v>
      </c>
      <c r="CH43" s="20">
        <v>0</v>
      </c>
      <c r="CI43" s="20">
        <v>0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0</v>
      </c>
      <c r="CP43" s="20">
        <v>0</v>
      </c>
      <c r="CQ43" s="20">
        <v>0</v>
      </c>
      <c r="CR43" s="20">
        <v>0</v>
      </c>
      <c r="CS43" s="20">
        <v>0</v>
      </c>
      <c r="CT43" s="20">
        <v>0</v>
      </c>
      <c r="CU43" s="20">
        <f>G43</f>
        <v>1418976</v>
      </c>
    </row>
    <row r="44" spans="1:99" x14ac:dyDescent="0.25">
      <c r="A44" s="11" t="s">
        <v>5</v>
      </c>
      <c r="B44" s="11" t="s">
        <v>178</v>
      </c>
      <c r="C44" s="11" t="s">
        <v>179</v>
      </c>
      <c r="D44" s="37">
        <v>40</v>
      </c>
      <c r="E44" s="11">
        <v>16000</v>
      </c>
      <c r="F44" s="11">
        <f>D44*E44</f>
        <v>640000</v>
      </c>
      <c r="G44" s="19">
        <f>F44</f>
        <v>640000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f>G44</f>
        <v>640000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0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0</v>
      </c>
      <c r="BZ44" s="20">
        <v>0</v>
      </c>
      <c r="CA44" s="20">
        <v>0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0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  <c r="CT44" s="20">
        <v>0</v>
      </c>
      <c r="CU44" s="20">
        <v>0</v>
      </c>
    </row>
    <row r="45" spans="1:99" x14ac:dyDescent="0.25">
      <c r="A45" s="11" t="s">
        <v>5</v>
      </c>
      <c r="B45" s="11" t="s">
        <v>178</v>
      </c>
      <c r="C45" s="11" t="s">
        <v>180</v>
      </c>
      <c r="D45" s="37">
        <v>40</v>
      </c>
      <c r="E45" s="11">
        <v>11000</v>
      </c>
      <c r="F45" s="11">
        <f>D45*E45</f>
        <v>440000</v>
      </c>
      <c r="G45" s="19">
        <f>F45</f>
        <v>440000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f>G45</f>
        <v>440000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  <c r="CT45" s="20">
        <v>0</v>
      </c>
      <c r="CU45" s="20">
        <v>0</v>
      </c>
    </row>
    <row r="46" spans="1:99" x14ac:dyDescent="0.25">
      <c r="A46" s="11" t="s">
        <v>5</v>
      </c>
      <c r="B46" s="11" t="s">
        <v>181</v>
      </c>
      <c r="C46" s="11" t="s">
        <v>182</v>
      </c>
      <c r="D46" s="37">
        <f>10*60</f>
        <v>600</v>
      </c>
      <c r="E46" s="11">
        <v>450</v>
      </c>
      <c r="F46" s="21">
        <f>D46*E46</f>
        <v>270000</v>
      </c>
      <c r="G46" s="19">
        <f>F46</f>
        <v>270000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f>($D$46*$E$46)/60</f>
        <v>4500</v>
      </c>
      <c r="AO46" s="20">
        <f t="shared" ref="AO46:CU46" si="8">($D$46*$E$46)/60</f>
        <v>4500</v>
      </c>
      <c r="AP46" s="20">
        <f t="shared" si="8"/>
        <v>4500</v>
      </c>
      <c r="AQ46" s="20">
        <f t="shared" si="8"/>
        <v>4500</v>
      </c>
      <c r="AR46" s="20">
        <f t="shared" si="8"/>
        <v>4500</v>
      </c>
      <c r="AS46" s="20">
        <f t="shared" si="8"/>
        <v>4500</v>
      </c>
      <c r="AT46" s="20">
        <f t="shared" si="8"/>
        <v>4500</v>
      </c>
      <c r="AU46" s="20">
        <f t="shared" si="8"/>
        <v>4500</v>
      </c>
      <c r="AV46" s="20">
        <f t="shared" si="8"/>
        <v>4500</v>
      </c>
      <c r="AW46" s="20">
        <f t="shared" si="8"/>
        <v>4500</v>
      </c>
      <c r="AX46" s="20">
        <f t="shared" si="8"/>
        <v>4500</v>
      </c>
      <c r="AY46" s="20">
        <f t="shared" si="8"/>
        <v>4500</v>
      </c>
      <c r="AZ46" s="20">
        <f t="shared" si="8"/>
        <v>4500</v>
      </c>
      <c r="BA46" s="20">
        <f t="shared" si="8"/>
        <v>4500</v>
      </c>
      <c r="BB46" s="20">
        <f t="shared" si="8"/>
        <v>4500</v>
      </c>
      <c r="BC46" s="20">
        <f t="shared" si="8"/>
        <v>4500</v>
      </c>
      <c r="BD46" s="20">
        <f t="shared" si="8"/>
        <v>4500</v>
      </c>
      <c r="BE46" s="20">
        <f t="shared" si="8"/>
        <v>4500</v>
      </c>
      <c r="BF46" s="20">
        <f t="shared" si="8"/>
        <v>4500</v>
      </c>
      <c r="BG46" s="20">
        <f t="shared" si="8"/>
        <v>4500</v>
      </c>
      <c r="BH46" s="20">
        <f t="shared" si="8"/>
        <v>4500</v>
      </c>
      <c r="BI46" s="20">
        <f t="shared" si="8"/>
        <v>4500</v>
      </c>
      <c r="BJ46" s="20">
        <f t="shared" si="8"/>
        <v>4500</v>
      </c>
      <c r="BK46" s="20">
        <f t="shared" si="8"/>
        <v>4500</v>
      </c>
      <c r="BL46" s="20">
        <f t="shared" si="8"/>
        <v>4500</v>
      </c>
      <c r="BM46" s="20">
        <f t="shared" si="8"/>
        <v>4500</v>
      </c>
      <c r="BN46" s="20">
        <f t="shared" si="8"/>
        <v>4500</v>
      </c>
      <c r="BO46" s="20">
        <f t="shared" si="8"/>
        <v>4500</v>
      </c>
      <c r="BP46" s="20">
        <f t="shared" si="8"/>
        <v>4500</v>
      </c>
      <c r="BQ46" s="20">
        <f t="shared" si="8"/>
        <v>4500</v>
      </c>
      <c r="BR46" s="20">
        <f t="shared" si="8"/>
        <v>4500</v>
      </c>
      <c r="BS46" s="20">
        <f t="shared" si="8"/>
        <v>4500</v>
      </c>
      <c r="BT46" s="20">
        <f t="shared" si="8"/>
        <v>4500</v>
      </c>
      <c r="BU46" s="20">
        <f t="shared" si="8"/>
        <v>4500</v>
      </c>
      <c r="BV46" s="20">
        <f t="shared" si="8"/>
        <v>4500</v>
      </c>
      <c r="BW46" s="20">
        <f t="shared" si="8"/>
        <v>4500</v>
      </c>
      <c r="BX46" s="20">
        <f t="shared" si="8"/>
        <v>4500</v>
      </c>
      <c r="BY46" s="20">
        <f t="shared" si="8"/>
        <v>4500</v>
      </c>
      <c r="BZ46" s="20">
        <f t="shared" si="8"/>
        <v>4500</v>
      </c>
      <c r="CA46" s="20">
        <f t="shared" si="8"/>
        <v>4500</v>
      </c>
      <c r="CB46" s="20">
        <f t="shared" si="8"/>
        <v>4500</v>
      </c>
      <c r="CC46" s="20">
        <f t="shared" si="8"/>
        <v>4500</v>
      </c>
      <c r="CD46" s="20">
        <f t="shared" si="8"/>
        <v>4500</v>
      </c>
      <c r="CE46" s="20">
        <f t="shared" si="8"/>
        <v>4500</v>
      </c>
      <c r="CF46" s="20">
        <f t="shared" si="8"/>
        <v>4500</v>
      </c>
      <c r="CG46" s="20">
        <f t="shared" si="8"/>
        <v>4500</v>
      </c>
      <c r="CH46" s="20">
        <f t="shared" si="8"/>
        <v>4500</v>
      </c>
      <c r="CI46" s="20">
        <f t="shared" si="8"/>
        <v>4500</v>
      </c>
      <c r="CJ46" s="20">
        <f t="shared" si="8"/>
        <v>4500</v>
      </c>
      <c r="CK46" s="20">
        <f t="shared" si="8"/>
        <v>4500</v>
      </c>
      <c r="CL46" s="20">
        <f t="shared" si="8"/>
        <v>4500</v>
      </c>
      <c r="CM46" s="20">
        <f t="shared" si="8"/>
        <v>4500</v>
      </c>
      <c r="CN46" s="20">
        <f t="shared" si="8"/>
        <v>4500</v>
      </c>
      <c r="CO46" s="20">
        <f t="shared" si="8"/>
        <v>4500</v>
      </c>
      <c r="CP46" s="20">
        <f t="shared" si="8"/>
        <v>4500</v>
      </c>
      <c r="CQ46" s="20">
        <f t="shared" si="8"/>
        <v>4500</v>
      </c>
      <c r="CR46" s="20">
        <f t="shared" si="8"/>
        <v>4500</v>
      </c>
      <c r="CS46" s="20">
        <f t="shared" si="8"/>
        <v>4500</v>
      </c>
      <c r="CT46" s="20">
        <f t="shared" si="8"/>
        <v>4500</v>
      </c>
      <c r="CU46" s="20">
        <f t="shared" si="8"/>
        <v>4500</v>
      </c>
    </row>
    <row r="47" spans="1:99" x14ac:dyDescent="0.25">
      <c r="A47" s="11" t="s">
        <v>5</v>
      </c>
      <c r="B47" s="11" t="s">
        <v>183</v>
      </c>
      <c r="C47" s="11" t="s">
        <v>157</v>
      </c>
      <c r="D47" s="37">
        <v>0</v>
      </c>
      <c r="E47" s="11">
        <v>50</v>
      </c>
      <c r="F47" s="11">
        <f>D47*E47</f>
        <v>0</v>
      </c>
      <c r="G47" s="42">
        <f>F47</f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f>($D$47*$E$47)/60</f>
        <v>0</v>
      </c>
      <c r="AO47" s="20">
        <f t="shared" ref="AO47:CU47" si="9">($D$47*$E$47)/60</f>
        <v>0</v>
      </c>
      <c r="AP47" s="20">
        <f t="shared" si="9"/>
        <v>0</v>
      </c>
      <c r="AQ47" s="20">
        <f t="shared" si="9"/>
        <v>0</v>
      </c>
      <c r="AR47" s="20">
        <f t="shared" si="9"/>
        <v>0</v>
      </c>
      <c r="AS47" s="20">
        <f t="shared" si="9"/>
        <v>0</v>
      </c>
      <c r="AT47" s="20">
        <f t="shared" si="9"/>
        <v>0</v>
      </c>
      <c r="AU47" s="20">
        <f t="shared" si="9"/>
        <v>0</v>
      </c>
      <c r="AV47" s="20">
        <f t="shared" si="9"/>
        <v>0</v>
      </c>
      <c r="AW47" s="20">
        <f t="shared" si="9"/>
        <v>0</v>
      </c>
      <c r="AX47" s="20">
        <f t="shared" si="9"/>
        <v>0</v>
      </c>
      <c r="AY47" s="20">
        <f t="shared" si="9"/>
        <v>0</v>
      </c>
      <c r="AZ47" s="20">
        <f t="shared" si="9"/>
        <v>0</v>
      </c>
      <c r="BA47" s="20">
        <f t="shared" si="9"/>
        <v>0</v>
      </c>
      <c r="BB47" s="20">
        <f t="shared" si="9"/>
        <v>0</v>
      </c>
      <c r="BC47" s="20">
        <f t="shared" si="9"/>
        <v>0</v>
      </c>
      <c r="BD47" s="20">
        <f t="shared" si="9"/>
        <v>0</v>
      </c>
      <c r="BE47" s="20">
        <f t="shared" si="9"/>
        <v>0</v>
      </c>
      <c r="BF47" s="20">
        <f t="shared" si="9"/>
        <v>0</v>
      </c>
      <c r="BG47" s="20">
        <f t="shared" si="9"/>
        <v>0</v>
      </c>
      <c r="BH47" s="20">
        <f t="shared" si="9"/>
        <v>0</v>
      </c>
      <c r="BI47" s="20">
        <f t="shared" si="9"/>
        <v>0</v>
      </c>
      <c r="BJ47" s="20">
        <f t="shared" si="9"/>
        <v>0</v>
      </c>
      <c r="BK47" s="20">
        <f t="shared" si="9"/>
        <v>0</v>
      </c>
      <c r="BL47" s="20">
        <f t="shared" si="9"/>
        <v>0</v>
      </c>
      <c r="BM47" s="20">
        <f t="shared" si="9"/>
        <v>0</v>
      </c>
      <c r="BN47" s="20">
        <f t="shared" si="9"/>
        <v>0</v>
      </c>
      <c r="BO47" s="20">
        <f t="shared" si="9"/>
        <v>0</v>
      </c>
      <c r="BP47" s="20">
        <f t="shared" si="9"/>
        <v>0</v>
      </c>
      <c r="BQ47" s="20">
        <f t="shared" si="9"/>
        <v>0</v>
      </c>
      <c r="BR47" s="20">
        <f t="shared" si="9"/>
        <v>0</v>
      </c>
      <c r="BS47" s="20">
        <f t="shared" si="9"/>
        <v>0</v>
      </c>
      <c r="BT47" s="20">
        <f t="shared" si="9"/>
        <v>0</v>
      </c>
      <c r="BU47" s="20">
        <f t="shared" si="9"/>
        <v>0</v>
      </c>
      <c r="BV47" s="20">
        <f t="shared" si="9"/>
        <v>0</v>
      </c>
      <c r="BW47" s="20">
        <f t="shared" si="9"/>
        <v>0</v>
      </c>
      <c r="BX47" s="20">
        <f t="shared" si="9"/>
        <v>0</v>
      </c>
      <c r="BY47" s="20">
        <f t="shared" si="9"/>
        <v>0</v>
      </c>
      <c r="BZ47" s="20">
        <f t="shared" si="9"/>
        <v>0</v>
      </c>
      <c r="CA47" s="20">
        <f t="shared" si="9"/>
        <v>0</v>
      </c>
      <c r="CB47" s="20">
        <f t="shared" si="9"/>
        <v>0</v>
      </c>
      <c r="CC47" s="20">
        <f t="shared" si="9"/>
        <v>0</v>
      </c>
      <c r="CD47" s="20">
        <f t="shared" si="9"/>
        <v>0</v>
      </c>
      <c r="CE47" s="20">
        <f t="shared" si="9"/>
        <v>0</v>
      </c>
      <c r="CF47" s="20">
        <f t="shared" si="9"/>
        <v>0</v>
      </c>
      <c r="CG47" s="20">
        <f t="shared" si="9"/>
        <v>0</v>
      </c>
      <c r="CH47" s="20">
        <f t="shared" si="9"/>
        <v>0</v>
      </c>
      <c r="CI47" s="20">
        <f t="shared" si="9"/>
        <v>0</v>
      </c>
      <c r="CJ47" s="20">
        <f t="shared" si="9"/>
        <v>0</v>
      </c>
      <c r="CK47" s="20">
        <f t="shared" si="9"/>
        <v>0</v>
      </c>
      <c r="CL47" s="20">
        <f t="shared" si="9"/>
        <v>0</v>
      </c>
      <c r="CM47" s="20">
        <f t="shared" si="9"/>
        <v>0</v>
      </c>
      <c r="CN47" s="20">
        <f t="shared" si="9"/>
        <v>0</v>
      </c>
      <c r="CO47" s="20">
        <f t="shared" si="9"/>
        <v>0</v>
      </c>
      <c r="CP47" s="20">
        <f t="shared" si="9"/>
        <v>0</v>
      </c>
      <c r="CQ47" s="20">
        <f t="shared" si="9"/>
        <v>0</v>
      </c>
      <c r="CR47" s="20">
        <f t="shared" si="9"/>
        <v>0</v>
      </c>
      <c r="CS47" s="20">
        <f t="shared" si="9"/>
        <v>0</v>
      </c>
      <c r="CT47" s="20">
        <f t="shared" si="9"/>
        <v>0</v>
      </c>
      <c r="CU47" s="20">
        <f t="shared" si="9"/>
        <v>0</v>
      </c>
    </row>
    <row r="48" spans="1:99" x14ac:dyDescent="0.25">
      <c r="A48" s="11" t="s">
        <v>184</v>
      </c>
      <c r="B48" s="11" t="s">
        <v>185</v>
      </c>
      <c r="C48" s="11" t="s">
        <v>5</v>
      </c>
      <c r="F48" s="43"/>
      <c r="G48" s="45">
        <f>SUM(F43:F47)</f>
        <v>2768976</v>
      </c>
      <c r="H48" s="39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 spans="1:99" x14ac:dyDescent="0.25">
      <c r="A49" s="11" t="s">
        <v>184</v>
      </c>
      <c r="B49" s="11" t="s">
        <v>185</v>
      </c>
      <c r="C49" s="11" t="s">
        <v>90</v>
      </c>
      <c r="F49" s="43"/>
      <c r="G49" s="45">
        <f>-SUM(F2:F42)</f>
        <v>-5319670.4788241154</v>
      </c>
      <c r="H49" s="39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 spans="1:99" x14ac:dyDescent="0.25">
      <c r="A50" s="11" t="s">
        <v>184</v>
      </c>
      <c r="B50" s="11" t="s">
        <v>185</v>
      </c>
      <c r="C50" s="11" t="s">
        <v>186</v>
      </c>
      <c r="F50" s="43"/>
      <c r="G50" s="45">
        <f>SUM(G48:G49)</f>
        <v>-2550694.4788241154</v>
      </c>
      <c r="H50" s="39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 spans="1:99" x14ac:dyDescent="0.25">
      <c r="A51" s="11" t="s">
        <v>184</v>
      </c>
      <c r="B51" s="11" t="s">
        <v>185</v>
      </c>
      <c r="C51" s="11" t="s">
        <v>187</v>
      </c>
      <c r="F51" s="43"/>
      <c r="G51" s="46">
        <f>G50/-G49</f>
        <v>-0.47948354864791037</v>
      </c>
      <c r="H51" s="39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 spans="1:99" x14ac:dyDescent="0.25">
      <c r="A52" s="11" t="s">
        <v>184</v>
      </c>
      <c r="B52" s="11" t="s">
        <v>188</v>
      </c>
      <c r="C52" s="11" t="s">
        <v>189</v>
      </c>
      <c r="F52" s="43"/>
      <c r="G52" s="47"/>
      <c r="H52" s="40">
        <f>SUM(H2:H47)</f>
        <v>0</v>
      </c>
      <c r="I52" s="25">
        <f>SUM(I2:I47)</f>
        <v>-7018</v>
      </c>
      <c r="J52" s="25">
        <f>SUM(J2:J47)</f>
        <v>0</v>
      </c>
      <c r="K52" s="25">
        <f>SUM(K2:K47)</f>
        <v>-10744.64636813494</v>
      </c>
      <c r="L52" s="25">
        <f>SUM(L2:L47)</f>
        <v>0</v>
      </c>
      <c r="M52" s="25">
        <f>SUM(M2:M47)</f>
        <v>-92785.70346182806</v>
      </c>
      <c r="N52" s="25">
        <f>SUM(N2:N47)</f>
        <v>-1582.3080000000002</v>
      </c>
      <c r="O52" s="25">
        <f>SUM(O2:O47)</f>
        <v>0</v>
      </c>
      <c r="P52" s="25">
        <f>SUM(P2:P47)</f>
        <v>-140939.4288949469</v>
      </c>
      <c r="Q52" s="25">
        <f>SUM(Q2:Q47)</f>
        <v>-30216.422315164797</v>
      </c>
      <c r="R52" s="25">
        <f>SUM(R2:R47)</f>
        <v>-3847.6463681349401</v>
      </c>
      <c r="S52" s="25">
        <f>SUM(S2:S47)</f>
        <v>0</v>
      </c>
      <c r="T52" s="25">
        <f>SUM(T2:T47)</f>
        <v>-120865.68926065919</v>
      </c>
      <c r="U52" s="25">
        <f>SUM(U2:U47)</f>
        <v>0</v>
      </c>
      <c r="V52" s="25">
        <f>SUM(V2:V47)</f>
        <v>0</v>
      </c>
      <c r="W52" s="25">
        <f>SUM(W2:W47)</f>
        <v>-25959.239612987436</v>
      </c>
      <c r="X52" s="25">
        <f>SUM(X2:X47)</f>
        <v>-147255.01511281598</v>
      </c>
      <c r="Y52" s="25">
        <f>SUM(Y2:Y47)</f>
        <v>-193406.72478943015</v>
      </c>
      <c r="Z52" s="25">
        <f>SUM(Z2:Z47)</f>
        <v>-105214.78170512938</v>
      </c>
      <c r="AA52" s="25">
        <f>SUM(AA2:AA47)</f>
        <v>-166718.68896956189</v>
      </c>
      <c r="AB52" s="25">
        <f>SUM(AB2:AB47)</f>
        <v>-247298.83405012835</v>
      </c>
      <c r="AC52" s="25">
        <f>SUM(AC2:AC47)</f>
        <v>-343263.23910082976</v>
      </c>
      <c r="AD52" s="25">
        <f>SUM(AD2:AD47)</f>
        <v>-285248.04261009849</v>
      </c>
      <c r="AE52" s="25">
        <f>SUM(AE2:AE47)</f>
        <v>-257932.1453790293</v>
      </c>
      <c r="AF52" s="25">
        <f>SUM(AF2:AF47)</f>
        <v>-250700.50372448986</v>
      </c>
      <c r="AG52" s="25">
        <f>SUM(AG2:AG47)</f>
        <v>-252804.53366957314</v>
      </c>
      <c r="AH52" s="25">
        <f>SUM(AH2:AH47)</f>
        <v>-289150.50946116925</v>
      </c>
      <c r="AI52" s="25">
        <f>SUM(AI2:AI47)</f>
        <v>-450023.72097546374</v>
      </c>
      <c r="AJ52" s="25">
        <f>SUM(AJ2:AJ47)</f>
        <v>-573533.25459363451</v>
      </c>
      <c r="AK52" s="25">
        <f>SUM(AK2:AK47)</f>
        <v>-435522.46738354745</v>
      </c>
      <c r="AL52" s="25">
        <f>SUM(AL2:AL47)</f>
        <v>-313073.83672145184</v>
      </c>
      <c r="AM52" s="25">
        <f>SUM(AM2:AM47)</f>
        <v>-241133.49587367254</v>
      </c>
      <c r="AN52" s="25">
        <f>SUM(AN2:AN47)</f>
        <v>1061205.8368119095</v>
      </c>
      <c r="AO52" s="25">
        <f>SUM(AO2:AO47)</f>
        <v>-5241.454750130868</v>
      </c>
      <c r="AP52" s="25">
        <f>SUM(AP2:AP47)</f>
        <v>-5089.9043169696397</v>
      </c>
      <c r="AQ52" s="25">
        <f>SUM(AQ2:AQ47)</f>
        <v>-4937.9118617116928</v>
      </c>
      <c r="AR52" s="25">
        <f>SUM(AR2:AR47)</f>
        <v>-4785.4760951259068</v>
      </c>
      <c r="AS52" s="25">
        <f>SUM(AS2:AS47)</f>
        <v>-4632.5957242209151</v>
      </c>
      <c r="AT52" s="25">
        <f>SUM(AT2:AT47)</f>
        <v>-4479.2694522341153</v>
      </c>
      <c r="AU52" s="25">
        <f>SUM(AU2:AU47)</f>
        <v>-4325.4959786206873</v>
      </c>
      <c r="AV52" s="25">
        <f>SUM(AV2:AV47)</f>
        <v>-4171.2739990425544</v>
      </c>
      <c r="AW52" s="25">
        <f>SUM(AW2:AW47)</f>
        <v>-4016.6022053573215</v>
      </c>
      <c r="AX52" s="25">
        <f>SUM(AX2:AX47)</f>
        <v>-3861.4792856071672</v>
      </c>
      <c r="AY52" s="25">
        <f>SUM(AY2:AY47)</f>
        <v>-3705.9039240077454</v>
      </c>
      <c r="AZ52" s="25">
        <f>SUM(AZ2:AZ47)</f>
        <v>-3549.8748009369911</v>
      </c>
      <c r="BA52" s="25">
        <f>SUM(BA2:BA47)</f>
        <v>-3393.390592923949</v>
      </c>
      <c r="BB52" s="25">
        <f>SUM(BB2:BB47)</f>
        <v>-3236.4499726375334</v>
      </c>
      <c r="BC52" s="25">
        <f>SUM(BC2:BC47)</f>
        <v>-3079.051608875282</v>
      </c>
      <c r="BD52" s="25">
        <f>SUM(BD2:BD47)</f>
        <v>-2921.1941665520571</v>
      </c>
      <c r="BE52" s="25">
        <f>SUM(BE2:BE47)</f>
        <v>-2762.8763066887259</v>
      </c>
      <c r="BF52" s="25">
        <f>SUM(BF2:BF47)</f>
        <v>-2604.0966864007905</v>
      </c>
      <c r="BG52" s="25">
        <f>SUM(BG2:BG47)</f>
        <v>-2444.8539588870162</v>
      </c>
      <c r="BH52" s="25">
        <f>SUM(BH2:BH47)</f>
        <v>-2285.1467734179914</v>
      </c>
      <c r="BI52" s="25">
        <f>SUM(BI2:BI47)</f>
        <v>-2124.9737753246836</v>
      </c>
      <c r="BJ52" s="25">
        <f>SUM(BJ2:BJ47)</f>
        <v>-1964.333605986938</v>
      </c>
      <c r="BK52" s="25">
        <f>SUM(BK2:BK47)</f>
        <v>-1803.2249028219567</v>
      </c>
      <c r="BL52" s="25">
        <f>SUM(BL2:BL47)</f>
        <v>-1641.6462992727447</v>
      </c>
      <c r="BM52" s="25">
        <f>SUM(BM2:BM47)</f>
        <v>-1479.596424796513</v>
      </c>
      <c r="BN52" s="25">
        <f>SUM(BN2:BN47)</f>
        <v>-1317.0739048530595</v>
      </c>
      <c r="BO52" s="25">
        <f>SUM(BO2:BO47)</f>
        <v>-1154.0773608931049</v>
      </c>
      <c r="BP52" s="25">
        <f>SUM(BP2:BP47)</f>
        <v>-990.60541034660037</v>
      </c>
      <c r="BQ52" s="25">
        <f>SUM(BQ2:BQ47)</f>
        <v>-826.65666661100022</v>
      </c>
      <c r="BR52" s="25">
        <f>SUM(BR2:BR47)</f>
        <v>-662.22973903950515</v>
      </c>
      <c r="BS52" s="25">
        <f>SUM(BS2:BS47)</f>
        <v>-497.32323292926048</v>
      </c>
      <c r="BT52" s="25">
        <f>SUM(BT2:BT47)</f>
        <v>-331.93574950952825</v>
      </c>
      <c r="BU52" s="25">
        <f>SUM(BU2:BU47)</f>
        <v>-166.06588592982098</v>
      </c>
      <c r="BV52" s="25">
        <f>SUM(BV2:BV47)</f>
        <v>0.28776475199356355</v>
      </c>
      <c r="BW52" s="25">
        <f>SUM(BW2:BW47)</f>
        <v>167.12661358163041</v>
      </c>
      <c r="BX52" s="25">
        <f>SUM(BX2:BX47)</f>
        <v>334.4520757203536</v>
      </c>
      <c r="BY52" s="25">
        <f>SUM(BY2:BY47)</f>
        <v>502.26557045698064</v>
      </c>
      <c r="BZ52" s="25">
        <f>SUM(BZ2:BZ47)</f>
        <v>670.56852121992415</v>
      </c>
      <c r="CA52" s="25">
        <f>SUM(CA2:CA47)</f>
        <v>839.36235558926001</v>
      </c>
      <c r="CB52" s="25">
        <f>SUM(CB2:CB47)</f>
        <v>1008.6485053088381</v>
      </c>
      <c r="CC52" s="25">
        <f>SUM(CC2:CC47)</f>
        <v>1178.4284062984316</v>
      </c>
      <c r="CD52" s="25">
        <f>SUM(CD2:CD47)</f>
        <v>1348.7034986659123</v>
      </c>
      <c r="CE52" s="25">
        <f>SUM(CE2:CE47)</f>
        <v>1519.4752267194649</v>
      </c>
      <c r="CF52" s="25">
        <f>SUM(CF2:CF47)</f>
        <v>1690.74503897984</v>
      </c>
      <c r="CG52" s="25">
        <f>SUM(CG2:CG47)</f>
        <v>1862.5143881926415</v>
      </c>
      <c r="CH52" s="25">
        <f>SUM(CH2:CH47)</f>
        <v>2034.7847313406464</v>
      </c>
      <c r="CI52" s="25">
        <f>SUM(CI2:CI47)</f>
        <v>2207.5575296561669</v>
      </c>
      <c r="CJ52" s="25">
        <f>SUM(CJ2:CJ47)</f>
        <v>2380.8342486334409</v>
      </c>
      <c r="CK52" s="25">
        <f>SUM(CK2:CK47)</f>
        <v>2554.6163580410648</v>
      </c>
      <c r="CL52" s="25">
        <f>SUM(CL2:CL47)</f>
        <v>2728.9053319344612</v>
      </c>
      <c r="CM52" s="25">
        <f>SUM(CM2:CM47)</f>
        <v>2903.7026486683808</v>
      </c>
      <c r="CN52" s="25">
        <f>SUM(CN2:CN47)</f>
        <v>3079.0097909094397</v>
      </c>
      <c r="CO52" s="25">
        <f>SUM(CO2:CO47)</f>
        <v>3254.8282456487023</v>
      </c>
      <c r="CP52" s="25">
        <f>SUM(CP2:CP47)</f>
        <v>3431.1595042142876</v>
      </c>
      <c r="CQ52" s="25">
        <f>SUM(CQ2:CQ47)</f>
        <v>3608.0050622840226</v>
      </c>
      <c r="CR52" s="25">
        <f>SUM(CR2:CR47)</f>
        <v>3785.3664198981278</v>
      </c>
      <c r="CS52" s="25">
        <f>SUM(CS2:CS47)</f>
        <v>3963.2450814719405</v>
      </c>
      <c r="CT52" s="25">
        <f>SUM(CT2:CT47)</f>
        <v>4141.6425558086776</v>
      </c>
      <c r="CU52" s="25">
        <f>SUM(CU2:CU47)</f>
        <v>1413626.0438507008</v>
      </c>
    </row>
    <row r="53" spans="1:99" x14ac:dyDescent="0.25">
      <c r="A53" s="11" t="s">
        <v>184</v>
      </c>
      <c r="B53" s="11" t="s">
        <v>188</v>
      </c>
      <c r="C53" s="11" t="s">
        <v>190</v>
      </c>
      <c r="F53" s="43"/>
      <c r="G53" s="46">
        <f>SUM(H52:CU52)</f>
        <v>-2550694.8076839428</v>
      </c>
      <c r="H53" s="28">
        <f>SUM(H52:R52)</f>
        <v>-287134.15540820966</v>
      </c>
      <c r="I53" s="28"/>
      <c r="J53" s="28"/>
      <c r="K53" s="28"/>
      <c r="L53" s="28"/>
      <c r="M53" s="28"/>
      <c r="N53" s="28"/>
      <c r="O53" s="28"/>
      <c r="P53" s="28"/>
      <c r="Q53" s="28"/>
      <c r="R53" s="29"/>
      <c r="S53" s="27">
        <f>SUM(S52:AD52)</f>
        <v>-1635230.2552116406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9"/>
      <c r="AE53" s="27">
        <f>SUM(AE52:AP52)</f>
        <v>-2012999.9900372224</v>
      </c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27">
        <f>SUM(AQ52:BB52)</f>
        <v>-49095.723892426584</v>
      </c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9"/>
      <c r="BC53" s="27">
        <f>SUM(BC52:BN52)</f>
        <v>-26428.068413877754</v>
      </c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9"/>
      <c r="BO53" s="27">
        <f>SUM(BO52:BZ52)</f>
        <v>-2954.193499527938</v>
      </c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9"/>
      <c r="CA53" s="27">
        <f>SUM(CA52:CL52)</f>
        <v>21354.57561936017</v>
      </c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9"/>
      <c r="CM53" s="27">
        <f>SUM(CM52:CU52)</f>
        <v>1441793.0031596045</v>
      </c>
      <c r="CN53" s="28"/>
      <c r="CO53" s="28"/>
      <c r="CP53" s="28"/>
      <c r="CQ53" s="28"/>
      <c r="CR53" s="28"/>
      <c r="CS53" s="28"/>
      <c r="CT53" s="28"/>
      <c r="CU53" s="29"/>
    </row>
    <row r="54" spans="1:99" x14ac:dyDescent="0.25">
      <c r="A54" s="11" t="s">
        <v>184</v>
      </c>
      <c r="B54" s="11" t="s">
        <v>191</v>
      </c>
      <c r="C54" s="11" t="s">
        <v>192</v>
      </c>
      <c r="F54" s="43"/>
      <c r="G54" s="45">
        <v>0.06</v>
      </c>
      <c r="H54" s="39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 spans="1:99" x14ac:dyDescent="0.25">
      <c r="A55" s="11" t="s">
        <v>184</v>
      </c>
      <c r="B55" s="11" t="s">
        <v>191</v>
      </c>
      <c r="C55" s="11" t="s">
        <v>91</v>
      </c>
      <c r="F55" s="43"/>
      <c r="G55" s="45">
        <f xml:space="preserve"> (1+G54)^(1/12)-1</f>
        <v>4.8675505653430484E-3</v>
      </c>
      <c r="H55" s="39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 spans="1:99" x14ac:dyDescent="0.25">
      <c r="A56" s="11" t="s">
        <v>184</v>
      </c>
      <c r="B56" s="11" t="s">
        <v>191</v>
      </c>
      <c r="C56" s="11" t="s">
        <v>92</v>
      </c>
      <c r="F56" s="43"/>
      <c r="G56" s="45">
        <v>5.0000000000000001E-4</v>
      </c>
      <c r="H56" s="39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 spans="1:99" x14ac:dyDescent="0.25">
      <c r="A57" s="11" t="s">
        <v>184</v>
      </c>
      <c r="B57" s="11" t="s">
        <v>193</v>
      </c>
      <c r="C57" s="11" t="s">
        <v>93</v>
      </c>
      <c r="F57" s="43"/>
      <c r="G57" s="45">
        <f>NPV(G55,Q52:CU52)+SUM(H52:P52)</f>
        <v>-2779568.4119279208</v>
      </c>
      <c r="H57" s="41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</row>
    <row r="58" spans="1:99" x14ac:dyDescent="0.25">
      <c r="A58" s="11" t="s">
        <v>184</v>
      </c>
      <c r="B58" s="11" t="s">
        <v>193</v>
      </c>
      <c r="C58" s="11" t="s">
        <v>94</v>
      </c>
      <c r="F58" s="43"/>
      <c r="G58" s="45">
        <f>CU58</f>
        <v>-6.0795687666467257E-3</v>
      </c>
      <c r="H58" s="40"/>
      <c r="I58" s="25">
        <f>MIRR(H52:I52,G56,G55)</f>
        <v>-1</v>
      </c>
      <c r="J58" s="25">
        <f>MIRR($H$52:J52,$G$56,$G$55)</f>
        <v>-1</v>
      </c>
      <c r="K58" s="25">
        <f>MIRR($H$52:K52,$G$56,$G$55)</f>
        <v>-1</v>
      </c>
      <c r="L58" s="25">
        <f>MIRR($H$52:L52,$G$56,$G$55)</f>
        <v>-1</v>
      </c>
      <c r="M58" s="25">
        <f>MIRR($H$52:M52,$G$56,$G$55)</f>
        <v>-1</v>
      </c>
      <c r="N58" s="25">
        <f>MIRR($H$52:N52,$G$56,$G$55)</f>
        <v>-1</v>
      </c>
      <c r="O58" s="25">
        <f>MIRR($H$52:O52,$G$56,$G$55)</f>
        <v>-1</v>
      </c>
      <c r="P58" s="25">
        <f>MIRR($H$52:P52,$G$56,$G$55)</f>
        <v>-1</v>
      </c>
      <c r="Q58" s="25">
        <f>MIRR($H$52:Q52,$G$56,$G$55)</f>
        <v>-1</v>
      </c>
      <c r="R58" s="25">
        <f>MIRR($H$52:R52,$G$56,$G$55)</f>
        <v>-1</v>
      </c>
      <c r="S58" s="25">
        <f>MIRR($H$52:S52,$G$56,$G$55)</f>
        <v>-1</v>
      </c>
      <c r="T58" s="25">
        <f>MIRR($H$52:T52,$G$56,$G$55)</f>
        <v>-1</v>
      </c>
      <c r="U58" s="25">
        <f>MIRR($H$52:U52,$G$56,$G$55)</f>
        <v>-1</v>
      </c>
      <c r="V58" s="25">
        <f>MIRR($H$52:V52,$G$56,$G$55)</f>
        <v>-1</v>
      </c>
      <c r="W58" s="25">
        <f>MIRR($H$52:W52,$G$56,$G$55)</f>
        <v>-1</v>
      </c>
      <c r="X58" s="25">
        <f>MIRR($H$52:X52,$G$56,$G$55)</f>
        <v>-1</v>
      </c>
      <c r="Y58" s="25">
        <f>MIRR($H$52:Y52,$G$56,$G$55)</f>
        <v>-1</v>
      </c>
      <c r="Z58" s="25">
        <f>MIRR($H$52:Z52,$G$56,$G$55)</f>
        <v>-1</v>
      </c>
      <c r="AA58" s="25">
        <f>MIRR($H$52:AA52,$G$56,$G$55)</f>
        <v>-1</v>
      </c>
      <c r="AB58" s="25">
        <f>MIRR($H$52:AB52,$G$56,$G$55)</f>
        <v>-1</v>
      </c>
      <c r="AC58" s="25">
        <f>MIRR($H$52:AC52,$G$56,$G$55)</f>
        <v>-1</v>
      </c>
      <c r="AD58" s="25">
        <f>MIRR($H$52:AD52,$G$56,$G$55)</f>
        <v>-1</v>
      </c>
      <c r="AE58" s="25">
        <f>MIRR($H$52:AE52,$G$56,$G$55)</f>
        <v>-1</v>
      </c>
      <c r="AF58" s="25">
        <f>MIRR($H$52:AF52,$G$56,$G$55)</f>
        <v>-1</v>
      </c>
      <c r="AG58" s="25">
        <f>MIRR($H$52:AG52,$G$56,$G$55)</f>
        <v>-1</v>
      </c>
      <c r="AH58" s="25">
        <f>MIRR($H$52:AH52,$G$56,$G$55)</f>
        <v>-1</v>
      </c>
      <c r="AI58" s="25">
        <f>MIRR($H$52:AI52,$G$56,$G$55)</f>
        <v>-1</v>
      </c>
      <c r="AJ58" s="25">
        <f>MIRR($H$52:AJ52,$G$56,$G$55)</f>
        <v>-1</v>
      </c>
      <c r="AK58" s="25">
        <f>MIRR($H$52:AK52,$G$56,$G$55)</f>
        <v>-1</v>
      </c>
      <c r="AL58" s="25">
        <f>MIRR($H$52:AL52,$G$56,$G$55)</f>
        <v>-1</v>
      </c>
      <c r="AM58" s="25">
        <f>MIRR($H$52:AM52,$G$56,$G$55)</f>
        <v>-1</v>
      </c>
      <c r="AN58" s="25">
        <f>MIRR($H$52:AN52,$G$56,$G$55)</f>
        <v>-4.6854582139476131E-2</v>
      </c>
      <c r="AO58" s="25">
        <f>MIRR($H$52:AO52,$G$56,$G$55)</f>
        <v>-4.5357316617960719E-2</v>
      </c>
      <c r="AP58" s="25">
        <f>MIRR($H$52:AP52,$G$56,$G$55)</f>
        <v>-4.394508333607372E-2</v>
      </c>
      <c r="AQ58" s="25">
        <f>MIRR($H$52:AQ52,$G$56,$G$55)</f>
        <v>-4.2610767290562901E-2</v>
      </c>
      <c r="AR58" s="25">
        <f>MIRR($H$52:AR52,$G$56,$G$55)</f>
        <v>-4.134802561100559E-2</v>
      </c>
      <c r="AS58" s="25">
        <f>MIRR($H$52:AS52,$G$56,$G$55)</f>
        <v>-4.0151185592727789E-2</v>
      </c>
      <c r="AT58" s="25">
        <f>MIRR($H$52:AT52,$G$56,$G$55)</f>
        <v>-3.9015158469971722E-2</v>
      </c>
      <c r="AU58" s="25">
        <f>MIRR($H$52:AU52,$G$56,$G$55)</f>
        <v>-3.7935366166163664E-2</v>
      </c>
      <c r="AV58" s="25">
        <f>MIRR($H$52:AV52,$G$56,$G$55)</f>
        <v>-3.6907678798836163E-2</v>
      </c>
      <c r="AW58" s="25">
        <f>MIRR($H$52:AW52,$G$56,$G$55)</f>
        <v>-3.592836114129383E-2</v>
      </c>
      <c r="AX58" s="25">
        <f>MIRR($H$52:AX52,$G$56,$G$55)</f>
        <v>-3.4994026578550663E-2</v>
      </c>
      <c r="AY58" s="25">
        <f>MIRR($H$52:AY52,$G$56,$G$55)</f>
        <v>-3.4101597361718805E-2</v>
      </c>
      <c r="AZ58" s="25">
        <f>MIRR($H$52:AZ52,$G$56,$G$55)</f>
        <v>-3.3248270178207306E-2</v>
      </c>
      <c r="BA58" s="25">
        <f>MIRR($H$52:BA52,$G$56,$G$55)</f>
        <v>-3.243148622645442E-2</v>
      </c>
      <c r="BB58" s="25">
        <f>MIRR($H$52:BB52,$G$56,$G$55)</f>
        <v>-3.1648905122380944E-2</v>
      </c>
      <c r="BC58" s="25">
        <f>MIRR($H$52:BC52,$G$56,$G$55)</f>
        <v>-3.0898382077190534E-2</v>
      </c>
      <c r="BD58" s="25">
        <f>MIRR($H$52:BD52,$G$56,$G$55)</f>
        <v>-3.0177947877875311E-2</v>
      </c>
      <c r="BE58" s="25">
        <f>MIRR($H$52:BE52,$G$56,$G$55)</f>
        <v>-2.9485791276963713E-2</v>
      </c>
      <c r="BF58" s="25">
        <f>MIRR($H$52:BF52,$G$56,$G$55)</f>
        <v>-2.8820243459931727E-2</v>
      </c>
      <c r="BG58" s="25">
        <f>MIRR($H$52:BG52,$G$56,$G$55)</f>
        <v>-2.8179764309837485E-2</v>
      </c>
      <c r="BH58" s="25">
        <f>MIRR($H$52:BH52,$G$56,$G$55)</f>
        <v>-2.7562930231180283E-2</v>
      </c>
      <c r="BI58" s="25">
        <f>MIRR($H$52:BI52,$G$56,$G$55)</f>
        <v>-2.696842333033278E-2</v>
      </c>
      <c r="BJ58" s="25">
        <f>MIRR($H$52:BJ52,$G$56,$G$55)</f>
        <v>-2.6395021779443084E-2</v>
      </c>
      <c r="BK58" s="25">
        <f>MIRR($H$52:BK52,$G$56,$G$55)</f>
        <v>-2.584159121549634E-2</v>
      </c>
      <c r="BL58" s="25">
        <f>MIRR($H$52:BL52,$G$56,$G$55)</f>
        <v>-2.5307077047088455E-2</v>
      </c>
      <c r="BM58" s="25">
        <f>MIRR($H$52:BM52,$G$56,$G$55)</f>
        <v>-2.4790497559087243E-2</v>
      </c>
      <c r="BN58" s="25">
        <f>MIRR($H$52:BN52,$G$56,$G$55)</f>
        <v>-2.4290937720284345E-2</v>
      </c>
      <c r="BO58" s="25">
        <f>MIRR($H$52:BO52,$G$56,$G$55)</f>
        <v>-2.3807543611820581E-2</v>
      </c>
      <c r="BP58" s="25">
        <f>MIRR($H$52:BP52,$G$56,$G$55)</f>
        <v>-2.3339517404979193E-2</v>
      </c>
      <c r="BQ58" s="25">
        <f>MIRR($H$52:BQ52,$G$56,$G$55)</f>
        <v>-2.2886112826172478E-2</v>
      </c>
      <c r="BR58" s="25">
        <f>MIRR($H$52:BR52,$G$56,$G$55)</f>
        <v>-2.2446631054862665E-2</v>
      </c>
      <c r="BS58" s="25">
        <f>MIRR($H$52:BS52,$G$56,$G$55)</f>
        <v>-2.2020417006955118E-2</v>
      </c>
      <c r="BT58" s="25">
        <f>MIRR($H$52:BT52,$G$56,$G$55)</f>
        <v>-2.1606855962055582E-2</v>
      </c>
      <c r="BU58" s="25">
        <f>MIRR($H$52:BU52,$G$56,$G$55)</f>
        <v>-2.1205370498038723E-2</v>
      </c>
      <c r="BV58" s="25">
        <f>MIRR($H$52:BV52,$G$56,$G$55)</f>
        <v>-2.0815415113294655E-2</v>
      </c>
      <c r="BW58" s="25">
        <f>MIRR($H$52:BW52,$G$56,$G$55)</f>
        <v>-2.0435012553629672E-2</v>
      </c>
      <c r="BX58" s="25">
        <f>MIRR($H$52:BX52,$G$56,$G$55)</f>
        <v>-2.0063759336194309E-2</v>
      </c>
      <c r="BY58" s="25">
        <f>MIRR($H$52:BY52,$G$56,$G$55)</f>
        <v>-1.970127579631431E-2</v>
      </c>
      <c r="BZ58" s="25">
        <f>MIRR($H$52:BZ52,$G$56,$G$55)</f>
        <v>-1.934720438590265E-2</v>
      </c>
      <c r="CA58" s="25">
        <f>MIRR($H$52:CA52,$G$56,$G$55)</f>
        <v>-1.9001208113567647E-2</v>
      </c>
      <c r="CB58" s="25">
        <f>MIRR($H$52:CB52,$G$56,$G$55)</f>
        <v>-1.8662969112830052E-2</v>
      </c>
      <c r="CC58" s="25">
        <f>MIRR($H$52:CC52,$G$56,$G$55)</f>
        <v>-1.8332187326329574E-2</v>
      </c>
      <c r="CD58" s="25">
        <f>MIRR($H$52:CD52,$G$56,$G$55)</f>
        <v>-1.8008579295204719E-2</v>
      </c>
      <c r="CE58" s="25">
        <f>MIRR($H$52:CE52,$G$56,$G$55)</f>
        <v>-1.7691877043967907E-2</v>
      </c>
      <c r="CF58" s="25">
        <f>MIRR($H$52:CF52,$G$56,$G$55)</f>
        <v>-1.7381827052212029E-2</v>
      </c>
      <c r="CG58" s="25">
        <f>MIRR($H$52:CG52,$G$56,$G$55)</f>
        <v>-1.7078189305371971E-2</v>
      </c>
      <c r="CH58" s="25">
        <f>MIRR($H$52:CH52,$G$56,$G$55)</f>
        <v>-1.6780736417556619E-2</v>
      </c>
      <c r="CI58" s="25">
        <f>MIRR($H$52:CI52,$G$56,$G$55)</f>
        <v>-1.6489252820168221E-2</v>
      </c>
      <c r="CJ58" s="25">
        <f>MIRR($H$52:CJ52,$G$56,$G$55)</f>
        <v>-1.6203534010645892E-2</v>
      </c>
      <c r="CK58" s="25">
        <f>MIRR($H$52:CK52,$G$56,$G$55)</f>
        <v>-1.592338585622588E-2</v>
      </c>
      <c r="CL58" s="25">
        <f>MIRR($H$52:CL52,$G$56,$G$55)</f>
        <v>-1.5648623948103069E-2</v>
      </c>
      <c r="CM58" s="25">
        <f>MIRR($H$52:CM52,$G$56,$G$55)</f>
        <v>-1.5379073001819066E-2</v>
      </c>
      <c r="CN58" s="25">
        <f>MIRR($H$52:CN52,$G$56,$G$55)</f>
        <v>-1.5114566300094667E-2</v>
      </c>
      <c r="CO58" s="25">
        <f>MIRR($H$52:CO52,$G$56,$G$55)</f>
        <v>-1.4854945174678114E-2</v>
      </c>
      <c r="CP58" s="25">
        <f>MIRR($H$52:CP52,$G$56,$G$55)</f>
        <v>-1.4600058524093296E-2</v>
      </c>
      <c r="CQ58" s="25">
        <f>MIRR($H$52:CQ52,$G$56,$G$55)</f>
        <v>-1.4349762364456953E-2</v>
      </c>
      <c r="CR58" s="25">
        <f>MIRR($H$52:CR52,$G$56,$G$55)</f>
        <v>-1.4103919410787813E-2</v>
      </c>
      <c r="CS58" s="25">
        <f>MIRR($H$52:CS52,$G$56,$G$55)</f>
        <v>-1.3862398686456889E-2</v>
      </c>
      <c r="CT58" s="25">
        <f>MIRR($H$52:CT52,$G$56,$G$55)</f>
        <v>-1.3625075158637756E-2</v>
      </c>
      <c r="CU58" s="25">
        <f>MIRR($H$52:CU52,$G$56,$G$55)</f>
        <v>-6.0795687666467257E-3</v>
      </c>
    </row>
    <row r="59" spans="1:99" x14ac:dyDescent="0.25">
      <c r="F59" s="44"/>
      <c r="G59" s="45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phoneticPr fontId="7" type="noConversion"/>
  <conditionalFormatting sqref="AG19 AG22 AJ19 AJ22 AM19 AM22 AP22">
    <cfRule type="cellIs" dxfId="11" priority="10" stopIfTrue="1" operator="equal">
      <formula>#REF!</formula>
    </cfRule>
  </conditionalFormatting>
  <conditionalFormatting sqref="Y19:AF19 Y22:AF22 AH19:AI19 AH22:AI22 AK19:AL19 AK22:AL22 AN22:AO22 H33:V39 W33:CU36 W38:BC38 W39:CU39 H40:CU45 N24:R24 H23:M24 N23:CU23 H16:W17 Y16:CU16 X17:CU17 H6:W12 Y7:AM7 X8:AM8 X6:AM6 Z9:AM9 AN6:CU9 X9:Y12 Z10:CU12 H2:CU5 H13:CU15 H18:H22 AQ22:CU22 H25:CU32 K22:R22 K18:K21 Z18:AM18 Z21:AM21 X20:AL20 AT18:CU21">
    <cfRule type="cellIs" dxfId="10" priority="12" stopIfTrue="1" operator="equal">
      <formula>#REF!</formula>
    </cfRule>
  </conditionalFormatting>
  <conditionalFormatting sqref="X7 X16 X19 S22:X22 W37:CU37 S24:CU24">
    <cfRule type="cellIs" dxfId="9" priority="11" stopIfTrue="1" operator="equal">
      <formula>#REF!</formula>
    </cfRule>
  </conditionalFormatting>
  <conditionalFormatting sqref="H46:CU46">
    <cfRule type="cellIs" dxfId="8" priority="9" stopIfTrue="1" operator="equal">
      <formula>#REF!</formula>
    </cfRule>
  </conditionalFormatting>
  <conditionalFormatting sqref="H47:CU47">
    <cfRule type="cellIs" dxfId="7" priority="8" stopIfTrue="1" operator="equal">
      <formula>#REF!</formula>
    </cfRule>
  </conditionalFormatting>
  <conditionalFormatting sqref="I18:J22">
    <cfRule type="cellIs" dxfId="6" priority="7" stopIfTrue="1" operator="equal">
      <formula>#REF!</formula>
    </cfRule>
  </conditionalFormatting>
  <conditionalFormatting sqref="L18:R21">
    <cfRule type="cellIs" dxfId="5" priority="6" stopIfTrue="1" operator="equal">
      <formula>#REF!</formula>
    </cfRule>
  </conditionalFormatting>
  <conditionalFormatting sqref="S18:W21">
    <cfRule type="cellIs" dxfId="4" priority="5" stopIfTrue="1" operator="equal">
      <formula>#REF!</formula>
    </cfRule>
  </conditionalFormatting>
  <conditionalFormatting sqref="X21:Y21">
    <cfRule type="cellIs" dxfId="3" priority="4" stopIfTrue="1" operator="equal">
      <formula>#REF!</formula>
    </cfRule>
  </conditionalFormatting>
  <conditionalFormatting sqref="X18:Y18">
    <cfRule type="cellIs" dxfId="2" priority="3" stopIfTrue="1" operator="equal">
      <formula>#REF!</formula>
    </cfRule>
  </conditionalFormatting>
  <conditionalFormatting sqref="AM20">
    <cfRule type="cellIs" dxfId="1" priority="2" stopIfTrue="1" operator="equal">
      <formula>#REF!</formula>
    </cfRule>
  </conditionalFormatting>
  <conditionalFormatting sqref="AN18:AS21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M9 M6 N24 P24 X20 Z21 Q23 T23 AN25:AN27 AN32 K3:K4 W33:W36 P9 AN28:AN2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051-CD9C-419C-A37D-39726BB79649}">
  <sheetPr codeName="Hoja6"/>
  <dimension ref="B1:BQ144"/>
  <sheetViews>
    <sheetView workbookViewId="0">
      <selection activeCell="H4" sqref="H4:BO4"/>
    </sheetView>
  </sheetViews>
  <sheetFormatPr baseColWidth="10" defaultRowHeight="15" x14ac:dyDescent="0.25"/>
  <cols>
    <col min="2" max="2" width="15.28515625" bestFit="1" customWidth="1"/>
    <col min="3" max="3" width="20.28515625" customWidth="1"/>
    <col min="5" max="5" width="18.28515625" customWidth="1"/>
    <col min="12" max="12" width="11.42578125" style="1"/>
    <col min="258" max="258" width="15.28515625" bestFit="1" customWidth="1"/>
    <col min="259" max="259" width="20.28515625" customWidth="1"/>
    <col min="261" max="261" width="18.28515625" customWidth="1"/>
    <col min="514" max="514" width="15.28515625" bestFit="1" customWidth="1"/>
    <col min="515" max="515" width="20.28515625" customWidth="1"/>
    <col min="517" max="517" width="18.28515625" customWidth="1"/>
    <col min="770" max="770" width="15.28515625" bestFit="1" customWidth="1"/>
    <col min="771" max="771" width="20.28515625" customWidth="1"/>
    <col min="773" max="773" width="18.28515625" customWidth="1"/>
    <col min="1026" max="1026" width="15.28515625" bestFit="1" customWidth="1"/>
    <col min="1027" max="1027" width="20.28515625" customWidth="1"/>
    <col min="1029" max="1029" width="18.28515625" customWidth="1"/>
    <col min="1282" max="1282" width="15.28515625" bestFit="1" customWidth="1"/>
    <col min="1283" max="1283" width="20.28515625" customWidth="1"/>
    <col min="1285" max="1285" width="18.28515625" customWidth="1"/>
    <col min="1538" max="1538" width="15.28515625" bestFit="1" customWidth="1"/>
    <col min="1539" max="1539" width="20.28515625" customWidth="1"/>
    <col min="1541" max="1541" width="18.28515625" customWidth="1"/>
    <col min="1794" max="1794" width="15.28515625" bestFit="1" customWidth="1"/>
    <col min="1795" max="1795" width="20.28515625" customWidth="1"/>
    <col min="1797" max="1797" width="18.28515625" customWidth="1"/>
    <col min="2050" max="2050" width="15.28515625" bestFit="1" customWidth="1"/>
    <col min="2051" max="2051" width="20.28515625" customWidth="1"/>
    <col min="2053" max="2053" width="18.28515625" customWidth="1"/>
    <col min="2306" max="2306" width="15.28515625" bestFit="1" customWidth="1"/>
    <col min="2307" max="2307" width="20.28515625" customWidth="1"/>
    <col min="2309" max="2309" width="18.28515625" customWidth="1"/>
    <col min="2562" max="2562" width="15.28515625" bestFit="1" customWidth="1"/>
    <col min="2563" max="2563" width="20.28515625" customWidth="1"/>
    <col min="2565" max="2565" width="18.28515625" customWidth="1"/>
    <col min="2818" max="2818" width="15.28515625" bestFit="1" customWidth="1"/>
    <col min="2819" max="2819" width="20.28515625" customWidth="1"/>
    <col min="2821" max="2821" width="18.28515625" customWidth="1"/>
    <col min="3074" max="3074" width="15.28515625" bestFit="1" customWidth="1"/>
    <col min="3075" max="3075" width="20.28515625" customWidth="1"/>
    <col min="3077" max="3077" width="18.28515625" customWidth="1"/>
    <col min="3330" max="3330" width="15.28515625" bestFit="1" customWidth="1"/>
    <col min="3331" max="3331" width="20.28515625" customWidth="1"/>
    <col min="3333" max="3333" width="18.28515625" customWidth="1"/>
    <col min="3586" max="3586" width="15.28515625" bestFit="1" customWidth="1"/>
    <col min="3587" max="3587" width="20.28515625" customWidth="1"/>
    <col min="3589" max="3589" width="18.28515625" customWidth="1"/>
    <col min="3842" max="3842" width="15.28515625" bestFit="1" customWidth="1"/>
    <col min="3843" max="3843" width="20.28515625" customWidth="1"/>
    <col min="3845" max="3845" width="18.28515625" customWidth="1"/>
    <col min="4098" max="4098" width="15.28515625" bestFit="1" customWidth="1"/>
    <col min="4099" max="4099" width="20.28515625" customWidth="1"/>
    <col min="4101" max="4101" width="18.28515625" customWidth="1"/>
    <col min="4354" max="4354" width="15.28515625" bestFit="1" customWidth="1"/>
    <col min="4355" max="4355" width="20.28515625" customWidth="1"/>
    <col min="4357" max="4357" width="18.28515625" customWidth="1"/>
    <col min="4610" max="4610" width="15.28515625" bestFit="1" customWidth="1"/>
    <col min="4611" max="4611" width="20.28515625" customWidth="1"/>
    <col min="4613" max="4613" width="18.28515625" customWidth="1"/>
    <col min="4866" max="4866" width="15.28515625" bestFit="1" customWidth="1"/>
    <col min="4867" max="4867" width="20.28515625" customWidth="1"/>
    <col min="4869" max="4869" width="18.28515625" customWidth="1"/>
    <col min="5122" max="5122" width="15.28515625" bestFit="1" customWidth="1"/>
    <col min="5123" max="5123" width="20.28515625" customWidth="1"/>
    <col min="5125" max="5125" width="18.28515625" customWidth="1"/>
    <col min="5378" max="5378" width="15.28515625" bestFit="1" customWidth="1"/>
    <col min="5379" max="5379" width="20.28515625" customWidth="1"/>
    <col min="5381" max="5381" width="18.28515625" customWidth="1"/>
    <col min="5634" max="5634" width="15.28515625" bestFit="1" customWidth="1"/>
    <col min="5635" max="5635" width="20.28515625" customWidth="1"/>
    <col min="5637" max="5637" width="18.28515625" customWidth="1"/>
    <col min="5890" max="5890" width="15.28515625" bestFit="1" customWidth="1"/>
    <col min="5891" max="5891" width="20.28515625" customWidth="1"/>
    <col min="5893" max="5893" width="18.28515625" customWidth="1"/>
    <col min="6146" max="6146" width="15.28515625" bestFit="1" customWidth="1"/>
    <col min="6147" max="6147" width="20.28515625" customWidth="1"/>
    <col min="6149" max="6149" width="18.28515625" customWidth="1"/>
    <col min="6402" max="6402" width="15.28515625" bestFit="1" customWidth="1"/>
    <col min="6403" max="6403" width="20.28515625" customWidth="1"/>
    <col min="6405" max="6405" width="18.28515625" customWidth="1"/>
    <col min="6658" max="6658" width="15.28515625" bestFit="1" customWidth="1"/>
    <col min="6659" max="6659" width="20.28515625" customWidth="1"/>
    <col min="6661" max="6661" width="18.28515625" customWidth="1"/>
    <col min="6914" max="6914" width="15.28515625" bestFit="1" customWidth="1"/>
    <col min="6915" max="6915" width="20.28515625" customWidth="1"/>
    <col min="6917" max="6917" width="18.28515625" customWidth="1"/>
    <col min="7170" max="7170" width="15.28515625" bestFit="1" customWidth="1"/>
    <col min="7171" max="7171" width="20.28515625" customWidth="1"/>
    <col min="7173" max="7173" width="18.28515625" customWidth="1"/>
    <col min="7426" max="7426" width="15.28515625" bestFit="1" customWidth="1"/>
    <col min="7427" max="7427" width="20.28515625" customWidth="1"/>
    <col min="7429" max="7429" width="18.28515625" customWidth="1"/>
    <col min="7682" max="7682" width="15.28515625" bestFit="1" customWidth="1"/>
    <col min="7683" max="7683" width="20.28515625" customWidth="1"/>
    <col min="7685" max="7685" width="18.28515625" customWidth="1"/>
    <col min="7938" max="7938" width="15.28515625" bestFit="1" customWidth="1"/>
    <col min="7939" max="7939" width="20.28515625" customWidth="1"/>
    <col min="7941" max="7941" width="18.28515625" customWidth="1"/>
    <col min="8194" max="8194" width="15.28515625" bestFit="1" customWidth="1"/>
    <col min="8195" max="8195" width="20.28515625" customWidth="1"/>
    <col min="8197" max="8197" width="18.28515625" customWidth="1"/>
    <col min="8450" max="8450" width="15.28515625" bestFit="1" customWidth="1"/>
    <col min="8451" max="8451" width="20.28515625" customWidth="1"/>
    <col min="8453" max="8453" width="18.28515625" customWidth="1"/>
    <col min="8706" max="8706" width="15.28515625" bestFit="1" customWidth="1"/>
    <col min="8707" max="8707" width="20.28515625" customWidth="1"/>
    <col min="8709" max="8709" width="18.28515625" customWidth="1"/>
    <col min="8962" max="8962" width="15.28515625" bestFit="1" customWidth="1"/>
    <col min="8963" max="8963" width="20.28515625" customWidth="1"/>
    <col min="8965" max="8965" width="18.28515625" customWidth="1"/>
    <col min="9218" max="9218" width="15.28515625" bestFit="1" customWidth="1"/>
    <col min="9219" max="9219" width="20.28515625" customWidth="1"/>
    <col min="9221" max="9221" width="18.28515625" customWidth="1"/>
    <col min="9474" max="9474" width="15.28515625" bestFit="1" customWidth="1"/>
    <col min="9475" max="9475" width="20.28515625" customWidth="1"/>
    <col min="9477" max="9477" width="18.28515625" customWidth="1"/>
    <col min="9730" max="9730" width="15.28515625" bestFit="1" customWidth="1"/>
    <col min="9731" max="9731" width="20.28515625" customWidth="1"/>
    <col min="9733" max="9733" width="18.28515625" customWidth="1"/>
    <col min="9986" max="9986" width="15.28515625" bestFit="1" customWidth="1"/>
    <col min="9987" max="9987" width="20.28515625" customWidth="1"/>
    <col min="9989" max="9989" width="18.28515625" customWidth="1"/>
    <col min="10242" max="10242" width="15.28515625" bestFit="1" customWidth="1"/>
    <col min="10243" max="10243" width="20.28515625" customWidth="1"/>
    <col min="10245" max="10245" width="18.28515625" customWidth="1"/>
    <col min="10498" max="10498" width="15.28515625" bestFit="1" customWidth="1"/>
    <col min="10499" max="10499" width="20.28515625" customWidth="1"/>
    <col min="10501" max="10501" width="18.28515625" customWidth="1"/>
    <col min="10754" max="10754" width="15.28515625" bestFit="1" customWidth="1"/>
    <col min="10755" max="10755" width="20.28515625" customWidth="1"/>
    <col min="10757" max="10757" width="18.28515625" customWidth="1"/>
    <col min="11010" max="11010" width="15.28515625" bestFit="1" customWidth="1"/>
    <col min="11011" max="11011" width="20.28515625" customWidth="1"/>
    <col min="11013" max="11013" width="18.28515625" customWidth="1"/>
    <col min="11266" max="11266" width="15.28515625" bestFit="1" customWidth="1"/>
    <col min="11267" max="11267" width="20.28515625" customWidth="1"/>
    <col min="11269" max="11269" width="18.28515625" customWidth="1"/>
    <col min="11522" max="11522" width="15.28515625" bestFit="1" customWidth="1"/>
    <col min="11523" max="11523" width="20.28515625" customWidth="1"/>
    <col min="11525" max="11525" width="18.28515625" customWidth="1"/>
    <col min="11778" max="11778" width="15.28515625" bestFit="1" customWidth="1"/>
    <col min="11779" max="11779" width="20.28515625" customWidth="1"/>
    <col min="11781" max="11781" width="18.28515625" customWidth="1"/>
    <col min="12034" max="12034" width="15.28515625" bestFit="1" customWidth="1"/>
    <col min="12035" max="12035" width="20.28515625" customWidth="1"/>
    <col min="12037" max="12037" width="18.28515625" customWidth="1"/>
    <col min="12290" max="12290" width="15.28515625" bestFit="1" customWidth="1"/>
    <col min="12291" max="12291" width="20.28515625" customWidth="1"/>
    <col min="12293" max="12293" width="18.28515625" customWidth="1"/>
    <col min="12546" max="12546" width="15.28515625" bestFit="1" customWidth="1"/>
    <col min="12547" max="12547" width="20.28515625" customWidth="1"/>
    <col min="12549" max="12549" width="18.28515625" customWidth="1"/>
    <col min="12802" max="12802" width="15.28515625" bestFit="1" customWidth="1"/>
    <col min="12803" max="12803" width="20.28515625" customWidth="1"/>
    <col min="12805" max="12805" width="18.28515625" customWidth="1"/>
    <col min="13058" max="13058" width="15.28515625" bestFit="1" customWidth="1"/>
    <col min="13059" max="13059" width="20.28515625" customWidth="1"/>
    <col min="13061" max="13061" width="18.28515625" customWidth="1"/>
    <col min="13314" max="13314" width="15.28515625" bestFit="1" customWidth="1"/>
    <col min="13315" max="13315" width="20.28515625" customWidth="1"/>
    <col min="13317" max="13317" width="18.28515625" customWidth="1"/>
    <col min="13570" max="13570" width="15.28515625" bestFit="1" customWidth="1"/>
    <col min="13571" max="13571" width="20.28515625" customWidth="1"/>
    <col min="13573" max="13573" width="18.28515625" customWidth="1"/>
    <col min="13826" max="13826" width="15.28515625" bestFit="1" customWidth="1"/>
    <col min="13827" max="13827" width="20.28515625" customWidth="1"/>
    <col min="13829" max="13829" width="18.28515625" customWidth="1"/>
    <col min="14082" max="14082" width="15.28515625" bestFit="1" customWidth="1"/>
    <col min="14083" max="14083" width="20.28515625" customWidth="1"/>
    <col min="14085" max="14085" width="18.28515625" customWidth="1"/>
    <col min="14338" max="14338" width="15.28515625" bestFit="1" customWidth="1"/>
    <col min="14339" max="14339" width="20.28515625" customWidth="1"/>
    <col min="14341" max="14341" width="18.28515625" customWidth="1"/>
    <col min="14594" max="14594" width="15.28515625" bestFit="1" customWidth="1"/>
    <col min="14595" max="14595" width="20.28515625" customWidth="1"/>
    <col min="14597" max="14597" width="18.28515625" customWidth="1"/>
    <col min="14850" max="14850" width="15.28515625" bestFit="1" customWidth="1"/>
    <col min="14851" max="14851" width="20.28515625" customWidth="1"/>
    <col min="14853" max="14853" width="18.28515625" customWidth="1"/>
    <col min="15106" max="15106" width="15.28515625" bestFit="1" customWidth="1"/>
    <col min="15107" max="15107" width="20.28515625" customWidth="1"/>
    <col min="15109" max="15109" width="18.28515625" customWidth="1"/>
    <col min="15362" max="15362" width="15.28515625" bestFit="1" customWidth="1"/>
    <col min="15363" max="15363" width="20.28515625" customWidth="1"/>
    <col min="15365" max="15365" width="18.28515625" customWidth="1"/>
    <col min="15618" max="15618" width="15.28515625" bestFit="1" customWidth="1"/>
    <col min="15619" max="15619" width="20.28515625" customWidth="1"/>
    <col min="15621" max="15621" width="18.28515625" customWidth="1"/>
    <col min="15874" max="15874" width="15.28515625" bestFit="1" customWidth="1"/>
    <col min="15875" max="15875" width="20.28515625" customWidth="1"/>
    <col min="15877" max="15877" width="18.28515625" customWidth="1"/>
    <col min="16130" max="16130" width="15.28515625" bestFit="1" customWidth="1"/>
    <col min="16131" max="16131" width="20.28515625" customWidth="1"/>
    <col min="16133" max="16133" width="18.28515625" customWidth="1"/>
  </cols>
  <sheetData>
    <row r="1" spans="2:67" x14ac:dyDescent="0.25">
      <c r="B1" s="3" t="s">
        <v>95</v>
      </c>
    </row>
    <row r="2" spans="2:67" ht="26.25" x14ac:dyDescent="0.25">
      <c r="C2" s="4" t="s">
        <v>32</v>
      </c>
      <c r="E2" s="4" t="s">
        <v>147</v>
      </c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x14ac:dyDescent="0.25">
      <c r="B3" t="s">
        <v>30</v>
      </c>
      <c r="C3" s="1">
        <f>' Viabilidad 40 NE ampliando 1pl'!E38</f>
        <v>3391736.3830592926</v>
      </c>
      <c r="D3" s="1"/>
      <c r="E3" s="1">
        <f>' Viabilidad 40 NE ampliando 1pl'!E39</f>
        <v>3868206.6021645726</v>
      </c>
      <c r="H3" s="1" t="s">
        <v>148</v>
      </c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x14ac:dyDescent="0.25">
      <c r="B4" t="s">
        <v>33</v>
      </c>
      <c r="C4" s="5">
        <v>5</v>
      </c>
      <c r="E4" s="5">
        <v>1.3333299999999999</v>
      </c>
      <c r="H4" s="1">
        <v>-9892.5644466771682</v>
      </c>
      <c r="I4" s="1">
        <v>-9741.454750130868</v>
      </c>
      <c r="J4" s="1">
        <v>-9589.9043169696397</v>
      </c>
      <c r="K4" s="1">
        <v>-9437.9118617116928</v>
      </c>
      <c r="L4" s="1">
        <v>-9285.4760951259068</v>
      </c>
      <c r="M4" s="1">
        <v>-9132.5957242209151</v>
      </c>
      <c r="N4" s="1">
        <v>-8979.2694522341153</v>
      </c>
      <c r="O4" s="1">
        <v>-8825.4959786206873</v>
      </c>
      <c r="P4" s="1">
        <v>-8671.2739990425544</v>
      </c>
      <c r="Q4" s="1">
        <v>-8516.6022053573215</v>
      </c>
      <c r="R4" s="1">
        <v>-8361.4792856071672</v>
      </c>
      <c r="S4" s="1">
        <v>-8205.9039240077454</v>
      </c>
      <c r="T4" s="1">
        <v>-8049.8748009369911</v>
      </c>
      <c r="U4" s="1">
        <v>-7893.390592923949</v>
      </c>
      <c r="V4" s="1">
        <v>-7736.4499726375334</v>
      </c>
      <c r="W4" s="1">
        <v>-7579.051608875282</v>
      </c>
      <c r="X4" s="1">
        <v>-7421.1941665520571</v>
      </c>
      <c r="Y4" s="1">
        <v>-7262.8763066887259</v>
      </c>
      <c r="Z4" s="1">
        <v>-7104.0966864007905</v>
      </c>
      <c r="AA4" s="1">
        <v>-6944.8539588870162</v>
      </c>
      <c r="AB4" s="1">
        <v>-6785.1467734179914</v>
      </c>
      <c r="AC4" s="1">
        <v>-6624.9737753246836</v>
      </c>
      <c r="AD4" s="1">
        <v>-6464.333605986938</v>
      </c>
      <c r="AE4" s="1">
        <v>-6303.2249028219567</v>
      </c>
      <c r="AF4" s="1">
        <v>-6141.6462992727447</v>
      </c>
      <c r="AG4" s="1">
        <v>-5979.596424796513</v>
      </c>
      <c r="AH4" s="1">
        <v>-5817.0739048530595</v>
      </c>
      <c r="AI4" s="1">
        <v>-5654.0773608931049</v>
      </c>
      <c r="AJ4" s="1">
        <v>-5490.6054103466004</v>
      </c>
      <c r="AK4" s="1">
        <v>-5326.6566666110002</v>
      </c>
      <c r="AL4" s="1">
        <v>-5162.2297390395051</v>
      </c>
      <c r="AM4" s="1">
        <v>-4997.3232329292605</v>
      </c>
      <c r="AN4" s="1">
        <v>-4831.9357495095283</v>
      </c>
      <c r="AO4" s="1">
        <v>-4666.065885929821</v>
      </c>
      <c r="AP4" s="1">
        <v>-4499.7122352480064</v>
      </c>
      <c r="AQ4" s="1">
        <v>-4332.8733864183696</v>
      </c>
      <c r="AR4" s="1">
        <v>-4165.5479242796464</v>
      </c>
      <c r="AS4" s="1">
        <v>-3997.7344295430194</v>
      </c>
      <c r="AT4" s="1">
        <v>-3829.4314787800758</v>
      </c>
      <c r="AU4" s="1">
        <v>-3660.63764441074</v>
      </c>
      <c r="AV4" s="1">
        <v>-3491.3514946911619</v>
      </c>
      <c r="AW4" s="1">
        <v>-3321.5715937015684</v>
      </c>
      <c r="AX4" s="1">
        <v>-3151.2965013340877</v>
      </c>
      <c r="AY4" s="1">
        <v>-2980.5247732805351</v>
      </c>
      <c r="AZ4" s="1">
        <v>-2809.25496102016</v>
      </c>
      <c r="BA4" s="1">
        <v>-2637.4856118073585</v>
      </c>
      <c r="BB4" s="1">
        <v>-2465.2152686593536</v>
      </c>
      <c r="BC4" s="1">
        <v>-2292.4424703438331</v>
      </c>
      <c r="BD4" s="1">
        <v>-2119.1657513665591</v>
      </c>
      <c r="BE4" s="1">
        <v>-1945.3836419589352</v>
      </c>
      <c r="BF4" s="1">
        <v>-1771.0946680655388</v>
      </c>
      <c r="BG4" s="1">
        <v>-1596.2973513316194</v>
      </c>
      <c r="BH4" s="1">
        <v>-1420.9902090905603</v>
      </c>
      <c r="BI4" s="1">
        <v>-1245.171754351298</v>
      </c>
      <c r="BJ4" s="1">
        <v>-1068.8404957857124</v>
      </c>
      <c r="BK4" s="1">
        <v>-891.99493771597713</v>
      </c>
      <c r="BL4" s="1">
        <v>-714.6335801018721</v>
      </c>
      <c r="BM4" s="1">
        <v>-536.75491852805931</v>
      </c>
      <c r="BN4" s="1">
        <v>-358.35744419132277</v>
      </c>
      <c r="BO4" s="1">
        <v>-179.4396438877707</v>
      </c>
    </row>
    <row r="5" spans="2:67" x14ac:dyDescent="0.25">
      <c r="B5" t="s">
        <v>34</v>
      </c>
      <c r="C5" s="2">
        <v>3.5000000000000003E-2</v>
      </c>
      <c r="E5" s="2">
        <v>0.05</v>
      </c>
    </row>
    <row r="6" spans="2:67" x14ac:dyDescent="0.25">
      <c r="C6" s="2"/>
      <c r="E6" s="2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67" x14ac:dyDescent="0.25">
      <c r="B7" t="s">
        <v>35</v>
      </c>
      <c r="C7" s="2">
        <f>C5/12</f>
        <v>2.9166666666666668E-3</v>
      </c>
      <c r="E7" s="2">
        <f>E5/12</f>
        <v>4.1666666666666666E-3</v>
      </c>
      <c r="H7" s="1" t="s">
        <v>150</v>
      </c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67" x14ac:dyDescent="0.25">
      <c r="B8" t="s">
        <v>36</v>
      </c>
      <c r="C8" s="6">
        <f>PMT(C7,C9,-C3)</f>
        <v>61701.603286954523</v>
      </c>
      <c r="E8" s="7">
        <f>PMT(E7,E9,-E3)</f>
        <v>250414.95472208696</v>
      </c>
      <c r="H8" s="1">
        <v>-16117.5275</v>
      </c>
      <c r="I8" s="1">
        <v>-15141.290743174188</v>
      </c>
      <c r="J8" s="1">
        <v>-14160.986333194936</v>
      </c>
      <c r="K8" s="1">
        <v>-13176.597321507434</v>
      </c>
      <c r="L8" s="1">
        <v>-12188.106688937904</v>
      </c>
      <c r="M8" s="1">
        <v>-11195.497345399333</v>
      </c>
      <c r="N8" s="1">
        <v>-10198.752129596016</v>
      </c>
      <c r="O8" s="1">
        <v>-9197.8538087268535</v>
      </c>
      <c r="P8" s="1">
        <v>-8192.785078187404</v>
      </c>
      <c r="Q8" s="1">
        <v>-7183.5285612707066</v>
      </c>
      <c r="R8" s="1">
        <v>-6170.0668088668554</v>
      </c>
      <c r="S8" s="1">
        <v>-5152.3822991613197</v>
      </c>
      <c r="T8" s="1">
        <v>-4130.4574373320129</v>
      </c>
      <c r="U8" s="1">
        <v>-3104.2745552450847</v>
      </c>
      <c r="V8" s="1">
        <v>-2073.8159111494601</v>
      </c>
      <c r="W8" s="1">
        <v>-1039.0636893701037</v>
      </c>
    </row>
    <row r="9" spans="2:67" x14ac:dyDescent="0.25">
      <c r="B9" t="s">
        <v>37</v>
      </c>
      <c r="C9" s="8">
        <f>C4*12</f>
        <v>60</v>
      </c>
      <c r="E9" s="5">
        <f>E4*12</f>
        <v>15.999959999999998</v>
      </c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67" x14ac:dyDescent="0.25">
      <c r="B10" t="s">
        <v>38</v>
      </c>
      <c r="C10" s="6">
        <f>C8*C9-C3</f>
        <v>310359.81415797863</v>
      </c>
      <c r="E10" s="7">
        <f>E8*E9-E3</f>
        <v>138422.65679062949</v>
      </c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4" spans="2:67" x14ac:dyDescent="0.25">
      <c r="B14" s="3" t="s">
        <v>142</v>
      </c>
    </row>
    <row r="16" spans="2:67" ht="26.25" x14ac:dyDescent="0.25">
      <c r="C16" s="4" t="s">
        <v>32</v>
      </c>
      <c r="E16" s="4" t="s">
        <v>147</v>
      </c>
    </row>
    <row r="17" spans="2:67" x14ac:dyDescent="0.25">
      <c r="B17" t="s">
        <v>30</v>
      </c>
      <c r="C17" s="1">
        <f>' Viabilidad 40 NE ampliando 2pl'!E38</f>
        <v>4061457.2091050195</v>
      </c>
      <c r="D17" s="1"/>
      <c r="E17" s="1">
        <f>' Viabilidad 40 NE ampliando 2pl'!E39</f>
        <v>4467663.9105135286</v>
      </c>
      <c r="H17" s="1" t="s">
        <v>149</v>
      </c>
    </row>
    <row r="18" spans="2:67" x14ac:dyDescent="0.25">
      <c r="B18" t="s">
        <v>33</v>
      </c>
      <c r="C18" s="5">
        <v>5</v>
      </c>
      <c r="E18" s="5">
        <v>1.3333299999999999</v>
      </c>
      <c r="H18" s="1">
        <v>-11845.916865341866</v>
      </c>
      <c r="I18" s="1">
        <v>-11664.969557645953</v>
      </c>
      <c r="J18" s="1">
        <v>-11483.494486969263</v>
      </c>
      <c r="K18" s="1">
        <v>-11301.4901140031</v>
      </c>
      <c r="L18" s="1">
        <v>-11118.954894949116</v>
      </c>
      <c r="M18" s="1">
        <v>-10935.887281506226</v>
      </c>
      <c r="N18" s="1">
        <v>-10752.285720857462</v>
      </c>
      <c r="O18" s="1">
        <v>-10568.148655656803</v>
      </c>
      <c r="P18" s="1">
        <v>-10383.474524015977</v>
      </c>
      <c r="Q18" s="1">
        <v>-10198.261759491201</v>
      </c>
      <c r="R18" s="1">
        <v>-10012.508791069889</v>
      </c>
      <c r="S18" s="1">
        <v>-9826.2140431573534</v>
      </c>
      <c r="T18" s="1">
        <v>-9639.3759355634029</v>
      </c>
      <c r="U18" s="1">
        <v>-9451.9928834889724</v>
      </c>
      <c r="V18" s="1">
        <v>-9264.0632975126555</v>
      </c>
      <c r="W18" s="1">
        <v>-9075.5855835772418</v>
      </c>
      <c r="X18" s="1">
        <v>-8886.5581429761842</v>
      </c>
      <c r="Y18" s="1">
        <v>-8696.9793723400417</v>
      </c>
      <c r="Z18" s="1">
        <v>-8506.8476636228734</v>
      </c>
      <c r="AA18" s="1">
        <v>-8316.1614040886143</v>
      </c>
      <c r="AB18" s="1">
        <v>-8124.9189762973801</v>
      </c>
      <c r="AC18" s="1">
        <v>-7933.1187580917567</v>
      </c>
      <c r="AD18" s="1">
        <v>-7740.7591225830329</v>
      </c>
      <c r="AE18" s="1">
        <v>-7547.838438137408</v>
      </c>
      <c r="AF18" s="1">
        <v>-7354.3550683621506</v>
      </c>
      <c r="AG18" s="1">
        <v>-7160.3073720917146</v>
      </c>
      <c r="AH18" s="1">
        <v>-6965.693703373825</v>
      </c>
      <c r="AI18" s="1">
        <v>-6770.5124114555065</v>
      </c>
      <c r="AJ18" s="1">
        <v>-6574.7618407690943</v>
      </c>
      <c r="AK18" s="1">
        <v>-6378.440330918178</v>
      </c>
      <c r="AL18" s="1">
        <v>-6181.5462166635307</v>
      </c>
      <c r="AM18" s="1">
        <v>-5984.0778279089745</v>
      </c>
      <c r="AN18" s="1">
        <v>-5786.0334896872182</v>
      </c>
      <c r="AO18" s="1">
        <v>-5587.4115221456477</v>
      </c>
      <c r="AP18" s="1">
        <v>-5388.2102405320802</v>
      </c>
      <c r="AQ18" s="1">
        <v>-5188.4279551804748</v>
      </c>
      <c r="AR18" s="1">
        <v>-4988.0629714965917</v>
      </c>
      <c r="AS18" s="1">
        <v>-4787.1135899436322</v>
      </c>
      <c r="AT18" s="1">
        <v>-4585.5781060278086</v>
      </c>
      <c r="AU18" s="1">
        <v>-4383.454810283898</v>
      </c>
      <c r="AV18" s="1">
        <v>-4180.7419882607346</v>
      </c>
      <c r="AW18" s="1">
        <v>-3977.4379205066707</v>
      </c>
      <c r="AX18" s="1">
        <v>-3773.5408825549894</v>
      </c>
      <c r="AY18" s="1">
        <v>-3569.0491449092838</v>
      </c>
      <c r="AZ18" s="1">
        <v>-3363.9609730287766</v>
      </c>
      <c r="BA18" s="1">
        <v>-3158.274627313619</v>
      </c>
      <c r="BB18" s="1">
        <v>-2951.9883630901259</v>
      </c>
      <c r="BC18" s="1">
        <v>-2745.10043059598</v>
      </c>
      <c r="BD18" s="1">
        <v>-2537.6090749653936</v>
      </c>
      <c r="BE18" s="1">
        <v>-2329.5125362142171</v>
      </c>
      <c r="BF18" s="1">
        <v>-2120.8090492250176</v>
      </c>
      <c r="BG18" s="1">
        <v>-1911.4968437320986</v>
      </c>
      <c r="BH18" s="1">
        <v>-1701.5741443064921</v>
      </c>
      <c r="BI18" s="1">
        <v>-1491.0391703408945</v>
      </c>
      <c r="BJ18" s="1">
        <v>-1279.8901360345637</v>
      </c>
      <c r="BK18" s="1">
        <v>-1068.1252503781727</v>
      </c>
      <c r="BL18" s="1">
        <v>-855.74271713861742</v>
      </c>
      <c r="BM18" s="1">
        <v>-642.74073484378005</v>
      </c>
      <c r="BN18" s="1">
        <v>-429.11749676724946</v>
      </c>
      <c r="BO18" s="1">
        <v>-214.87119091299544</v>
      </c>
    </row>
    <row r="19" spans="2:67" x14ac:dyDescent="0.25">
      <c r="B19" t="s">
        <v>34</v>
      </c>
      <c r="C19" s="2">
        <v>3.5000000000000003E-2</v>
      </c>
      <c r="E19" s="2">
        <v>0.05</v>
      </c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2:67" x14ac:dyDescent="0.25">
      <c r="C20" s="2"/>
      <c r="E20" s="2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2:67" x14ac:dyDescent="0.25">
      <c r="B21" t="s">
        <v>35</v>
      </c>
      <c r="C21" s="2">
        <f>C19/12</f>
        <v>2.9166666666666668E-3</v>
      </c>
      <c r="E21" s="2">
        <f>E19/12</f>
        <v>4.1666666666666666E-3</v>
      </c>
      <c r="H21" s="1" t="s">
        <v>150</v>
      </c>
    </row>
    <row r="22" spans="2:67" x14ac:dyDescent="0.25">
      <c r="B22" t="s">
        <v>36</v>
      </c>
      <c r="C22" s="6">
        <f>PMT(C21,C23,-C17)</f>
        <v>73884.99375564784</v>
      </c>
      <c r="E22" s="7">
        <f>PMT(E21,E23,-E17)</f>
        <v>289221.84643361747</v>
      </c>
      <c r="H22" s="1">
        <v>-18615.266291666667</v>
      </c>
      <c r="I22" s="1">
        <v>-17487.741788170362</v>
      </c>
      <c r="J22" s="1">
        <v>-16355.51926590949</v>
      </c>
      <c r="K22" s="1">
        <v>-15218.579149805862</v>
      </c>
      <c r="L22" s="1">
        <v>-14076.901783218471</v>
      </c>
      <c r="M22" s="1">
        <v>-12930.467427603635</v>
      </c>
      <c r="N22" s="1">
        <v>-11779.256262173732</v>
      </c>
      <c r="O22" s="1">
        <v>-10623.248383554541</v>
      </c>
      <c r="P22" s="1">
        <v>-9462.4238054411016</v>
      </c>
      <c r="Q22" s="1">
        <v>-8296.762458252193</v>
      </c>
      <c r="R22" s="1">
        <v>-7126.2441887833274</v>
      </c>
      <c r="S22" s="1">
        <v>-5950.8487598583415</v>
      </c>
      <c r="T22" s="1">
        <v>-4770.5558499795025</v>
      </c>
      <c r="U22" s="1">
        <v>-3585.3450529761681</v>
      </c>
      <c r="V22" s="1">
        <v>-2395.1958776519873</v>
      </c>
      <c r="W22" s="1">
        <v>-1200.0877474306214</v>
      </c>
      <c r="X22" s="1"/>
    </row>
    <row r="23" spans="2:67" x14ac:dyDescent="0.25">
      <c r="B23" t="s">
        <v>37</v>
      </c>
      <c r="C23" s="8">
        <f>C18*12</f>
        <v>60</v>
      </c>
      <c r="E23" s="5">
        <f>E18*12</f>
        <v>15.999959999999998</v>
      </c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67" x14ac:dyDescent="0.25">
      <c r="B24" t="s">
        <v>38</v>
      </c>
      <c r="C24" s="6">
        <f>C22*C23-C17</f>
        <v>371642.41623385064</v>
      </c>
      <c r="E24" s="7">
        <f>E22*E23-E17</f>
        <v>159874.06355049275</v>
      </c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67" x14ac:dyDescent="0.25">
      <c r="H25" s="1"/>
    </row>
    <row r="26" spans="2:67" x14ac:dyDescent="0.25">
      <c r="H26" s="1"/>
    </row>
    <row r="27" spans="2:67" x14ac:dyDescent="0.25">
      <c r="B27" s="3"/>
      <c r="H27" s="1"/>
    </row>
    <row r="28" spans="2:67" x14ac:dyDescent="0.25">
      <c r="B28" s="3" t="s">
        <v>146</v>
      </c>
      <c r="H28" s="1"/>
    </row>
    <row r="29" spans="2:67" x14ac:dyDescent="0.25">
      <c r="H29" s="1"/>
    </row>
    <row r="30" spans="2:67" ht="26.25" x14ac:dyDescent="0.25">
      <c r="C30" s="4" t="s">
        <v>32</v>
      </c>
      <c r="E30" s="4" t="s">
        <v>147</v>
      </c>
      <c r="H30" s="1"/>
    </row>
    <row r="31" spans="2:67" x14ac:dyDescent="0.25">
      <c r="B31" t="s">
        <v>30</v>
      </c>
      <c r="C31" s="1" t="e">
        <f>(' Viabilidad 40 NE'!#REF!-' Viabilidad 40 NE'!#REF!)*0.8</f>
        <v>#REF!</v>
      </c>
      <c r="D31" s="1"/>
      <c r="E31" s="1">
        <f>' Viabilidad 40 NE'!E39*0.8</f>
        <v>2454613.8656924474</v>
      </c>
      <c r="H31" s="1" t="s">
        <v>149</v>
      </c>
    </row>
    <row r="32" spans="2:67" x14ac:dyDescent="0.25">
      <c r="B32" t="s">
        <v>33</v>
      </c>
      <c r="C32" s="5">
        <v>5</v>
      </c>
      <c r="E32" s="5">
        <v>1.3333330000000001</v>
      </c>
      <c r="H32" s="1">
        <v>-7223.5340624999999</v>
      </c>
      <c r="I32" s="1">
        <v>-7113.1940140666647</v>
      </c>
      <c r="J32" s="1">
        <v>-7002.5321404920678</v>
      </c>
      <c r="K32" s="1">
        <v>-6891.5475031195419</v>
      </c>
      <c r="L32" s="1">
        <v>-6780.2391605546791</v>
      </c>
      <c r="M32" s="1">
        <v>-6668.6061686573385</v>
      </c>
      <c r="N32" s="1">
        <v>-6556.6475805336277</v>
      </c>
      <c r="O32" s="1">
        <v>-6444.3624465278908</v>
      </c>
      <c r="P32" s="1">
        <v>-6331.7498142146369</v>
      </c>
      <c r="Q32" s="1">
        <v>-6218.8087283904706</v>
      </c>
      <c r="R32" s="1">
        <v>-6105.5382310659807</v>
      </c>
      <c r="S32" s="1">
        <v>-5991.9373614576307</v>
      </c>
      <c r="T32" s="1">
        <v>-5878.0051559795884</v>
      </c>
      <c r="U32" s="1">
        <v>-5763.74064823557</v>
      </c>
      <c r="V32" s="1">
        <v>-5649.1428690106295</v>
      </c>
      <c r="W32" s="1">
        <v>-5534.2108462629503</v>
      </c>
      <c r="X32" s="1">
        <v>-5418.9436051155899</v>
      </c>
      <c r="Y32" s="1">
        <v>-5303.3401678482178</v>
      </c>
      <c r="Z32" s="1">
        <v>-5187.3995538888139</v>
      </c>
      <c r="AA32" s="1">
        <v>-5071.1207798053629</v>
      </c>
      <c r="AB32" s="1">
        <v>-4954.5028592975013</v>
      </c>
      <c r="AC32" s="1">
        <v>-4837.5448031881588</v>
      </c>
      <c r="AD32" s="1">
        <v>-4720.2456194151637</v>
      </c>
      <c r="AE32" s="1">
        <v>-4602.6043130228318</v>
      </c>
      <c r="AF32" s="1">
        <v>-4484.6198861535213</v>
      </c>
      <c r="AG32" s="1">
        <v>-4366.2913380391756</v>
      </c>
      <c r="AH32" s="1">
        <v>-4247.6176649928302</v>
      </c>
      <c r="AI32" s="1">
        <v>-4128.5978604000993</v>
      </c>
      <c r="AJ32" s="1">
        <v>-4009.2309147106394</v>
      </c>
      <c r="AK32" s="1">
        <v>-3889.5158154295846</v>
      </c>
      <c r="AL32" s="1">
        <v>-3769.4515471089608</v>
      </c>
      <c r="AM32" s="1">
        <v>-3649.0370913390689</v>
      </c>
      <c r="AN32" s="1">
        <v>-3528.2714267398478</v>
      </c>
      <c r="AO32" s="1">
        <v>-3407.1535289522126</v>
      </c>
      <c r="AP32" s="1">
        <v>-3285.6823706293626</v>
      </c>
      <c r="AQ32" s="1">
        <v>-3163.856921428071</v>
      </c>
      <c r="AR32" s="1">
        <v>-3041.6761479999427</v>
      </c>
      <c r="AS32" s="1">
        <v>-2919.1390139826494</v>
      </c>
      <c r="AT32" s="1">
        <v>-2796.2444799911382</v>
      </c>
      <c r="AU32" s="1">
        <v>-2672.9915036088187</v>
      </c>
      <c r="AV32" s="1">
        <v>-2549.3790393787176</v>
      </c>
      <c r="AW32" s="1">
        <v>-2425.4060387946124</v>
      </c>
      <c r="AX32" s="1">
        <v>-2301.071450292136</v>
      </c>
      <c r="AY32" s="1">
        <v>-2176.3742192398613</v>
      </c>
      <c r="AZ32" s="1">
        <v>-2051.3132879303507</v>
      </c>
      <c r="BA32" s="1">
        <v>-1925.8875955711876</v>
      </c>
      <c r="BB32" s="1">
        <v>-1800.0960782759767</v>
      </c>
      <c r="BC32" s="1">
        <v>-1673.9376690553213</v>
      </c>
      <c r="BD32" s="1">
        <v>-1547.4112978077728</v>
      </c>
      <c r="BE32" s="1">
        <v>-1420.5158913107518</v>
      </c>
      <c r="BF32" s="1">
        <v>-1293.250373211448</v>
      </c>
      <c r="BG32" s="1">
        <v>-1165.6136640176878</v>
      </c>
      <c r="BH32" s="1">
        <v>-1037.6046810887792</v>
      </c>
      <c r="BI32" s="1">
        <v>-909.22233862632811</v>
      </c>
      <c r="BJ32" s="1">
        <v>-780.465547665028</v>
      </c>
      <c r="BK32" s="1">
        <v>-651.33321606342406</v>
      </c>
      <c r="BL32" s="1">
        <v>-521.82424849464883</v>
      </c>
      <c r="BM32" s="1">
        <v>-391.93754643713152</v>
      </c>
      <c r="BN32" s="1">
        <v>-261.67200816527964</v>
      </c>
      <c r="BO32" s="1">
        <v>-131.02652874013478</v>
      </c>
    </row>
    <row r="33" spans="2:69" x14ac:dyDescent="0.25">
      <c r="B33" t="s">
        <v>34</v>
      </c>
      <c r="C33" s="2">
        <v>3.5000000000000003E-2</v>
      </c>
      <c r="E33" s="2">
        <v>0.05</v>
      </c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69" x14ac:dyDescent="0.25">
      <c r="C34" s="2"/>
      <c r="E34" s="2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9" x14ac:dyDescent="0.25">
      <c r="B35" t="s">
        <v>35</v>
      </c>
      <c r="C35" s="2">
        <f>C33/12</f>
        <v>2.9166666666666668E-3</v>
      </c>
      <c r="E35" s="2">
        <f>E33/12</f>
        <v>4.1666666666666666E-3</v>
      </c>
      <c r="H35" s="1" t="s">
        <v>150</v>
      </c>
    </row>
    <row r="36" spans="2:69" x14ac:dyDescent="0.25">
      <c r="B36" t="s">
        <v>36</v>
      </c>
      <c r="C36" s="6" t="e">
        <f>PMT(C35,C37,-C31)</f>
        <v>#REF!</v>
      </c>
      <c r="E36" s="7">
        <f>PMT(E35,E37,-E31)</f>
        <v>158903.27113750711</v>
      </c>
      <c r="H36" s="1">
        <v>-10227.557791666666</v>
      </c>
      <c r="I36" s="1">
        <v>-9608.0758116430407</v>
      </c>
      <c r="J36" s="1">
        <v>-8986.0126567026527</v>
      </c>
      <c r="K36" s="1">
        <v>-8361.3575719500077</v>
      </c>
      <c r="L36" s="1">
        <v>-7734.0997576775635</v>
      </c>
      <c r="M36" s="1">
        <v>-7104.2283691789844</v>
      </c>
      <c r="N36" s="1">
        <v>-6471.7325165616594</v>
      </c>
      <c r="O36" s="1">
        <v>-5836.6012645584296</v>
      </c>
      <c r="P36" s="1">
        <v>-5198.8236323385199</v>
      </c>
      <c r="Q36" s="1">
        <v>-4558.3885933176944</v>
      </c>
      <c r="R36" s="1">
        <v>-3915.2850749676145</v>
      </c>
      <c r="S36" s="1">
        <v>-3269.5019586244089</v>
      </c>
      <c r="T36" s="1">
        <v>-2621.0280792964409</v>
      </c>
      <c r="U36" s="1">
        <v>-1969.852225471273</v>
      </c>
      <c r="V36" s="1">
        <v>-1315.9631389218334</v>
      </c>
      <c r="W36" s="1">
        <v>-659.34951451177085</v>
      </c>
    </row>
    <row r="37" spans="2:69" x14ac:dyDescent="0.25">
      <c r="B37" t="s">
        <v>37</v>
      </c>
      <c r="C37" s="8">
        <f>C32*12</f>
        <v>60</v>
      </c>
      <c r="E37" s="5">
        <f>E32*12</f>
        <v>15.999996000000001</v>
      </c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2:69" x14ac:dyDescent="0.25">
      <c r="B38" t="s">
        <v>38</v>
      </c>
      <c r="C38" s="6" t="e">
        <f>C36*C37-C31</f>
        <v>#REF!</v>
      </c>
      <c r="E38" s="7">
        <f>E36*E37-E31</f>
        <v>87837.836894582026</v>
      </c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2:69" x14ac:dyDescent="0.25">
      <c r="H39" s="1"/>
      <c r="J39" s="1"/>
    </row>
    <row r="40" spans="2:69" x14ac:dyDescent="0.25">
      <c r="H40" s="1"/>
      <c r="J40" s="1"/>
    </row>
    <row r="41" spans="2:69" x14ac:dyDescent="0.25">
      <c r="H41" s="1"/>
      <c r="J41" s="1"/>
    </row>
    <row r="42" spans="2:69" x14ac:dyDescent="0.25">
      <c r="B42" s="3" t="s">
        <v>152</v>
      </c>
      <c r="H42" s="1"/>
      <c r="J42" s="1"/>
    </row>
    <row r="43" spans="2:69" x14ac:dyDescent="0.25">
      <c r="H43" s="1"/>
      <c r="J43" s="1"/>
    </row>
    <row r="44" spans="2:69" ht="26.25" x14ac:dyDescent="0.25">
      <c r="C44" s="4" t="s">
        <v>32</v>
      </c>
      <c r="E44" s="4" t="s">
        <v>147</v>
      </c>
      <c r="H44" s="1"/>
      <c r="J44" s="1"/>
    </row>
    <row r="45" spans="2:69" x14ac:dyDescent="0.25">
      <c r="B45" t="s">
        <v>30</v>
      </c>
      <c r="C45" s="1">
        <f>' Viabilidad 40 manteniendo+1pl'!E38</f>
        <v>1551752.8469087326</v>
      </c>
      <c r="D45" s="1"/>
      <c r="E45" s="1">
        <f>' Viabilidad 40 manteniendo+1pl'!E39</f>
        <v>2221264.1308191619</v>
      </c>
      <c r="H45" s="1" t="s">
        <v>149</v>
      </c>
      <c r="J45" s="1"/>
    </row>
    <row r="46" spans="2:69" x14ac:dyDescent="0.25">
      <c r="B46" t="s">
        <v>33</v>
      </c>
      <c r="C46" s="5">
        <v>5</v>
      </c>
      <c r="E46" s="5">
        <v>1.3333330000000001</v>
      </c>
      <c r="H46" s="1">
        <v>-4525.9458034838035</v>
      </c>
      <c r="I46" s="1">
        <v>-4456.8116269377851</v>
      </c>
      <c r="J46" s="1">
        <v>-4387.4758090435071</v>
      </c>
      <c r="K46" s="1">
        <v>-4317.9377616803713</v>
      </c>
      <c r="L46" s="1">
        <v>-4248.1968950124265</v>
      </c>
      <c r="M46" s="1">
        <v>-4178.2526174833665</v>
      </c>
      <c r="N46" s="1">
        <v>-4108.104335811513</v>
      </c>
      <c r="O46" s="1">
        <v>-4037.7514549847842</v>
      </c>
      <c r="P46" s="1">
        <v>-3967.1933782556434</v>
      </c>
      <c r="Q46" s="1">
        <v>-3896.4295071360434</v>
      </c>
      <c r="R46" s="1">
        <v>-3825.4592413923433</v>
      </c>
      <c r="S46" s="1">
        <v>-3754.2819790402245</v>
      </c>
      <c r="T46" s="1">
        <v>-3682.8971163395795</v>
      </c>
      <c r="U46" s="1">
        <v>-3611.3040477893906</v>
      </c>
      <c r="V46" s="1">
        <v>-3539.5021661225965</v>
      </c>
      <c r="W46" s="1">
        <v>-3467.4908623009405</v>
      </c>
      <c r="X46" s="1">
        <v>-3395.2695255098056</v>
      </c>
      <c r="Y46" s="1">
        <v>-3322.8375431530303</v>
      </c>
      <c r="Z46" s="1">
        <v>-3250.1943008477133</v>
      </c>
      <c r="AA46" s="1">
        <v>-3177.3391824190062</v>
      </c>
      <c r="AB46" s="1">
        <v>-3104.2715698948818</v>
      </c>
      <c r="AC46" s="1">
        <v>-3030.9908435008956</v>
      </c>
      <c r="AD46" s="1">
        <v>-2957.4963816549271</v>
      </c>
      <c r="AE46" s="1">
        <v>-2883.7875609619077</v>
      </c>
      <c r="AF46" s="1">
        <v>-2809.8637562085341</v>
      </c>
      <c r="AG46" s="1">
        <v>-2735.7243403579628</v>
      </c>
      <c r="AH46" s="1">
        <v>-2661.3686845444936</v>
      </c>
      <c r="AI46" s="1">
        <v>-2586.7961580682359</v>
      </c>
      <c r="AJ46" s="1">
        <v>-2512.0061283897558</v>
      </c>
      <c r="AK46" s="1">
        <v>-2436.9979611247127</v>
      </c>
      <c r="AL46" s="1">
        <v>-2361.7710200384799</v>
      </c>
      <c r="AM46" s="1">
        <v>-2286.3246670407461</v>
      </c>
      <c r="AN46" s="1">
        <v>-2210.6582621801017</v>
      </c>
      <c r="AO46" s="1">
        <v>-2134.7711636386148</v>
      </c>
      <c r="AP46" s="1">
        <v>-2058.662727726381</v>
      </c>
      <c r="AQ46" s="1">
        <v>-1982.3323088760701</v>
      </c>
      <c r="AR46" s="1">
        <v>-1905.7792596374454</v>
      </c>
      <c r="AS46" s="1">
        <v>-1829.0029306718754</v>
      </c>
      <c r="AT46" s="1">
        <v>-1752.0026707468219</v>
      </c>
      <c r="AU46" s="1">
        <v>-1674.7778267303206</v>
      </c>
      <c r="AV46" s="1">
        <v>-1597.3277435854379</v>
      </c>
      <c r="AW46" s="1">
        <v>-1519.651764364716</v>
      </c>
      <c r="AX46" s="1">
        <v>-1441.7492302046001</v>
      </c>
      <c r="AY46" s="1">
        <v>-1363.6194803198505</v>
      </c>
      <c r="AZ46" s="1">
        <v>-1285.2618519979371</v>
      </c>
      <c r="BA46" s="1">
        <v>-1206.6756805934183</v>
      </c>
      <c r="BB46" s="1">
        <v>-1127.860299522303</v>
      </c>
      <c r="BC46" s="1">
        <v>-1048.8150402563967</v>
      </c>
      <c r="BD46" s="1">
        <v>-969.53923231763179</v>
      </c>
      <c r="BE46" s="1">
        <v>-890.03220327237864</v>
      </c>
      <c r="BF46" s="1">
        <v>-810.29327872574356</v>
      </c>
      <c r="BG46" s="1">
        <v>-730.32178231584737</v>
      </c>
      <c r="BH46" s="1">
        <v>-650.11703570808902</v>
      </c>
      <c r="BI46" s="1">
        <v>-569.67835858939156</v>
      </c>
      <c r="BJ46" s="1">
        <v>-489.00506866243103</v>
      </c>
      <c r="BK46" s="1">
        <v>-408.09648163985014</v>
      </c>
      <c r="BL46" s="1">
        <v>-326.95191123845348</v>
      </c>
      <c r="BM46" s="1">
        <v>-245.57066917338614</v>
      </c>
      <c r="BN46" s="1">
        <v>-163.95206515229563</v>
      </c>
      <c r="BO46" s="1">
        <v>-82.095406869476903</v>
      </c>
    </row>
    <row r="47" spans="2:69" x14ac:dyDescent="0.25">
      <c r="B47" t="s">
        <v>34</v>
      </c>
      <c r="C47" s="2">
        <v>3.5000000000000003E-2</v>
      </c>
      <c r="E47" s="2">
        <v>0.05</v>
      </c>
      <c r="H47" s="1"/>
      <c r="J47" s="1"/>
    </row>
    <row r="48" spans="2:69" x14ac:dyDescent="0.25">
      <c r="C48" s="2"/>
      <c r="E48" s="2"/>
      <c r="H48" s="1"/>
      <c r="J48" s="1"/>
    </row>
    <row r="49" spans="2:67" x14ac:dyDescent="0.25">
      <c r="B49" t="s">
        <v>35</v>
      </c>
      <c r="C49" s="2">
        <f>C47/12</f>
        <v>2.9166666666666668E-3</v>
      </c>
      <c r="E49" s="2">
        <f>E47/12</f>
        <v>4.1666666666666666E-3</v>
      </c>
      <c r="H49" s="1" t="s">
        <v>150</v>
      </c>
      <c r="J49" s="1"/>
    </row>
    <row r="50" spans="2:67" x14ac:dyDescent="0.25">
      <c r="B50" t="s">
        <v>36</v>
      </c>
      <c r="C50" s="6">
        <f>PMT(C49,C51,-C45)</f>
        <v>28229.092047832983</v>
      </c>
      <c r="E50" s="7">
        <f>PMT(E49,E51,-E45)</f>
        <v>143797.01075631479</v>
      </c>
      <c r="H50" s="1">
        <v>-9255.2672083333327</v>
      </c>
      <c r="I50" s="1">
        <v>-8694.6767552989186</v>
      </c>
      <c r="J50" s="1">
        <v>-8131.7505087101954</v>
      </c>
      <c r="K50" s="1">
        <v>-7566.4787360940172</v>
      </c>
      <c r="L50" s="1">
        <v>-6998.8516644252732</v>
      </c>
      <c r="M50" s="1">
        <v>-6428.8594799579105</v>
      </c>
      <c r="N50" s="1">
        <v>-5856.4923280552639</v>
      </c>
      <c r="O50" s="1">
        <v>-5281.7403130196926</v>
      </c>
      <c r="P50" s="1">
        <v>-4704.5934979214717</v>
      </c>
      <c r="Q50" s="1">
        <v>-4125.0419044270084</v>
      </c>
      <c r="R50" s="1">
        <v>-3543.0755126263184</v>
      </c>
      <c r="S50" s="1">
        <v>-2958.6842608597917</v>
      </c>
      <c r="T50" s="1">
        <v>-2371.8580455442379</v>
      </c>
      <c r="U50" s="1">
        <v>-1782.5867209982032</v>
      </c>
      <c r="V50" s="1">
        <v>-1190.8600992665599</v>
      </c>
      <c r="W50" s="1">
        <v>-596.66794994436782</v>
      </c>
    </row>
    <row r="51" spans="2:67" x14ac:dyDescent="0.25">
      <c r="B51" t="s">
        <v>37</v>
      </c>
      <c r="C51" s="8">
        <f>C46*12</f>
        <v>60</v>
      </c>
      <c r="E51" s="5">
        <f>E46*12</f>
        <v>15.999996000000001</v>
      </c>
      <c r="H51" s="1"/>
      <c r="J51" s="1"/>
    </row>
    <row r="52" spans="2:67" x14ac:dyDescent="0.25">
      <c r="B52" t="s">
        <v>38</v>
      </c>
      <c r="C52" s="6">
        <f>C50*C51-C45</f>
        <v>141992.67596124648</v>
      </c>
      <c r="E52" s="7">
        <f>E50*E51-E45</f>
        <v>79487.466093831696</v>
      </c>
      <c r="H52" s="1"/>
      <c r="J52" s="1"/>
    </row>
    <row r="53" spans="2:67" x14ac:dyDescent="0.25"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2:67" x14ac:dyDescent="0.25"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:67" x14ac:dyDescent="0.25">
      <c r="H55" s="1"/>
      <c r="J55" s="1"/>
    </row>
    <row r="56" spans="2:67" x14ac:dyDescent="0.25">
      <c r="B56" s="3" t="s">
        <v>156</v>
      </c>
      <c r="H56" s="1"/>
      <c r="J56" s="1"/>
    </row>
    <row r="57" spans="2:67" x14ac:dyDescent="0.25">
      <c r="H57" s="1"/>
      <c r="J57" s="1"/>
    </row>
    <row r="58" spans="2:67" ht="26.25" x14ac:dyDescent="0.25">
      <c r="C58" s="4" t="s">
        <v>32</v>
      </c>
      <c r="E58" s="4" t="s">
        <v>147</v>
      </c>
      <c r="H58" s="1"/>
      <c r="J58" s="1"/>
    </row>
    <row r="59" spans="2:67" x14ac:dyDescent="0.25">
      <c r="B59" t="s">
        <v>30</v>
      </c>
      <c r="C59" s="1">
        <f>' Viabilidad40manteniendo+2plESE'!E38</f>
        <v>2221473.5001651994</v>
      </c>
      <c r="D59" s="1"/>
      <c r="E59" s="1">
        <f>' Viabilidad 40 manteniendo+2pl'!E39</f>
        <v>2820721.4423571713</v>
      </c>
      <c r="H59" s="1" t="s">
        <v>149</v>
      </c>
      <c r="J59" s="1"/>
    </row>
    <row r="60" spans="2:67" x14ac:dyDescent="0.25">
      <c r="B60" t="s">
        <v>33</v>
      </c>
      <c r="C60" s="5">
        <v>5</v>
      </c>
      <c r="E60" s="5">
        <v>1.3333299999999999</v>
      </c>
      <c r="H60" s="1">
        <v>-6482.3229333333338</v>
      </c>
      <c r="I60" s="1">
        <v>-6383.3049429375114</v>
      </c>
      <c r="J60" s="1">
        <v>-6283.9981500697022</v>
      </c>
      <c r="K60" s="1">
        <v>-6184.4017123893618</v>
      </c>
      <c r="L60" s="1">
        <v>-6084.5147850991189</v>
      </c>
      <c r="M60" s="1">
        <v>-5984.3365209376143</v>
      </c>
      <c r="N60" s="1">
        <v>-5883.8660701723047</v>
      </c>
      <c r="O60" s="1">
        <v>-5783.1025805922618</v>
      </c>
      <c r="P60" s="1">
        <v>-5682.0451975009455</v>
      </c>
      <c r="Q60" s="1">
        <v>-5580.6930637089463</v>
      </c>
      <c r="R60" s="1">
        <v>-5479.0453195267182</v>
      </c>
      <c r="S60" s="1">
        <v>-5377.101102757294</v>
      </c>
      <c r="T60" s="1">
        <v>-5274.8595486889581</v>
      </c>
      <c r="U60" s="1">
        <v>-5172.319790087924</v>
      </c>
      <c r="V60" s="1">
        <v>-5069.4809571909691</v>
      </c>
      <c r="W60" s="1">
        <v>-4966.3421776980649</v>
      </c>
      <c r="X60" s="1">
        <v>-4862.9025767649728</v>
      </c>
      <c r="Y60" s="1">
        <v>-4759.1612769958265</v>
      </c>
      <c r="Z60" s="1">
        <v>-4655.1173984356865</v>
      </c>
      <c r="AA60" s="1">
        <v>-4550.7700585630801</v>
      </c>
      <c r="AB60" s="1">
        <v>-4446.1183722825108</v>
      </c>
      <c r="AC60" s="1">
        <v>-4341.1614519169561</v>
      </c>
      <c r="AD60" s="1">
        <v>-4235.8984072003368</v>
      </c>
      <c r="AE60" s="1">
        <v>-4130.3283452699598</v>
      </c>
      <c r="AF60" s="1">
        <v>-4024.450370658953</v>
      </c>
      <c r="AG60" s="1">
        <v>-3918.2635852886638</v>
      </c>
      <c r="AH60" s="1">
        <v>-3811.7670884610443</v>
      </c>
      <c r="AI60" s="1">
        <v>-3704.959976851012</v>
      </c>
      <c r="AJ60" s="1">
        <v>-3597.8413444987837</v>
      </c>
      <c r="AK60" s="1">
        <v>-3490.4102828021928</v>
      </c>
      <c r="AL60" s="1">
        <v>-3382.6658805089883</v>
      </c>
      <c r="AM60" s="1">
        <v>-3274.6072237090953</v>
      </c>
      <c r="AN60" s="1">
        <v>-3166.2333958268691</v>
      </c>
      <c r="AO60" s="1">
        <v>-3057.5434776133202</v>
      </c>
      <c r="AP60" s="1">
        <v>-2948.5365471383143</v>
      </c>
      <c r="AQ60" s="1">
        <v>-2839.2116797827566</v>
      </c>
      <c r="AR60" s="1">
        <v>-2729.5679482307451</v>
      </c>
      <c r="AS60" s="1">
        <v>-2619.6044224617071</v>
      </c>
      <c r="AT60" s="1">
        <v>-2509.3201697425093</v>
      </c>
      <c r="AU60" s="1">
        <v>-2398.7142546195469</v>
      </c>
      <c r="AV60" s="1">
        <v>-2287.7857389108099</v>
      </c>
      <c r="AW60" s="1">
        <v>-2176.533681697922</v>
      </c>
      <c r="AX60" s="1">
        <v>-2064.9571393181632</v>
      </c>
      <c r="AY60" s="1">
        <v>-1953.0551653564632</v>
      </c>
      <c r="AZ60" s="1">
        <v>-1840.826810637375</v>
      </c>
      <c r="BA60" s="1">
        <v>-1728.2711232170229</v>
      </c>
      <c r="BB60" s="1">
        <v>-1615.3871483750283</v>
      </c>
      <c r="BC60" s="1">
        <v>-1502.1739286064112</v>
      </c>
      <c r="BD60" s="1">
        <v>-1388.630503613469</v>
      </c>
      <c r="BE60" s="1">
        <v>-1274.7559102976304</v>
      </c>
      <c r="BF60" s="1">
        <v>-1160.5491827512874</v>
      </c>
      <c r="BG60" s="1">
        <v>-1046.0093522496009</v>
      </c>
      <c r="BH60" s="1">
        <v>-931.1354472422845</v>
      </c>
      <c r="BI60" s="1">
        <v>-815.9264933453635</v>
      </c>
      <c r="BJ60" s="1">
        <v>-700.38151333290966</v>
      </c>
      <c r="BK60" s="1">
        <v>-584.4995271287529</v>
      </c>
      <c r="BL60" s="1">
        <v>-468.27955179816735</v>
      </c>
      <c r="BM60" s="1">
        <v>-351.7206015395343</v>
      </c>
      <c r="BN60" s="1">
        <v>-234.82168767598023</v>
      </c>
      <c r="BO60" s="1">
        <v>-117.58181864699067</v>
      </c>
    </row>
    <row r="61" spans="2:67" x14ac:dyDescent="0.25">
      <c r="B61" t="s">
        <v>34</v>
      </c>
      <c r="C61" s="2">
        <v>3.5000000000000003E-2</v>
      </c>
      <c r="E61" s="2">
        <v>0.05</v>
      </c>
      <c r="H61" s="1"/>
      <c r="J61" s="1"/>
    </row>
    <row r="62" spans="2:67" x14ac:dyDescent="0.25">
      <c r="C62" s="2"/>
      <c r="E62" s="2"/>
      <c r="H62" s="1"/>
      <c r="J62" s="1"/>
    </row>
    <row r="63" spans="2:67" x14ac:dyDescent="0.25">
      <c r="B63" t="s">
        <v>35</v>
      </c>
      <c r="C63" s="2">
        <f>C61/12</f>
        <v>2.9166666666666668E-3</v>
      </c>
      <c r="E63" s="2">
        <f>E61/12</f>
        <v>4.1666666666666666E-3</v>
      </c>
      <c r="H63" s="1" t="s">
        <v>150</v>
      </c>
      <c r="J63" s="1"/>
    </row>
    <row r="64" spans="2:67" x14ac:dyDescent="0.25">
      <c r="B64" t="s">
        <v>36</v>
      </c>
      <c r="C64" s="6">
        <f>PMT(C63,C65,-C59)</f>
        <v>40412.479373188151</v>
      </c>
      <c r="E64" s="7">
        <f>PMT(E63,E65,-E59)</f>
        <v>182604.21557530842</v>
      </c>
      <c r="H64" s="1">
        <v>-11753.005999999999</v>
      </c>
      <c r="I64" s="1">
        <v>-11041.127800295095</v>
      </c>
      <c r="J64" s="1">
        <v>-10326.283441424752</v>
      </c>
      <c r="K64" s="1">
        <v>-9608.4605643924478</v>
      </c>
      <c r="L64" s="1">
        <v>-8887.6467587058451</v>
      </c>
      <c r="M64" s="1">
        <v>-8163.8295621622128</v>
      </c>
      <c r="N64" s="1">
        <v>-7436.9964606329813</v>
      </c>
      <c r="O64" s="1">
        <v>-6707.13488784738</v>
      </c>
      <c r="P64" s="1">
        <v>-5974.2322251751721</v>
      </c>
      <c r="Q64" s="1">
        <v>-5238.2758014084957</v>
      </c>
      <c r="R64" s="1">
        <v>-4499.2528925427914</v>
      </c>
      <c r="S64" s="1">
        <v>-3757.1507215568136</v>
      </c>
      <c r="T64" s="1">
        <v>-3011.956458191728</v>
      </c>
      <c r="U64" s="1">
        <v>-2263.6572187292873</v>
      </c>
      <c r="V64" s="1">
        <v>-1512.2400657690873</v>
      </c>
      <c r="W64" s="1">
        <v>-757.69200800488568</v>
      </c>
    </row>
    <row r="65" spans="2:67" x14ac:dyDescent="0.25">
      <c r="B65" t="s">
        <v>37</v>
      </c>
      <c r="C65" s="8">
        <f>C60*12</f>
        <v>60</v>
      </c>
      <c r="E65" s="5">
        <f>E60*12</f>
        <v>15.999959999999998</v>
      </c>
      <c r="H65" s="1"/>
      <c r="J65" s="1"/>
    </row>
    <row r="66" spans="2:67" x14ac:dyDescent="0.25">
      <c r="B66" t="s">
        <v>38</v>
      </c>
      <c r="C66" s="6">
        <f>C64*C65-C59</f>
        <v>203275.26222608984</v>
      </c>
      <c r="E66" s="7">
        <f>E64*E65-E59</f>
        <v>100938.70267914003</v>
      </c>
      <c r="H66" s="1"/>
      <c r="J66" s="1"/>
    </row>
    <row r="67" spans="2:67" x14ac:dyDescent="0.25">
      <c r="H67" s="1"/>
      <c r="L6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2:67" x14ac:dyDescent="0.25"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2:67" x14ac:dyDescent="0.25">
      <c r="B69" s="3"/>
      <c r="H69" s="1"/>
      <c r="L6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2:67" x14ac:dyDescent="0.25">
      <c r="B70" s="3" t="s">
        <v>158</v>
      </c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2:67" x14ac:dyDescent="0.25">
      <c r="H71" s="1"/>
      <c r="J71" s="1"/>
    </row>
    <row r="72" spans="2:67" ht="26.25" x14ac:dyDescent="0.25">
      <c r="C72" s="4" t="s">
        <v>32</v>
      </c>
      <c r="E72" s="4" t="s">
        <v>147</v>
      </c>
      <c r="H72" s="1"/>
      <c r="J72" s="1"/>
    </row>
    <row r="73" spans="2:67" x14ac:dyDescent="0.25">
      <c r="B73" t="s">
        <v>30</v>
      </c>
      <c r="C73" s="1">
        <f>' Viabilidad 40 manteniendo+ ESE'!E38</f>
        <v>788217.33336336631</v>
      </c>
      <c r="D73" s="1"/>
      <c r="E73" s="1">
        <f>' Viabilidad 40 manteniendo+ ESE'!E39</f>
        <v>1537834.8086644479</v>
      </c>
      <c r="H73" s="1" t="s">
        <v>149</v>
      </c>
      <c r="I73" s="1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2:67" x14ac:dyDescent="0.25">
      <c r="B74" t="s">
        <v>33</v>
      </c>
      <c r="C74" s="5">
        <v>5</v>
      </c>
      <c r="E74" s="5">
        <v>1.3333333000000001</v>
      </c>
      <c r="H74" s="1">
        <v>-2298.9672125000002</v>
      </c>
      <c r="I74" s="1">
        <v>-2263.8503083116771</v>
      </c>
      <c r="J74" s="1">
        <v>-2228.6309798194716</v>
      </c>
      <c r="K74" s="1">
        <v>-2193.3089282858309</v>
      </c>
      <c r="L74" s="1">
        <v>-2157.8838541018831</v>
      </c>
      <c r="M74" s="1">
        <v>-2122.3554567848992</v>
      </c>
      <c r="N74" s="1">
        <v>-2086.7234349757405</v>
      </c>
      <c r="O74" s="1">
        <v>-2050.9874864363051</v>
      </c>
      <c r="P74" s="1">
        <v>-2015.147308046963</v>
      </c>
      <c r="Q74" s="1">
        <v>-1979.2025958039856</v>
      </c>
      <c r="R74" s="1">
        <v>-1943.1530448169656</v>
      </c>
      <c r="S74" s="1">
        <v>-1906.9983493062341</v>
      </c>
      <c r="T74" s="1">
        <v>-1870.7382026002626</v>
      </c>
      <c r="U74" s="1">
        <v>-1834.3722971330656</v>
      </c>
      <c r="V74" s="1">
        <v>-1797.900324441589</v>
      </c>
      <c r="W74" s="1">
        <v>-1761.3219751630954</v>
      </c>
      <c r="X74" s="1">
        <v>-1724.6369390325399</v>
      </c>
      <c r="Y74" s="1">
        <v>-1687.8449048799371</v>
      </c>
      <c r="Z74" s="1">
        <v>-1650.9455606277222</v>
      </c>
      <c r="AA74" s="1">
        <v>-1613.9385932881053</v>
      </c>
      <c r="AB74" s="1">
        <v>-1576.8236889604138</v>
      </c>
      <c r="AC74" s="1">
        <v>-1539.6005328284339</v>
      </c>
      <c r="AD74" s="1">
        <v>-1502.2688091577356</v>
      </c>
      <c r="AE74" s="1">
        <v>-1464.8282012929978</v>
      </c>
      <c r="AF74" s="1">
        <v>-1427.2783916553212</v>
      </c>
      <c r="AG74" s="1">
        <v>-1389.6190617395348</v>
      </c>
      <c r="AH74" s="1">
        <v>-1351.8498921114938</v>
      </c>
      <c r="AI74" s="1">
        <v>-1313.9705624053711</v>
      </c>
      <c r="AJ74" s="1">
        <v>-1275.9807513209389</v>
      </c>
      <c r="AK74" s="1">
        <v>-1237.8801366208436</v>
      </c>
      <c r="AL74" s="1">
        <v>-1199.6683951278731</v>
      </c>
      <c r="AM74" s="1">
        <v>-1161.3452027222147</v>
      </c>
      <c r="AN74" s="1">
        <v>-1122.9102343387067</v>
      </c>
      <c r="AO74" s="1">
        <v>-1084.3631639640801</v>
      </c>
      <c r="AP74" s="1">
        <v>-1045.703664634194</v>
      </c>
      <c r="AQ74" s="1">
        <v>-1006.9314084312624</v>
      </c>
      <c r="AR74" s="1">
        <v>-968.04606648107233</v>
      </c>
      <c r="AS74" s="1">
        <v>-929.04730895019418</v>
      </c>
      <c r="AT74" s="1">
        <v>-889.93480504318438</v>
      </c>
      <c r="AU74" s="1">
        <v>-850.70822299977897</v>
      </c>
      <c r="AV74" s="1">
        <v>-811.36723009208049</v>
      </c>
      <c r="AW74" s="1">
        <v>-771.91149262173451</v>
      </c>
      <c r="AX74" s="1">
        <v>-732.34067591709993</v>
      </c>
      <c r="AY74" s="1">
        <v>-692.65444433041023</v>
      </c>
      <c r="AZ74" s="1">
        <v>-652.85246123492595</v>
      </c>
      <c r="BA74" s="1">
        <v>-612.93438902207981</v>
      </c>
      <c r="BB74" s="1">
        <v>-572.89988909861302</v>
      </c>
      <c r="BC74" s="1">
        <v>-532.74862188370264</v>
      </c>
      <c r="BD74" s="1">
        <v>-492.48024680608228</v>
      </c>
      <c r="BE74" s="1">
        <v>-452.09442230115212</v>
      </c>
      <c r="BF74" s="1">
        <v>-411.59080580808262</v>
      </c>
      <c r="BG74" s="1">
        <v>-370.96905376690813</v>
      </c>
      <c r="BH74" s="1">
        <v>-330.22882161561375</v>
      </c>
      <c r="BI74" s="1">
        <v>-289.36976378721141</v>
      </c>
      <c r="BJ74" s="1">
        <v>-248.3915337068095</v>
      </c>
      <c r="BK74" s="1">
        <v>-207.29378378867307</v>
      </c>
      <c r="BL74" s="1">
        <v>-166.07616543327543</v>
      </c>
      <c r="BM74" s="1">
        <v>-124.73832902434125</v>
      </c>
      <c r="BN74" s="1">
        <v>-83.279923925880993</v>
      </c>
      <c r="BO74" s="1">
        <v>-41.700598479216872</v>
      </c>
    </row>
    <row r="75" spans="2:67" x14ac:dyDescent="0.25">
      <c r="B75" t="s">
        <v>34</v>
      </c>
      <c r="C75" s="2">
        <v>3.5000000000000003E-2</v>
      </c>
      <c r="E75" s="2">
        <v>0.05</v>
      </c>
      <c r="H75" s="1"/>
      <c r="J75" s="1"/>
    </row>
    <row r="76" spans="2:67" x14ac:dyDescent="0.25">
      <c r="C76" s="2"/>
      <c r="E76" s="2"/>
      <c r="H76" s="1"/>
      <c r="J76" s="1"/>
    </row>
    <row r="77" spans="2:67" x14ac:dyDescent="0.25">
      <c r="B77" t="s">
        <v>35</v>
      </c>
      <c r="C77" s="2">
        <f>C75/12</f>
        <v>2.9166666666666668E-3</v>
      </c>
      <c r="E77" s="2">
        <f>E75/12</f>
        <v>4.1666666666666666E-3</v>
      </c>
      <c r="H77" s="1" t="s">
        <v>150</v>
      </c>
      <c r="I77" s="1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67" x14ac:dyDescent="0.25">
      <c r="B78" t="s">
        <v>36</v>
      </c>
      <c r="C78" s="6">
        <f>PMT(C77,C79,-C73)</f>
        <v>14339.048709681931</v>
      </c>
      <c r="E78" s="7">
        <f>PMT(E77,E79,-E73)</f>
        <v>99554.122058648645</v>
      </c>
      <c r="H78" s="1">
        <v>-6407.6450416666667</v>
      </c>
      <c r="I78" s="1">
        <v>-6019.5347304314191</v>
      </c>
      <c r="J78" s="1">
        <v>-5629.8072928993588</v>
      </c>
      <c r="K78" s="1">
        <v>-5238.4559910442467</v>
      </c>
      <c r="L78" s="1">
        <v>-4845.4740587647384</v>
      </c>
      <c r="M78" s="1">
        <v>-4450.8547017674</v>
      </c>
      <c r="N78" s="1">
        <v>-4054.5910974492376</v>
      </c>
      <c r="O78" s="1">
        <v>-3656.6763947797508</v>
      </c>
      <c r="P78" s="1">
        <v>-3257.1037141824741</v>
      </c>
      <c r="Q78" s="1">
        <v>-2855.8661474160426</v>
      </c>
      <c r="R78" s="1">
        <v>-2452.9567574547505</v>
      </c>
      <c r="S78" s="1">
        <v>-2048.3685783686196</v>
      </c>
      <c r="T78" s="1">
        <v>-1642.0946152029635</v>
      </c>
      <c r="U78" s="1">
        <v>-1234.1278438574504</v>
      </c>
      <c r="V78" s="1">
        <v>-824.46121096466425</v>
      </c>
      <c r="W78" s="1">
        <v>-413.08763376815818</v>
      </c>
    </row>
    <row r="79" spans="2:67" x14ac:dyDescent="0.25">
      <c r="B79" t="s">
        <v>37</v>
      </c>
      <c r="C79" s="8">
        <f>C74*12</f>
        <v>60</v>
      </c>
      <c r="E79" s="5">
        <f>E74*12</f>
        <v>15.999999600000001</v>
      </c>
      <c r="H79" s="1"/>
      <c r="J79" s="1"/>
    </row>
    <row r="80" spans="2:67" x14ac:dyDescent="0.25">
      <c r="B80" t="s">
        <v>38</v>
      </c>
      <c r="C80" s="6">
        <f>C78*C79-C73</f>
        <v>72125.589217549539</v>
      </c>
      <c r="E80" s="7">
        <f>E78*E79-E73</f>
        <v>55031.104452281725</v>
      </c>
      <c r="L80"/>
    </row>
    <row r="81" spans="8:68" x14ac:dyDescent="0.25">
      <c r="L81"/>
    </row>
    <row r="82" spans="8:68" x14ac:dyDescent="0.25">
      <c r="L82"/>
    </row>
    <row r="83" spans="8:68" x14ac:dyDescent="0.25">
      <c r="L83"/>
    </row>
    <row r="84" spans="8:68" x14ac:dyDescent="0.25">
      <c r="I84">
        <v>9892.5644466771682</v>
      </c>
      <c r="J84">
        <v>9741.454750130868</v>
      </c>
      <c r="K84">
        <v>9589.9043169696397</v>
      </c>
      <c r="L84">
        <v>9437.9118617116928</v>
      </c>
      <c r="M84">
        <v>9285.4760951259068</v>
      </c>
      <c r="N84">
        <v>9132.5957242209151</v>
      </c>
      <c r="O84">
        <v>8979.2694522341153</v>
      </c>
      <c r="P84">
        <v>8825.4959786206873</v>
      </c>
      <c r="Q84">
        <v>8671.2739990425544</v>
      </c>
      <c r="R84">
        <v>8516.6022053573215</v>
      </c>
      <c r="S84">
        <v>8361.4792856071672</v>
      </c>
      <c r="T84">
        <v>8205.9039240077454</v>
      </c>
      <c r="U84">
        <v>8049.8748009369911</v>
      </c>
      <c r="V84">
        <v>7893.390592923949</v>
      </c>
      <c r="W84">
        <v>7736.4499726375334</v>
      </c>
      <c r="X84">
        <v>7579.051608875282</v>
      </c>
      <c r="Y84">
        <v>7421.1941665520571</v>
      </c>
      <c r="Z84">
        <v>7262.8763066887259</v>
      </c>
      <c r="AA84">
        <v>7104.0966864007905</v>
      </c>
      <c r="AB84">
        <v>6944.8539588870162</v>
      </c>
      <c r="AC84">
        <v>6785.1467734179914</v>
      </c>
      <c r="AD84">
        <v>6624.9737753246836</v>
      </c>
      <c r="AE84">
        <v>6464.333605986938</v>
      </c>
      <c r="AF84">
        <v>6303.2249028219567</v>
      </c>
      <c r="AG84">
        <v>6141.6462992727447</v>
      </c>
      <c r="AH84">
        <v>5979.596424796513</v>
      </c>
      <c r="AI84">
        <v>5817.0739048530595</v>
      </c>
      <c r="AJ84">
        <v>5654.0773608931049</v>
      </c>
      <c r="AK84">
        <v>5490.6054103466004</v>
      </c>
      <c r="AL84">
        <v>5326.6566666110002</v>
      </c>
      <c r="AM84">
        <v>5162.2297390395051</v>
      </c>
      <c r="AN84">
        <v>4997.3232329292605</v>
      </c>
      <c r="AO84">
        <v>4831.9357495095283</v>
      </c>
      <c r="AP84">
        <v>4666.065885929821</v>
      </c>
      <c r="AQ84">
        <v>4499.7122352480064</v>
      </c>
      <c r="AR84">
        <v>4332.8733864183696</v>
      </c>
      <c r="AS84">
        <v>4165.5479242796464</v>
      </c>
      <c r="AT84">
        <v>3997.7344295430194</v>
      </c>
      <c r="AU84">
        <v>3829.4314787800758</v>
      </c>
      <c r="AV84">
        <v>3660.63764441074</v>
      </c>
      <c r="AW84">
        <v>3491.3514946911619</v>
      </c>
      <c r="AX84">
        <v>3321.5715937015684</v>
      </c>
      <c r="AY84">
        <v>3151.2965013340877</v>
      </c>
      <c r="AZ84">
        <v>2980.5247732805351</v>
      </c>
      <c r="BA84">
        <v>2809.25496102016</v>
      </c>
      <c r="BB84">
        <v>2637.4856118073585</v>
      </c>
      <c r="BC84">
        <v>2465.2152686593536</v>
      </c>
      <c r="BD84">
        <v>2292.4424703438331</v>
      </c>
      <c r="BE84">
        <v>2119.1657513665591</v>
      </c>
      <c r="BF84">
        <v>1945.3836419589352</v>
      </c>
      <c r="BG84">
        <v>1771.0946680655388</v>
      </c>
      <c r="BH84">
        <v>1596.2973513316194</v>
      </c>
      <c r="BI84">
        <v>1420.9902090905603</v>
      </c>
      <c r="BJ84">
        <v>1245.171754351298</v>
      </c>
      <c r="BK84">
        <v>1068.8404957857124</v>
      </c>
      <c r="BL84">
        <v>891.99493771597713</v>
      </c>
      <c r="BM84">
        <v>714.6335801018721</v>
      </c>
      <c r="BN84">
        <v>536.75491852805931</v>
      </c>
      <c r="BO84">
        <v>358.35744419132277</v>
      </c>
      <c r="BP84">
        <v>179.4396438877707</v>
      </c>
    </row>
    <row r="85" spans="8:68" x14ac:dyDescent="0.25">
      <c r="H85">
        <v>9892.5644466771682</v>
      </c>
      <c r="I85" s="1">
        <f>-I84</f>
        <v>-9892.5644466771682</v>
      </c>
      <c r="J85" s="1">
        <f t="shared" ref="J85:BP85" si="0">-J84</f>
        <v>-9741.454750130868</v>
      </c>
      <c r="K85" s="1">
        <f t="shared" si="0"/>
        <v>-9589.9043169696397</v>
      </c>
      <c r="L85" s="1">
        <f t="shared" si="0"/>
        <v>-9437.9118617116928</v>
      </c>
      <c r="M85" s="1">
        <f t="shared" si="0"/>
        <v>-9285.4760951259068</v>
      </c>
      <c r="N85" s="1">
        <f t="shared" si="0"/>
        <v>-9132.5957242209151</v>
      </c>
      <c r="O85" s="1">
        <f t="shared" si="0"/>
        <v>-8979.2694522341153</v>
      </c>
      <c r="P85" s="1">
        <f t="shared" si="0"/>
        <v>-8825.4959786206873</v>
      </c>
      <c r="Q85" s="1">
        <f t="shared" si="0"/>
        <v>-8671.2739990425544</v>
      </c>
      <c r="R85" s="1">
        <f t="shared" si="0"/>
        <v>-8516.6022053573215</v>
      </c>
      <c r="S85" s="1">
        <f t="shared" si="0"/>
        <v>-8361.4792856071672</v>
      </c>
      <c r="T85" s="1">
        <f t="shared" si="0"/>
        <v>-8205.9039240077454</v>
      </c>
      <c r="U85" s="1">
        <f t="shared" si="0"/>
        <v>-8049.8748009369911</v>
      </c>
      <c r="V85" s="1">
        <f t="shared" si="0"/>
        <v>-7893.390592923949</v>
      </c>
      <c r="W85" s="1">
        <f t="shared" si="0"/>
        <v>-7736.4499726375334</v>
      </c>
      <c r="X85" s="1">
        <f t="shared" si="0"/>
        <v>-7579.051608875282</v>
      </c>
      <c r="Y85" s="1">
        <f t="shared" si="0"/>
        <v>-7421.1941665520571</v>
      </c>
      <c r="Z85" s="1">
        <f t="shared" si="0"/>
        <v>-7262.8763066887259</v>
      </c>
      <c r="AA85" s="1">
        <f t="shared" si="0"/>
        <v>-7104.0966864007905</v>
      </c>
      <c r="AB85" s="1">
        <f t="shared" si="0"/>
        <v>-6944.8539588870162</v>
      </c>
      <c r="AC85" s="1">
        <f t="shared" si="0"/>
        <v>-6785.1467734179914</v>
      </c>
      <c r="AD85" s="1">
        <f t="shared" si="0"/>
        <v>-6624.9737753246836</v>
      </c>
      <c r="AE85" s="1">
        <f t="shared" si="0"/>
        <v>-6464.333605986938</v>
      </c>
      <c r="AF85" s="1">
        <f t="shared" si="0"/>
        <v>-6303.2249028219567</v>
      </c>
      <c r="AG85" s="1">
        <f t="shared" si="0"/>
        <v>-6141.6462992727447</v>
      </c>
      <c r="AH85" s="1">
        <f t="shared" si="0"/>
        <v>-5979.596424796513</v>
      </c>
      <c r="AI85" s="1">
        <f t="shared" si="0"/>
        <v>-5817.0739048530595</v>
      </c>
      <c r="AJ85" s="1">
        <f t="shared" si="0"/>
        <v>-5654.0773608931049</v>
      </c>
      <c r="AK85" s="1">
        <f t="shared" si="0"/>
        <v>-5490.6054103466004</v>
      </c>
      <c r="AL85" s="1">
        <f t="shared" si="0"/>
        <v>-5326.6566666110002</v>
      </c>
      <c r="AM85" s="1">
        <f t="shared" si="0"/>
        <v>-5162.2297390395051</v>
      </c>
      <c r="AN85" s="1">
        <f t="shared" si="0"/>
        <v>-4997.3232329292605</v>
      </c>
      <c r="AO85" s="1">
        <f t="shared" si="0"/>
        <v>-4831.9357495095283</v>
      </c>
      <c r="AP85" s="1">
        <f t="shared" si="0"/>
        <v>-4666.065885929821</v>
      </c>
      <c r="AQ85" s="1">
        <f t="shared" si="0"/>
        <v>-4499.7122352480064</v>
      </c>
      <c r="AR85" s="1">
        <f t="shared" si="0"/>
        <v>-4332.8733864183696</v>
      </c>
      <c r="AS85" s="1">
        <f t="shared" si="0"/>
        <v>-4165.5479242796464</v>
      </c>
      <c r="AT85" s="1">
        <f t="shared" si="0"/>
        <v>-3997.7344295430194</v>
      </c>
      <c r="AU85" s="1">
        <f t="shared" si="0"/>
        <v>-3829.4314787800758</v>
      </c>
      <c r="AV85" s="1">
        <f t="shared" si="0"/>
        <v>-3660.63764441074</v>
      </c>
      <c r="AW85" s="1">
        <f t="shared" si="0"/>
        <v>-3491.3514946911619</v>
      </c>
      <c r="AX85" s="1">
        <f t="shared" si="0"/>
        <v>-3321.5715937015684</v>
      </c>
      <c r="AY85" s="1">
        <f t="shared" si="0"/>
        <v>-3151.2965013340877</v>
      </c>
      <c r="AZ85" s="1">
        <f t="shared" si="0"/>
        <v>-2980.5247732805351</v>
      </c>
      <c r="BA85" s="1">
        <f t="shared" si="0"/>
        <v>-2809.25496102016</v>
      </c>
      <c r="BB85" s="1">
        <f t="shared" si="0"/>
        <v>-2637.4856118073585</v>
      </c>
      <c r="BC85" s="1">
        <f t="shared" si="0"/>
        <v>-2465.2152686593536</v>
      </c>
      <c r="BD85" s="1">
        <f t="shared" si="0"/>
        <v>-2292.4424703438331</v>
      </c>
      <c r="BE85" s="1">
        <f t="shared" si="0"/>
        <v>-2119.1657513665591</v>
      </c>
      <c r="BF85" s="1">
        <f t="shared" si="0"/>
        <v>-1945.3836419589352</v>
      </c>
      <c r="BG85" s="1">
        <f t="shared" si="0"/>
        <v>-1771.0946680655388</v>
      </c>
      <c r="BH85" s="1">
        <f t="shared" si="0"/>
        <v>-1596.2973513316194</v>
      </c>
      <c r="BI85" s="1">
        <f t="shared" si="0"/>
        <v>-1420.9902090905603</v>
      </c>
      <c r="BJ85" s="1">
        <f t="shared" si="0"/>
        <v>-1245.171754351298</v>
      </c>
      <c r="BK85" s="1">
        <f t="shared" si="0"/>
        <v>-1068.8404957857124</v>
      </c>
      <c r="BL85" s="1">
        <f t="shared" si="0"/>
        <v>-891.99493771597713</v>
      </c>
      <c r="BM85" s="1">
        <f t="shared" si="0"/>
        <v>-714.6335801018721</v>
      </c>
      <c r="BN85" s="1">
        <f t="shared" si="0"/>
        <v>-536.75491852805931</v>
      </c>
      <c r="BO85" s="1">
        <f t="shared" si="0"/>
        <v>-358.35744419132277</v>
      </c>
      <c r="BP85" s="1">
        <f t="shared" si="0"/>
        <v>-179.4396438877707</v>
      </c>
    </row>
    <row r="86" spans="8:68" x14ac:dyDescent="0.25">
      <c r="H86">
        <v>9741.454750130868</v>
      </c>
      <c r="K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8:68" x14ac:dyDescent="0.25">
      <c r="H87">
        <v>9589.9043169696397</v>
      </c>
      <c r="J87" s="1"/>
    </row>
    <row r="88" spans="8:68" x14ac:dyDescent="0.25">
      <c r="H88">
        <v>9437.9118617116928</v>
      </c>
      <c r="J88" s="1"/>
    </row>
    <row r="89" spans="8:68" x14ac:dyDescent="0.25">
      <c r="H89">
        <v>9285.4760951259068</v>
      </c>
      <c r="J89" s="1"/>
    </row>
    <row r="90" spans="8:68" x14ac:dyDescent="0.25">
      <c r="H90">
        <v>9132.5957242209151</v>
      </c>
      <c r="J90" s="1"/>
    </row>
    <row r="91" spans="8:68" x14ac:dyDescent="0.25">
      <c r="H91">
        <v>8979.2694522341153</v>
      </c>
      <c r="J91" s="1"/>
    </row>
    <row r="92" spans="8:68" x14ac:dyDescent="0.25">
      <c r="H92">
        <v>8825.4959786206873</v>
      </c>
      <c r="J92" s="1"/>
    </row>
    <row r="93" spans="8:68" x14ac:dyDescent="0.25">
      <c r="H93">
        <v>8671.2739990425544</v>
      </c>
      <c r="J93" s="1"/>
    </row>
    <row r="94" spans="8:68" x14ac:dyDescent="0.25">
      <c r="H94">
        <v>8516.6022053573215</v>
      </c>
      <c r="J94" s="1"/>
    </row>
    <row r="95" spans="8:68" x14ac:dyDescent="0.25">
      <c r="H95">
        <v>8361.4792856071672</v>
      </c>
      <c r="J95" s="1"/>
    </row>
    <row r="96" spans="8:68" x14ac:dyDescent="0.25">
      <c r="H96">
        <v>8205.9039240077454</v>
      </c>
      <c r="J96" s="1"/>
    </row>
    <row r="97" spans="8:10" x14ac:dyDescent="0.25">
      <c r="H97">
        <v>8049.8748009369911</v>
      </c>
      <c r="J97" s="1"/>
    </row>
    <row r="98" spans="8:10" x14ac:dyDescent="0.25">
      <c r="H98">
        <v>7893.390592923949</v>
      </c>
    </row>
    <row r="99" spans="8:10" x14ac:dyDescent="0.25">
      <c r="H99">
        <v>7736.4499726375334</v>
      </c>
    </row>
    <row r="100" spans="8:10" x14ac:dyDescent="0.25">
      <c r="H100">
        <v>7579.051608875282</v>
      </c>
    </row>
    <row r="101" spans="8:10" x14ac:dyDescent="0.25">
      <c r="H101">
        <v>7421.1941665520571</v>
      </c>
    </row>
    <row r="102" spans="8:10" x14ac:dyDescent="0.25">
      <c r="H102">
        <v>7262.8763066887259</v>
      </c>
    </row>
    <row r="103" spans="8:10" x14ac:dyDescent="0.25">
      <c r="H103">
        <v>7104.0966864007905</v>
      </c>
    </row>
    <row r="104" spans="8:10" x14ac:dyDescent="0.25">
      <c r="H104">
        <v>6944.8539588870162</v>
      </c>
    </row>
    <row r="105" spans="8:10" x14ac:dyDescent="0.25">
      <c r="H105">
        <v>6785.1467734179914</v>
      </c>
    </row>
    <row r="106" spans="8:10" x14ac:dyDescent="0.25">
      <c r="H106">
        <v>6624.9737753246836</v>
      </c>
    </row>
    <row r="107" spans="8:10" x14ac:dyDescent="0.25">
      <c r="H107">
        <v>6464.333605986938</v>
      </c>
    </row>
    <row r="108" spans="8:10" x14ac:dyDescent="0.25">
      <c r="H108">
        <v>6303.2249028219567</v>
      </c>
    </row>
    <row r="109" spans="8:10" x14ac:dyDescent="0.25">
      <c r="H109">
        <v>6141.6462992727447</v>
      </c>
    </row>
    <row r="110" spans="8:10" x14ac:dyDescent="0.25">
      <c r="H110">
        <v>5979.596424796513</v>
      </c>
    </row>
    <row r="111" spans="8:10" x14ac:dyDescent="0.25">
      <c r="H111">
        <v>5817.0739048530595</v>
      </c>
    </row>
    <row r="112" spans="8:10" x14ac:dyDescent="0.25">
      <c r="H112">
        <v>5654.0773608931049</v>
      </c>
    </row>
    <row r="113" spans="8:8" x14ac:dyDescent="0.25">
      <c r="H113">
        <v>5490.6054103466004</v>
      </c>
    </row>
    <row r="114" spans="8:8" x14ac:dyDescent="0.25">
      <c r="H114">
        <v>5326.6566666110002</v>
      </c>
    </row>
    <row r="115" spans="8:8" x14ac:dyDescent="0.25">
      <c r="H115">
        <v>5162.2297390395051</v>
      </c>
    </row>
    <row r="116" spans="8:8" x14ac:dyDescent="0.25">
      <c r="H116">
        <v>4997.3232329292605</v>
      </c>
    </row>
    <row r="117" spans="8:8" x14ac:dyDescent="0.25">
      <c r="H117">
        <v>4831.9357495095283</v>
      </c>
    </row>
    <row r="118" spans="8:8" x14ac:dyDescent="0.25">
      <c r="H118">
        <v>4666.065885929821</v>
      </c>
    </row>
    <row r="119" spans="8:8" x14ac:dyDescent="0.25">
      <c r="H119">
        <v>4499.7122352480064</v>
      </c>
    </row>
    <row r="120" spans="8:8" x14ac:dyDescent="0.25">
      <c r="H120">
        <v>4332.8733864183696</v>
      </c>
    </row>
    <row r="121" spans="8:8" x14ac:dyDescent="0.25">
      <c r="H121">
        <v>4165.5479242796464</v>
      </c>
    </row>
    <row r="122" spans="8:8" x14ac:dyDescent="0.25">
      <c r="H122">
        <v>3997.7344295430194</v>
      </c>
    </row>
    <row r="123" spans="8:8" x14ac:dyDescent="0.25">
      <c r="H123">
        <v>3829.4314787800758</v>
      </c>
    </row>
    <row r="124" spans="8:8" x14ac:dyDescent="0.25">
      <c r="H124">
        <v>3660.63764441074</v>
      </c>
    </row>
    <row r="125" spans="8:8" x14ac:dyDescent="0.25">
      <c r="H125">
        <v>3491.3514946911619</v>
      </c>
    </row>
    <row r="126" spans="8:8" x14ac:dyDescent="0.25">
      <c r="H126">
        <v>3321.5715937015684</v>
      </c>
    </row>
    <row r="127" spans="8:8" x14ac:dyDescent="0.25">
      <c r="H127">
        <v>3151.2965013340877</v>
      </c>
    </row>
    <row r="128" spans="8:8" x14ac:dyDescent="0.25">
      <c r="H128">
        <v>2980.5247732805351</v>
      </c>
    </row>
    <row r="129" spans="8:8" x14ac:dyDescent="0.25">
      <c r="H129">
        <v>2809.25496102016</v>
      </c>
    </row>
    <row r="130" spans="8:8" x14ac:dyDescent="0.25">
      <c r="H130">
        <v>2637.4856118073585</v>
      </c>
    </row>
    <row r="131" spans="8:8" x14ac:dyDescent="0.25">
      <c r="H131">
        <v>2465.2152686593536</v>
      </c>
    </row>
    <row r="132" spans="8:8" x14ac:dyDescent="0.25">
      <c r="H132">
        <v>2292.4424703438331</v>
      </c>
    </row>
    <row r="133" spans="8:8" x14ac:dyDescent="0.25">
      <c r="H133">
        <v>2119.1657513665591</v>
      </c>
    </row>
    <row r="134" spans="8:8" x14ac:dyDescent="0.25">
      <c r="H134">
        <v>1945.3836419589352</v>
      </c>
    </row>
    <row r="135" spans="8:8" x14ac:dyDescent="0.25">
      <c r="H135">
        <v>1771.0946680655388</v>
      </c>
    </row>
    <row r="136" spans="8:8" x14ac:dyDescent="0.25">
      <c r="H136">
        <v>1596.2973513316194</v>
      </c>
    </row>
    <row r="137" spans="8:8" x14ac:dyDescent="0.25">
      <c r="H137">
        <v>1420.9902090905603</v>
      </c>
    </row>
    <row r="138" spans="8:8" x14ac:dyDescent="0.25">
      <c r="H138">
        <v>1245.171754351298</v>
      </c>
    </row>
    <row r="139" spans="8:8" x14ac:dyDescent="0.25">
      <c r="H139">
        <v>1068.8404957857124</v>
      </c>
    </row>
    <row r="140" spans="8:8" x14ac:dyDescent="0.25">
      <c r="H140">
        <v>891.99493771597713</v>
      </c>
    </row>
    <row r="141" spans="8:8" x14ac:dyDescent="0.25">
      <c r="H141">
        <v>714.6335801018721</v>
      </c>
    </row>
    <row r="142" spans="8:8" x14ac:dyDescent="0.25">
      <c r="H142">
        <v>536.75491852805931</v>
      </c>
    </row>
    <row r="143" spans="8:8" x14ac:dyDescent="0.25">
      <c r="H143">
        <v>358.35744419132277</v>
      </c>
    </row>
    <row r="144" spans="8:8" x14ac:dyDescent="0.25">
      <c r="H144">
        <v>179.4396438877707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 Viabilidad 40 manteniendo+ ESE</vt:lpstr>
      <vt:lpstr> Viabilidad40manteniendo+2plESE</vt:lpstr>
      <vt:lpstr> Viabilidad40manteniendo+1plESE</vt:lpstr>
      <vt:lpstr> Viabilidad 40 manteniendo+2pl</vt:lpstr>
      <vt:lpstr> Viabilidad 40 manteniendo+1pl</vt:lpstr>
      <vt:lpstr> Viabilidad 40 NE</vt:lpstr>
      <vt:lpstr> Viabilidad 40 NE ampliando 2pl</vt:lpstr>
      <vt:lpstr> Viabilidad 40 NE ampliando 1pl</vt:lpstr>
      <vt:lpstr>intereses</vt:lpstr>
      <vt:lpstr>evolucion certificaciones nuevo</vt:lpstr>
      <vt:lpstr>AñosPréstamo</vt:lpstr>
      <vt:lpstr>CantidadPréstamo</vt:lpstr>
      <vt:lpstr>FechaInicioPréstamo</vt:lpstr>
      <vt:lpstr>NúmeroDePagos</vt:lpstr>
      <vt:lpstr>TasaInterés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Mingarro Montori</dc:creator>
  <cp:lastModifiedBy>luism</cp:lastModifiedBy>
  <dcterms:created xsi:type="dcterms:W3CDTF">2019-05-21T15:51:49Z</dcterms:created>
  <dcterms:modified xsi:type="dcterms:W3CDTF">2022-12-04T17:00:27Z</dcterms:modified>
</cp:coreProperties>
</file>