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m\Dropbox\TESIS\10 ANEXOS INVESTIGACION\OBJETIVO 4\Analisis sensilibidad multivariable\"/>
    </mc:Choice>
  </mc:AlternateContent>
  <xr:revisionPtr revIDLastSave="0" documentId="13_ncr:1_{91C355CB-D0DE-4FED-B498-5FBDF3CD6C87}" xr6:coauthVersionLast="47" xr6:coauthVersionMax="47" xr10:uidLastSave="{00000000-0000-0000-0000-000000000000}"/>
  <bookViews>
    <workbookView xWindow="-120" yWindow="-120" windowWidth="20730" windowHeight="11160" tabRatio="806" xr2:uid="{00000000-000D-0000-FFFF-FFFF00000000}"/>
  </bookViews>
  <sheets>
    <sheet name=" Viabilidad 88 manteniendo+ ESE" sheetId="20" r:id="rId1"/>
    <sheet name=" Viabilidad88manteniendo+2plESE" sheetId="18" r:id="rId2"/>
    <sheet name=" Viabilidad88manteniendo+1plESE" sheetId="16" r:id="rId3"/>
    <sheet name=" Viabilidad 88 manteniendo+2pl" sheetId="14" r:id="rId4"/>
    <sheet name=" Viabilidad 88 manteniendo+1pl" sheetId="13" r:id="rId5"/>
    <sheet name=" Viabilidad 88 NE" sheetId="12" r:id="rId6"/>
    <sheet name=" Viabilidad 88 NE ampliando 2pl" sheetId="11" r:id="rId7"/>
    <sheet name=" Viabilidad 88 NE ampliando 1pl" sheetId="3" r:id="rId8"/>
    <sheet name="intereses" sheetId="6" state="hidden" r:id="rId9"/>
    <sheet name="evolucion certificaciones nuevo" sheetId="10" state="hidden" r:id="rId10"/>
  </sheets>
  <externalReferences>
    <externalReference r:id="rId11"/>
  </externalReferences>
  <definedNames>
    <definedName name="AmortizaciónInterés">-IPMT(TasaInterés/12,NúmeroDePago,NúmeroDePagos,CantidadPréstamo)</definedName>
    <definedName name="AñosPréstamo">intereses!$D$6</definedName>
    <definedName name="CantidadPréstamo">intereses!$D$4</definedName>
    <definedName name="FechaInicioPréstamo">intereses!$D$7</definedName>
    <definedName name="FilaEncabezados">ROW(intereses!$9:$9)</definedName>
    <definedName name="NúmeroDePago">ROW()-FilaEncabezados</definedName>
    <definedName name="NúmeroDePagos">intereses!$H$5</definedName>
    <definedName name="PréstamoNoPagado">IF(NúmeroDePago&lt;=NúmeroDePagos,1,0)</definedName>
    <definedName name="PréstamoPagado">IF(CantidadPréstamo*TasaInterés*AñosPréstamo*FechaInicioPréstamo&gt;0,1,0)</definedName>
    <definedName name="TasaInterés">intereses!$D$5</definedName>
    <definedName name="ÚltimaFila">MATCH(9.99E+307,'[1]Calculadora de préstamos'!$B:$B)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0" l="1"/>
  <c r="C17" i="10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Z18" i="11"/>
  <c r="D18" i="11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Z18" i="3"/>
  <c r="B10" i="10"/>
  <c r="C10" i="10"/>
  <c r="D18" i="3"/>
  <c r="D10" i="10"/>
  <c r="CU43" i="3"/>
  <c r="D46" i="3"/>
  <c r="CN46" i="3" s="1"/>
  <c r="E38" i="18"/>
  <c r="CU43" i="11"/>
  <c r="D46" i="11"/>
  <c r="CU46" i="11" s="1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G47" i="3"/>
  <c r="F47" i="3"/>
  <c r="CT46" i="3"/>
  <c r="CS46" i="3"/>
  <c r="CQ46" i="3"/>
  <c r="CP46" i="3"/>
  <c r="CO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F46" i="3"/>
  <c r="G46" i="3" s="1"/>
  <c r="D42" i="3"/>
  <c r="F42" i="3" s="1"/>
  <c r="D41" i="3"/>
  <c r="F41" i="3" s="1"/>
  <c r="CU47" i="11"/>
  <c r="CT47" i="11"/>
  <c r="CS47" i="11"/>
  <c r="CR47" i="11"/>
  <c r="CQ47" i="11"/>
  <c r="CP47" i="11"/>
  <c r="CO47" i="11"/>
  <c r="CN47" i="11"/>
  <c r="CM47" i="11"/>
  <c r="CL47" i="11"/>
  <c r="CK47" i="11"/>
  <c r="CJ47" i="11"/>
  <c r="CI47" i="1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F47" i="11"/>
  <c r="G47" i="11" s="1"/>
  <c r="CS46" i="11"/>
  <c r="CR46" i="11"/>
  <c r="CQ46" i="11"/>
  <c r="CP46" i="11"/>
  <c r="CO46" i="11"/>
  <c r="CN46" i="11"/>
  <c r="CK46" i="11"/>
  <c r="CJ46" i="11"/>
  <c r="CI46" i="11"/>
  <c r="CH46" i="11"/>
  <c r="CG46" i="11"/>
  <c r="CF46" i="11"/>
  <c r="CC46" i="11"/>
  <c r="CB46" i="11"/>
  <c r="CA46" i="11"/>
  <c r="BZ46" i="11"/>
  <c r="BY46" i="11"/>
  <c r="BX46" i="11"/>
  <c r="BU46" i="11"/>
  <c r="BT46" i="11"/>
  <c r="BS46" i="11"/>
  <c r="BR46" i="11"/>
  <c r="BQ46" i="11"/>
  <c r="BP46" i="11"/>
  <c r="BM46" i="11"/>
  <c r="BL46" i="11"/>
  <c r="BK46" i="11"/>
  <c r="BJ46" i="11"/>
  <c r="BI46" i="11"/>
  <c r="BH46" i="11"/>
  <c r="BE46" i="11"/>
  <c r="BD46" i="11"/>
  <c r="BC46" i="11"/>
  <c r="BB46" i="11"/>
  <c r="BA46" i="11"/>
  <c r="AZ46" i="11"/>
  <c r="AW46" i="11"/>
  <c r="AV46" i="11"/>
  <c r="AU46" i="11"/>
  <c r="AT46" i="11"/>
  <c r="AS46" i="11"/>
  <c r="AR46" i="11"/>
  <c r="AO46" i="11"/>
  <c r="AN46" i="11"/>
  <c r="F46" i="11"/>
  <c r="G48" i="11" s="1"/>
  <c r="F42" i="11"/>
  <c r="F41" i="11"/>
  <c r="D42" i="11"/>
  <c r="D41" i="11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6" i="13"/>
  <c r="BD46" i="13"/>
  <c r="BE46" i="13"/>
  <c r="BF46" i="13"/>
  <c r="BG46" i="13"/>
  <c r="BH46" i="13"/>
  <c r="BI46" i="13"/>
  <c r="BJ46" i="13"/>
  <c r="BK46" i="13"/>
  <c r="BL46" i="13"/>
  <c r="BM46" i="13"/>
  <c r="BN46" i="13"/>
  <c r="BO46" i="13"/>
  <c r="BP46" i="13"/>
  <c r="BQ46" i="13"/>
  <c r="BR46" i="13"/>
  <c r="BS46" i="13"/>
  <c r="BT46" i="13"/>
  <c r="BU46" i="13"/>
  <c r="BV46" i="13"/>
  <c r="BW46" i="13"/>
  <c r="BX46" i="13"/>
  <c r="BY46" i="13"/>
  <c r="BZ46" i="13"/>
  <c r="CA46" i="13"/>
  <c r="CB46" i="13"/>
  <c r="CC46" i="13"/>
  <c r="CD46" i="13"/>
  <c r="CE46" i="13"/>
  <c r="CF46" i="13"/>
  <c r="CG46" i="13"/>
  <c r="CH46" i="13"/>
  <c r="CI46" i="13"/>
  <c r="CJ46" i="13"/>
  <c r="CK46" i="13"/>
  <c r="CL46" i="13"/>
  <c r="CM46" i="13"/>
  <c r="CN46" i="13"/>
  <c r="CO46" i="13"/>
  <c r="CP46" i="13"/>
  <c r="CQ46" i="13"/>
  <c r="CR46" i="13"/>
  <c r="CS46" i="13"/>
  <c r="CT46" i="13"/>
  <c r="CU46" i="13"/>
  <c r="AN46" i="13"/>
  <c r="G48" i="13"/>
  <c r="CU47" i="13"/>
  <c r="CT47" i="13"/>
  <c r="CS47" i="13"/>
  <c r="CR47" i="13"/>
  <c r="CQ47" i="13"/>
  <c r="CP47" i="13"/>
  <c r="CO47" i="13"/>
  <c r="CN47" i="13"/>
  <c r="CM47" i="13"/>
  <c r="CL47" i="13"/>
  <c r="CK47" i="13"/>
  <c r="CJ47" i="13"/>
  <c r="CI47" i="13"/>
  <c r="CH47" i="13"/>
  <c r="CG47" i="13"/>
  <c r="CF47" i="13"/>
  <c r="CE47" i="13"/>
  <c r="CD47" i="13"/>
  <c r="CC47" i="13"/>
  <c r="CB47" i="13"/>
  <c r="CA47" i="13"/>
  <c r="BZ47" i="13"/>
  <c r="BY47" i="13"/>
  <c r="BX47" i="13"/>
  <c r="BW47" i="13"/>
  <c r="BV47" i="13"/>
  <c r="BU47" i="13"/>
  <c r="BT47" i="13"/>
  <c r="BS47" i="13"/>
  <c r="BR47" i="13"/>
  <c r="BQ47" i="13"/>
  <c r="BP47" i="13"/>
  <c r="BO47" i="13"/>
  <c r="BN47" i="13"/>
  <c r="BM47" i="13"/>
  <c r="BL47" i="13"/>
  <c r="BK47" i="13"/>
  <c r="BJ47" i="13"/>
  <c r="BI47" i="13"/>
  <c r="BH47" i="13"/>
  <c r="BG47" i="13"/>
  <c r="BF47" i="13"/>
  <c r="BE47" i="13"/>
  <c r="BD47" i="13"/>
  <c r="BC47" i="13"/>
  <c r="BB47" i="13"/>
  <c r="BA47" i="13"/>
  <c r="AZ47" i="13"/>
  <c r="AY47" i="13"/>
  <c r="AX47" i="13"/>
  <c r="AW47" i="13"/>
  <c r="AV47" i="13"/>
  <c r="AU47" i="13"/>
  <c r="AT47" i="13"/>
  <c r="AS47" i="13"/>
  <c r="AR47" i="13"/>
  <c r="AQ47" i="13"/>
  <c r="AP47" i="13"/>
  <c r="AO47" i="13"/>
  <c r="AN47" i="13"/>
  <c r="F47" i="13"/>
  <c r="G47" i="13" s="1"/>
  <c r="D46" i="13"/>
  <c r="F46" i="13" s="1"/>
  <c r="D42" i="13"/>
  <c r="F42" i="13" s="1"/>
  <c r="D41" i="13"/>
  <c r="F41" i="13" s="1"/>
  <c r="AO46" i="14"/>
  <c r="AP46" i="14"/>
  <c r="AQ46" i="14"/>
  <c r="AR46" i="14"/>
  <c r="AS46" i="14"/>
  <c r="AT46" i="14"/>
  <c r="AU46" i="14"/>
  <c r="AV46" i="14"/>
  <c r="AW46" i="14"/>
  <c r="AX46" i="14"/>
  <c r="AY46" i="14"/>
  <c r="AZ46" i="14"/>
  <c r="BA46" i="14"/>
  <c r="BB46" i="14"/>
  <c r="BC46" i="14"/>
  <c r="BD46" i="14"/>
  <c r="BE46" i="14"/>
  <c r="BF46" i="14"/>
  <c r="BG46" i="14"/>
  <c r="BH46" i="14"/>
  <c r="BI46" i="14"/>
  <c r="BJ46" i="14"/>
  <c r="BK46" i="14"/>
  <c r="BL46" i="14"/>
  <c r="BM46" i="14"/>
  <c r="BN46" i="14"/>
  <c r="BO46" i="14"/>
  <c r="BP46" i="14"/>
  <c r="BQ46" i="14"/>
  <c r="BR46" i="14"/>
  <c r="BS46" i="14"/>
  <c r="BT46" i="14"/>
  <c r="BU46" i="14"/>
  <c r="BV46" i="14"/>
  <c r="BW46" i="14"/>
  <c r="BX46" i="14"/>
  <c r="BY46" i="14"/>
  <c r="BZ46" i="14"/>
  <c r="CA46" i="14"/>
  <c r="CB46" i="14"/>
  <c r="CC46" i="14"/>
  <c r="CD46" i="14"/>
  <c r="CE46" i="14"/>
  <c r="CF46" i="14"/>
  <c r="CG46" i="14"/>
  <c r="CH46" i="14"/>
  <c r="CI46" i="14"/>
  <c r="CJ46" i="14"/>
  <c r="CK46" i="14"/>
  <c r="CL46" i="14"/>
  <c r="CM46" i="14"/>
  <c r="CN46" i="14"/>
  <c r="CO46" i="14"/>
  <c r="CP46" i="14"/>
  <c r="CQ46" i="14"/>
  <c r="CR46" i="14"/>
  <c r="CS46" i="14"/>
  <c r="CT46" i="14"/>
  <c r="CU46" i="14"/>
  <c r="AN46" i="14"/>
  <c r="CN47" i="14"/>
  <c r="CF47" i="14"/>
  <c r="BX47" i="14"/>
  <c r="BP47" i="14"/>
  <c r="BH47" i="14"/>
  <c r="AZ47" i="14"/>
  <c r="AR47" i="14"/>
  <c r="CU47" i="14"/>
  <c r="F45" i="14"/>
  <c r="D46" i="14"/>
  <c r="F46" i="14" s="1"/>
  <c r="D42" i="14"/>
  <c r="F42" i="14" s="1"/>
  <c r="D41" i="14"/>
  <c r="F41" i="14" s="1"/>
  <c r="AO46" i="16"/>
  <c r="AP46" i="16"/>
  <c r="AQ46" i="16"/>
  <c r="AR46" i="16"/>
  <c r="AS46" i="16"/>
  <c r="AT46" i="16"/>
  <c r="AU46" i="16"/>
  <c r="AV46" i="16"/>
  <c r="AW46" i="16"/>
  <c r="AX46" i="16"/>
  <c r="AY46" i="16"/>
  <c r="AZ46" i="16"/>
  <c r="BA46" i="16"/>
  <c r="BB46" i="16"/>
  <c r="BC46" i="16"/>
  <c r="BD46" i="16"/>
  <c r="BE46" i="16"/>
  <c r="BF46" i="16"/>
  <c r="BG46" i="16"/>
  <c r="BH46" i="16"/>
  <c r="BI46" i="16"/>
  <c r="BJ46" i="16"/>
  <c r="BK46" i="16"/>
  <c r="BL46" i="16"/>
  <c r="BM46" i="16"/>
  <c r="BN46" i="16"/>
  <c r="BO46" i="16"/>
  <c r="BP46" i="16"/>
  <c r="BQ46" i="16"/>
  <c r="BR46" i="16"/>
  <c r="BS46" i="16"/>
  <c r="BT46" i="16"/>
  <c r="BU46" i="16"/>
  <c r="BV46" i="16"/>
  <c r="BW46" i="16"/>
  <c r="BX46" i="16"/>
  <c r="BY46" i="16"/>
  <c r="BZ46" i="16"/>
  <c r="CA46" i="16"/>
  <c r="CB46" i="16"/>
  <c r="CC46" i="16"/>
  <c r="CD46" i="16"/>
  <c r="CE46" i="16"/>
  <c r="CF46" i="16"/>
  <c r="CG46" i="16"/>
  <c r="CH46" i="16"/>
  <c r="CI46" i="16"/>
  <c r="CJ46" i="16"/>
  <c r="CK46" i="16"/>
  <c r="CL46" i="16"/>
  <c r="CM46" i="16"/>
  <c r="CN46" i="16"/>
  <c r="CO46" i="16"/>
  <c r="CP46" i="16"/>
  <c r="CQ46" i="16"/>
  <c r="CR46" i="16"/>
  <c r="CS46" i="16"/>
  <c r="CT46" i="16"/>
  <c r="CU46" i="16"/>
  <c r="AO47" i="16"/>
  <c r="AP47" i="16"/>
  <c r="AQ47" i="16"/>
  <c r="AR47" i="16"/>
  <c r="AS47" i="16"/>
  <c r="AT47" i="16"/>
  <c r="AU47" i="16"/>
  <c r="AV47" i="16"/>
  <c r="AW47" i="16"/>
  <c r="AX47" i="16"/>
  <c r="AY47" i="16"/>
  <c r="AZ47" i="16"/>
  <c r="BA47" i="16"/>
  <c r="BB47" i="16"/>
  <c r="BC47" i="16"/>
  <c r="BD47" i="16"/>
  <c r="BE47" i="16"/>
  <c r="BF47" i="16"/>
  <c r="BG47" i="16"/>
  <c r="BH47" i="16"/>
  <c r="BI47" i="16"/>
  <c r="BJ47" i="16"/>
  <c r="BK47" i="16"/>
  <c r="BL47" i="16"/>
  <c r="BM47" i="16"/>
  <c r="BN47" i="16"/>
  <c r="BO47" i="16"/>
  <c r="BP47" i="16"/>
  <c r="BQ47" i="16"/>
  <c r="BR47" i="16"/>
  <c r="BS47" i="16"/>
  <c r="BT47" i="16"/>
  <c r="BU47" i="16"/>
  <c r="BV47" i="16"/>
  <c r="BW47" i="16"/>
  <c r="BX47" i="16"/>
  <c r="BY47" i="16"/>
  <c r="BZ47" i="16"/>
  <c r="CA47" i="16"/>
  <c r="CB47" i="16"/>
  <c r="CC47" i="16"/>
  <c r="CD47" i="16"/>
  <c r="CE47" i="16"/>
  <c r="CF47" i="16"/>
  <c r="CG47" i="16"/>
  <c r="CH47" i="16"/>
  <c r="CI47" i="16"/>
  <c r="CJ47" i="16"/>
  <c r="CK47" i="16"/>
  <c r="CL47" i="16"/>
  <c r="CM47" i="16"/>
  <c r="CN47" i="16"/>
  <c r="CO47" i="16"/>
  <c r="CP47" i="16"/>
  <c r="CQ47" i="16"/>
  <c r="CR47" i="16"/>
  <c r="CS47" i="16"/>
  <c r="CT47" i="16"/>
  <c r="CU47" i="16"/>
  <c r="AN47" i="16"/>
  <c r="AN46" i="16"/>
  <c r="G49" i="16"/>
  <c r="G48" i="16"/>
  <c r="D47" i="16"/>
  <c r="F47" i="16" s="1"/>
  <c r="D46" i="16"/>
  <c r="F46" i="16" s="1"/>
  <c r="D42" i="16"/>
  <c r="F42" i="16" s="1"/>
  <c r="D41" i="16"/>
  <c r="F41" i="16" s="1"/>
  <c r="AO46" i="18"/>
  <c r="AP46" i="18"/>
  <c r="AQ46" i="18"/>
  <c r="AR46" i="18"/>
  <c r="AS46" i="18"/>
  <c r="AT46" i="18"/>
  <c r="AU46" i="18"/>
  <c r="AV46" i="18"/>
  <c r="AW46" i="18"/>
  <c r="AX46" i="18"/>
  <c r="AY46" i="18"/>
  <c r="AZ46" i="18"/>
  <c r="BA46" i="18"/>
  <c r="BB46" i="18"/>
  <c r="BC46" i="18"/>
  <c r="BD46" i="18"/>
  <c r="BE46" i="18"/>
  <c r="BF46" i="18"/>
  <c r="BG46" i="18"/>
  <c r="BH46" i="18"/>
  <c r="BI46" i="18"/>
  <c r="BJ46" i="18"/>
  <c r="BK46" i="18"/>
  <c r="BL46" i="18"/>
  <c r="BM46" i="18"/>
  <c r="BN46" i="18"/>
  <c r="BO46" i="18"/>
  <c r="BP46" i="18"/>
  <c r="BQ46" i="18"/>
  <c r="BR46" i="18"/>
  <c r="BS46" i="18"/>
  <c r="BT46" i="18"/>
  <c r="BU46" i="18"/>
  <c r="BV46" i="18"/>
  <c r="BW46" i="18"/>
  <c r="BX46" i="18"/>
  <c r="BY46" i="18"/>
  <c r="BZ46" i="18"/>
  <c r="CA46" i="18"/>
  <c r="CB46" i="18"/>
  <c r="CC46" i="18"/>
  <c r="CD46" i="18"/>
  <c r="CE46" i="18"/>
  <c r="CF46" i="18"/>
  <c r="CG46" i="18"/>
  <c r="CH46" i="18"/>
  <c r="CI46" i="18"/>
  <c r="CJ46" i="18"/>
  <c r="CK46" i="18"/>
  <c r="CL46" i="18"/>
  <c r="CM46" i="18"/>
  <c r="CN46" i="18"/>
  <c r="CO46" i="18"/>
  <c r="CP46" i="18"/>
  <c r="CQ46" i="18"/>
  <c r="CR46" i="18"/>
  <c r="CS46" i="18"/>
  <c r="CT46" i="18"/>
  <c r="CU46" i="18"/>
  <c r="AO47" i="18"/>
  <c r="AP47" i="18"/>
  <c r="AQ47" i="18"/>
  <c r="AR47" i="18"/>
  <c r="AS47" i="18"/>
  <c r="AT47" i="18"/>
  <c r="AU47" i="18"/>
  <c r="AV47" i="18"/>
  <c r="AW47" i="18"/>
  <c r="AX47" i="18"/>
  <c r="AY47" i="18"/>
  <c r="AZ47" i="18"/>
  <c r="BA47" i="18"/>
  <c r="BB47" i="18"/>
  <c r="BC47" i="18"/>
  <c r="BD47" i="18"/>
  <c r="BE47" i="18"/>
  <c r="BF47" i="18"/>
  <c r="BG47" i="18"/>
  <c r="BH47" i="18"/>
  <c r="BI47" i="18"/>
  <c r="BJ47" i="18"/>
  <c r="BK47" i="18"/>
  <c r="BL47" i="18"/>
  <c r="BM47" i="18"/>
  <c r="BN47" i="18"/>
  <c r="BO47" i="18"/>
  <c r="BP47" i="18"/>
  <c r="BQ47" i="18"/>
  <c r="BR47" i="18"/>
  <c r="BS47" i="18"/>
  <c r="BT47" i="18"/>
  <c r="BU47" i="18"/>
  <c r="BV47" i="18"/>
  <c r="BW47" i="18"/>
  <c r="BX47" i="18"/>
  <c r="BY47" i="18"/>
  <c r="BZ47" i="18"/>
  <c r="CA47" i="18"/>
  <c r="CB47" i="18"/>
  <c r="CC47" i="18"/>
  <c r="CD47" i="18"/>
  <c r="CE47" i="18"/>
  <c r="CF47" i="18"/>
  <c r="CG47" i="18"/>
  <c r="CH47" i="18"/>
  <c r="CI47" i="18"/>
  <c r="CJ47" i="18"/>
  <c r="CK47" i="18"/>
  <c r="CL47" i="18"/>
  <c r="CM47" i="18"/>
  <c r="CN47" i="18"/>
  <c r="CO47" i="18"/>
  <c r="CP47" i="18"/>
  <c r="CQ47" i="18"/>
  <c r="CR47" i="18"/>
  <c r="CS47" i="18"/>
  <c r="CT47" i="18"/>
  <c r="CU47" i="18"/>
  <c r="AN47" i="18"/>
  <c r="AN46" i="18"/>
  <c r="G48" i="18"/>
  <c r="D47" i="18"/>
  <c r="F47" i="18" s="1"/>
  <c r="D46" i="18"/>
  <c r="F46" i="18" s="1"/>
  <c r="D42" i="18"/>
  <c r="F42" i="18" s="1"/>
  <c r="D41" i="18"/>
  <c r="F41" i="18" s="1"/>
  <c r="AO46" i="20"/>
  <c r="AP46" i="20"/>
  <c r="AQ46" i="20"/>
  <c r="AR46" i="20"/>
  <c r="AS46" i="20"/>
  <c r="AT46" i="20"/>
  <c r="AU46" i="20"/>
  <c r="AV46" i="20"/>
  <c r="AW46" i="20"/>
  <c r="AX46" i="20"/>
  <c r="AY46" i="20"/>
  <c r="AZ46" i="20"/>
  <c r="BA46" i="20"/>
  <c r="BB46" i="20"/>
  <c r="BC46" i="20"/>
  <c r="BD46" i="20"/>
  <c r="BE46" i="20"/>
  <c r="BF46" i="20"/>
  <c r="BG46" i="20"/>
  <c r="BH46" i="20"/>
  <c r="BI46" i="20"/>
  <c r="BJ46" i="20"/>
  <c r="BK46" i="20"/>
  <c r="BL46" i="20"/>
  <c r="BM46" i="20"/>
  <c r="BN46" i="20"/>
  <c r="BO46" i="20"/>
  <c r="BP46" i="20"/>
  <c r="BQ46" i="20"/>
  <c r="BR46" i="20"/>
  <c r="BS46" i="20"/>
  <c r="BT46" i="20"/>
  <c r="BU46" i="20"/>
  <c r="BV46" i="20"/>
  <c r="BW46" i="20"/>
  <c r="BX46" i="20"/>
  <c r="BY46" i="20"/>
  <c r="BZ46" i="20"/>
  <c r="CA46" i="20"/>
  <c r="CB46" i="20"/>
  <c r="CC46" i="20"/>
  <c r="CD46" i="20"/>
  <c r="CE46" i="20"/>
  <c r="CF46" i="20"/>
  <c r="CG46" i="20"/>
  <c r="CH46" i="20"/>
  <c r="CI46" i="20"/>
  <c r="CJ46" i="20"/>
  <c r="CK46" i="20"/>
  <c r="CL46" i="20"/>
  <c r="CM46" i="20"/>
  <c r="CN46" i="20"/>
  <c r="CO46" i="20"/>
  <c r="CP46" i="20"/>
  <c r="CQ46" i="20"/>
  <c r="CR46" i="20"/>
  <c r="CS46" i="20"/>
  <c r="CT46" i="20"/>
  <c r="CU46" i="20"/>
  <c r="AO47" i="20"/>
  <c r="AP47" i="20"/>
  <c r="AQ47" i="20"/>
  <c r="AR47" i="20"/>
  <c r="AS47" i="20"/>
  <c r="AT47" i="20"/>
  <c r="AU47" i="20"/>
  <c r="AV47" i="20"/>
  <c r="AW47" i="20"/>
  <c r="AX47" i="20"/>
  <c r="AY47" i="20"/>
  <c r="AZ47" i="20"/>
  <c r="BA47" i="20"/>
  <c r="BB47" i="20"/>
  <c r="BC47" i="20"/>
  <c r="BD47" i="20"/>
  <c r="BE47" i="20"/>
  <c r="BF47" i="20"/>
  <c r="BG47" i="20"/>
  <c r="BH47" i="20"/>
  <c r="BI47" i="20"/>
  <c r="BJ47" i="20"/>
  <c r="BK47" i="20"/>
  <c r="BL47" i="20"/>
  <c r="BM47" i="20"/>
  <c r="BN47" i="20"/>
  <c r="BO47" i="20"/>
  <c r="BP47" i="20"/>
  <c r="BQ47" i="20"/>
  <c r="BR47" i="20"/>
  <c r="BS47" i="20"/>
  <c r="BT47" i="20"/>
  <c r="BU47" i="20"/>
  <c r="BV47" i="20"/>
  <c r="BW47" i="20"/>
  <c r="BX47" i="20"/>
  <c r="BY47" i="20"/>
  <c r="BZ47" i="20"/>
  <c r="CA47" i="20"/>
  <c r="CB47" i="20"/>
  <c r="CC47" i="20"/>
  <c r="CD47" i="20"/>
  <c r="CE47" i="20"/>
  <c r="CF47" i="20"/>
  <c r="CG47" i="20"/>
  <c r="CH47" i="20"/>
  <c r="CI47" i="20"/>
  <c r="CJ47" i="20"/>
  <c r="CK47" i="20"/>
  <c r="CL47" i="20"/>
  <c r="CM47" i="20"/>
  <c r="CN47" i="20"/>
  <c r="CO47" i="20"/>
  <c r="CP47" i="20"/>
  <c r="CQ47" i="20"/>
  <c r="CR47" i="20"/>
  <c r="CS47" i="20"/>
  <c r="CT47" i="20"/>
  <c r="CU47" i="20"/>
  <c r="AN47" i="20"/>
  <c r="AN46" i="20"/>
  <c r="F46" i="20"/>
  <c r="F42" i="20"/>
  <c r="D41" i="20"/>
  <c r="F41" i="20" s="1"/>
  <c r="D47" i="20"/>
  <c r="F47" i="20" s="1"/>
  <c r="G48" i="12"/>
  <c r="CU47" i="12"/>
  <c r="CT47" i="12"/>
  <c r="CN47" i="12"/>
  <c r="CM47" i="12"/>
  <c r="CL47" i="12"/>
  <c r="CF47" i="12"/>
  <c r="CE47" i="12"/>
  <c r="CD47" i="12"/>
  <c r="BX47" i="12"/>
  <c r="BW47" i="12"/>
  <c r="BV47" i="12"/>
  <c r="BP47" i="12"/>
  <c r="BO47" i="12"/>
  <c r="BN47" i="12"/>
  <c r="BH47" i="12"/>
  <c r="BG47" i="12"/>
  <c r="BF47" i="12"/>
  <c r="AZ47" i="12"/>
  <c r="AY47" i="12"/>
  <c r="AX47" i="12"/>
  <c r="AR47" i="12"/>
  <c r="AQ47" i="12"/>
  <c r="AP47" i="12"/>
  <c r="CS47" i="12"/>
  <c r="CU46" i="12"/>
  <c r="CT46" i="12"/>
  <c r="CS46" i="12"/>
  <c r="CN46" i="12"/>
  <c r="CM46" i="12"/>
  <c r="CL46" i="12"/>
  <c r="CK46" i="12"/>
  <c r="CF46" i="12"/>
  <c r="CE46" i="12"/>
  <c r="CD46" i="12"/>
  <c r="CC46" i="12"/>
  <c r="BX46" i="12"/>
  <c r="BW46" i="12"/>
  <c r="BV46" i="12"/>
  <c r="BU46" i="12"/>
  <c r="BP46" i="12"/>
  <c r="BO46" i="12"/>
  <c r="BN46" i="12"/>
  <c r="BM46" i="12"/>
  <c r="BH46" i="12"/>
  <c r="BG46" i="12"/>
  <c r="BF46" i="12"/>
  <c r="BE46" i="12"/>
  <c r="AZ46" i="12"/>
  <c r="AY46" i="12"/>
  <c r="AX46" i="12"/>
  <c r="AW46" i="12"/>
  <c r="AR46" i="12"/>
  <c r="AQ46" i="12"/>
  <c r="AP46" i="12"/>
  <c r="AO46" i="12"/>
  <c r="CR46" i="12"/>
  <c r="CR46" i="3" l="1"/>
  <c r="G48" i="3"/>
  <c r="CU46" i="3"/>
  <c r="G46" i="11"/>
  <c r="AP46" i="11"/>
  <c r="AX46" i="11"/>
  <c r="BF46" i="11"/>
  <c r="BN46" i="11"/>
  <c r="BV46" i="11"/>
  <c r="CD46" i="11"/>
  <c r="CL46" i="11"/>
  <c r="CT46" i="11"/>
  <c r="AQ46" i="11"/>
  <c r="AY46" i="11"/>
  <c r="BG46" i="11"/>
  <c r="BO46" i="11"/>
  <c r="BW46" i="11"/>
  <c r="CE46" i="11"/>
  <c r="CM46" i="11"/>
  <c r="CO47" i="14"/>
  <c r="F47" i="14"/>
  <c r="G47" i="14" s="1"/>
  <c r="AT47" i="14"/>
  <c r="BB47" i="14"/>
  <c r="BJ47" i="14"/>
  <c r="BR47" i="14"/>
  <c r="BZ47" i="14"/>
  <c r="CH47" i="14"/>
  <c r="CP47" i="14"/>
  <c r="AS47" i="14"/>
  <c r="BA47" i="14"/>
  <c r="BI47" i="14"/>
  <c r="BQ47" i="14"/>
  <c r="CG47" i="14"/>
  <c r="AU47" i="14"/>
  <c r="BC47" i="14"/>
  <c r="BK47" i="14"/>
  <c r="BS47" i="14"/>
  <c r="CA47" i="14"/>
  <c r="CI47" i="14"/>
  <c r="CQ47" i="14"/>
  <c r="BY47" i="14"/>
  <c r="AN47" i="14"/>
  <c r="AV47" i="14"/>
  <c r="BD47" i="14"/>
  <c r="BL47" i="14"/>
  <c r="BT47" i="14"/>
  <c r="CB47" i="14"/>
  <c r="CJ47" i="14"/>
  <c r="CR47" i="14"/>
  <c r="BM47" i="14"/>
  <c r="BU47" i="14"/>
  <c r="CC47" i="14"/>
  <c r="CK47" i="14"/>
  <c r="CS47" i="14"/>
  <c r="BE47" i="14"/>
  <c r="AP47" i="14"/>
  <c r="AX47" i="14"/>
  <c r="BF47" i="14"/>
  <c r="BN47" i="14"/>
  <c r="BV47" i="14"/>
  <c r="CD47" i="14"/>
  <c r="CL47" i="14"/>
  <c r="CT47" i="14"/>
  <c r="AO47" i="14"/>
  <c r="AW47" i="14"/>
  <c r="AQ47" i="14"/>
  <c r="AY47" i="14"/>
  <c r="BG47" i="14"/>
  <c r="BO47" i="14"/>
  <c r="BW47" i="14"/>
  <c r="CE47" i="14"/>
  <c r="CM47" i="14"/>
  <c r="AS47" i="12"/>
  <c r="BA47" i="12"/>
  <c r="BI47" i="12"/>
  <c r="BQ47" i="12"/>
  <c r="BY47" i="12"/>
  <c r="CG47" i="12"/>
  <c r="CO47" i="12"/>
  <c r="AS46" i="12"/>
  <c r="BA46" i="12"/>
  <c r="BI46" i="12"/>
  <c r="BQ46" i="12"/>
  <c r="BY46" i="12"/>
  <c r="CG46" i="12"/>
  <c r="CO46" i="12"/>
  <c r="F47" i="12"/>
  <c r="G47" i="12" s="1"/>
  <c r="AT47" i="12"/>
  <c r="BB47" i="12"/>
  <c r="BJ47" i="12"/>
  <c r="BR47" i="12"/>
  <c r="BZ47" i="12"/>
  <c r="CH47" i="12"/>
  <c r="CP47" i="12"/>
  <c r="F46" i="12"/>
  <c r="G46" i="12" s="1"/>
  <c r="AT46" i="12"/>
  <c r="BB46" i="12"/>
  <c r="BJ46" i="12"/>
  <c r="BR46" i="12"/>
  <c r="BZ46" i="12"/>
  <c r="CH46" i="12"/>
  <c r="CP46" i="12"/>
  <c r="AU47" i="12"/>
  <c r="BC47" i="12"/>
  <c r="BK47" i="12"/>
  <c r="BS47" i="12"/>
  <c r="CA47" i="12"/>
  <c r="CI47" i="12"/>
  <c r="CQ47" i="12"/>
  <c r="AU46" i="12"/>
  <c r="BC46" i="12"/>
  <c r="BK46" i="12"/>
  <c r="BS46" i="12"/>
  <c r="CA46" i="12"/>
  <c r="CI46" i="12"/>
  <c r="CQ46" i="12"/>
  <c r="AN47" i="12"/>
  <c r="AV47" i="12"/>
  <c r="BD47" i="12"/>
  <c r="BL47" i="12"/>
  <c r="BT47" i="12"/>
  <c r="CB47" i="12"/>
  <c r="CJ47" i="12"/>
  <c r="CR47" i="12"/>
  <c r="AN46" i="12"/>
  <c r="AV46" i="12"/>
  <c r="BD46" i="12"/>
  <c r="BL46" i="12"/>
  <c r="BT46" i="12"/>
  <c r="CB46" i="12"/>
  <c r="CJ46" i="12"/>
  <c r="AO47" i="12"/>
  <c r="AW47" i="12"/>
  <c r="BE47" i="12"/>
  <c r="BM47" i="12"/>
  <c r="BU47" i="12"/>
  <c r="CC47" i="12"/>
  <c r="CK47" i="12"/>
  <c r="D42" i="12" l="1"/>
  <c r="F42" i="12" s="1"/>
  <c r="D41" i="12"/>
  <c r="F41" i="12" s="1"/>
  <c r="Y83" i="6" l="1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I83" i="6"/>
  <c r="G55" i="18" l="1"/>
  <c r="E32" i="18" l="1"/>
  <c r="D18" i="18"/>
  <c r="D16" i="18"/>
  <c r="E32" i="16"/>
  <c r="D18" i="16"/>
  <c r="D16" i="16"/>
  <c r="E32" i="14"/>
  <c r="D18" i="14"/>
  <c r="D16" i="14"/>
  <c r="E32" i="13" l="1"/>
  <c r="D18" i="13"/>
  <c r="D16" i="13" l="1"/>
  <c r="E32" i="11" l="1"/>
  <c r="D16" i="11"/>
  <c r="E32" i="3"/>
  <c r="D16" i="3"/>
  <c r="D18" i="12"/>
  <c r="D16" i="12"/>
  <c r="E79" i="6" l="1"/>
  <c r="C79" i="6"/>
  <c r="E77" i="6"/>
  <c r="C77" i="6"/>
  <c r="G47" i="20"/>
  <c r="G55" i="20"/>
  <c r="CQ52" i="20"/>
  <c r="CI52" i="20"/>
  <c r="CF52" i="20"/>
  <c r="CA52" i="20"/>
  <c r="BX52" i="20"/>
  <c r="BS52" i="20"/>
  <c r="BP52" i="20"/>
  <c r="BK52" i="20"/>
  <c r="BH52" i="20"/>
  <c r="BC52" i="20"/>
  <c r="G46" i="20"/>
  <c r="F45" i="20"/>
  <c r="G45" i="20" s="1"/>
  <c r="AN45" i="20" s="1"/>
  <c r="F44" i="20"/>
  <c r="G44" i="20" s="1"/>
  <c r="AN44" i="20" s="1"/>
  <c r="E43" i="20"/>
  <c r="F43" i="20" s="1"/>
  <c r="G48" i="20" s="1"/>
  <c r="G42" i="20"/>
  <c r="AG42" i="20" s="1"/>
  <c r="G41" i="20"/>
  <c r="D39" i="20"/>
  <c r="D38" i="20"/>
  <c r="F35" i="20"/>
  <c r="G35" i="20" s="1"/>
  <c r="W35" i="20" s="1"/>
  <c r="F33" i="20"/>
  <c r="G33" i="20" s="1"/>
  <c r="W33" i="20" s="1"/>
  <c r="F32" i="20"/>
  <c r="G32" i="20" s="1"/>
  <c r="AN32" i="20" s="1"/>
  <c r="F30" i="20"/>
  <c r="G30" i="20" s="1"/>
  <c r="AN30" i="20" s="1"/>
  <c r="F27" i="20"/>
  <c r="G27" i="20" s="1"/>
  <c r="AN27" i="20" s="1"/>
  <c r="D24" i="20"/>
  <c r="D23" i="20"/>
  <c r="F22" i="20"/>
  <c r="G22" i="20" s="1"/>
  <c r="AM22" i="20" s="1"/>
  <c r="F19" i="20"/>
  <c r="AM21" i="20"/>
  <c r="F17" i="20"/>
  <c r="G17" i="20" s="1"/>
  <c r="F16" i="20"/>
  <c r="E24" i="20" s="1"/>
  <c r="H5" i="20"/>
  <c r="H52" i="20" s="1"/>
  <c r="G5" i="20"/>
  <c r="K4" i="20"/>
  <c r="F4" i="20"/>
  <c r="K3" i="20"/>
  <c r="F3" i="20"/>
  <c r="I2" i="20"/>
  <c r="F2" i="20"/>
  <c r="G47" i="18"/>
  <c r="CL52" i="18"/>
  <c r="CI52" i="18"/>
  <c r="CA52" i="18"/>
  <c r="BV52" i="18"/>
  <c r="BN52" i="18"/>
  <c r="BK52" i="18"/>
  <c r="BC52" i="18"/>
  <c r="G46" i="18"/>
  <c r="F45" i="18"/>
  <c r="G45" i="18" s="1"/>
  <c r="AN45" i="18" s="1"/>
  <c r="F44" i="18"/>
  <c r="E43" i="18"/>
  <c r="F43" i="18" s="1"/>
  <c r="G43" i="18" s="1"/>
  <c r="CU43" i="18" s="1"/>
  <c r="G42" i="18"/>
  <c r="G41" i="18"/>
  <c r="D39" i="18"/>
  <c r="D38" i="18"/>
  <c r="F35" i="18"/>
  <c r="G35" i="18" s="1"/>
  <c r="W35" i="18" s="1"/>
  <c r="F33" i="18"/>
  <c r="G33" i="18" s="1"/>
  <c r="W33" i="18" s="1"/>
  <c r="F32" i="18"/>
  <c r="G32" i="18" s="1"/>
  <c r="AN32" i="18" s="1"/>
  <c r="F30" i="18"/>
  <c r="G30" i="18" s="1"/>
  <c r="F27" i="18"/>
  <c r="G27" i="18" s="1"/>
  <c r="AN27" i="18" s="1"/>
  <c r="D24" i="18"/>
  <c r="D23" i="18"/>
  <c r="F22" i="18"/>
  <c r="G22" i="18" s="1"/>
  <c r="AM22" i="18" s="1"/>
  <c r="F19" i="18"/>
  <c r="G19" i="18" s="1"/>
  <c r="F17" i="18"/>
  <c r="G17" i="18" s="1"/>
  <c r="F16" i="18"/>
  <c r="G16" i="18" s="1"/>
  <c r="X16" i="18" s="1"/>
  <c r="X20" i="18" s="1"/>
  <c r="H5" i="18"/>
  <c r="G5" i="18"/>
  <c r="K4" i="18"/>
  <c r="F4" i="18"/>
  <c r="K3" i="18"/>
  <c r="F3" i="18"/>
  <c r="I2" i="18"/>
  <c r="F2" i="18"/>
  <c r="G47" i="16"/>
  <c r="G55" i="16"/>
  <c r="BI52" i="16"/>
  <c r="G46" i="16"/>
  <c r="F45" i="16"/>
  <c r="G45" i="16" s="1"/>
  <c r="AN45" i="16" s="1"/>
  <c r="F44" i="16"/>
  <c r="G44" i="16" s="1"/>
  <c r="AN44" i="16" s="1"/>
  <c r="E43" i="16"/>
  <c r="F43" i="16" s="1"/>
  <c r="G42" i="16"/>
  <c r="G41" i="16"/>
  <c r="D39" i="16"/>
  <c r="D38" i="16"/>
  <c r="F35" i="16"/>
  <c r="G35" i="16" s="1"/>
  <c r="W35" i="16" s="1"/>
  <c r="F33" i="16"/>
  <c r="G33" i="16" s="1"/>
  <c r="W33" i="16" s="1"/>
  <c r="F32" i="16"/>
  <c r="G32" i="16" s="1"/>
  <c r="AN32" i="16" s="1"/>
  <c r="F30" i="16"/>
  <c r="G30" i="16" s="1"/>
  <c r="F27" i="16"/>
  <c r="G27" i="16" s="1"/>
  <c r="AN27" i="16" s="1"/>
  <c r="D24" i="16"/>
  <c r="D23" i="16"/>
  <c r="F22" i="16"/>
  <c r="G22" i="16" s="1"/>
  <c r="AM22" i="16" s="1"/>
  <c r="F19" i="16"/>
  <c r="G19" i="16" s="1"/>
  <c r="F17" i="16"/>
  <c r="G17" i="16" s="1"/>
  <c r="F16" i="16"/>
  <c r="H5" i="16"/>
  <c r="H52" i="16" s="1"/>
  <c r="G5" i="16"/>
  <c r="K4" i="16"/>
  <c r="F4" i="16"/>
  <c r="K3" i="16"/>
  <c r="F3" i="16"/>
  <c r="I2" i="16"/>
  <c r="F2" i="16"/>
  <c r="G55" i="14"/>
  <c r="E65" i="6"/>
  <c r="C65" i="6"/>
  <c r="E63" i="6"/>
  <c r="C63" i="6"/>
  <c r="CM52" i="16" l="1"/>
  <c r="CE52" i="16"/>
  <c r="BO52" i="16"/>
  <c r="K5" i="16"/>
  <c r="BO52" i="18"/>
  <c r="CT52" i="18"/>
  <c r="BM52" i="18"/>
  <c r="BJ52" i="18"/>
  <c r="BU52" i="18"/>
  <c r="BR52" i="18"/>
  <c r="CK52" i="18"/>
  <c r="CH52" i="18"/>
  <c r="K5" i="18"/>
  <c r="CS52" i="18"/>
  <c r="CP52" i="18"/>
  <c r="BD52" i="20"/>
  <c r="CJ52" i="20"/>
  <c r="CB52" i="20"/>
  <c r="BL52" i="20"/>
  <c r="BT52" i="20"/>
  <c r="CR52" i="20"/>
  <c r="BW52" i="20"/>
  <c r="CN52" i="20"/>
  <c r="BE52" i="20"/>
  <c r="BM52" i="20"/>
  <c r="BU52" i="20"/>
  <c r="CC52" i="20"/>
  <c r="CK52" i="20"/>
  <c r="CS52" i="20"/>
  <c r="F24" i="20"/>
  <c r="G24" i="20" s="1"/>
  <c r="N24" i="20" s="1"/>
  <c r="E5" i="20"/>
  <c r="F5" i="20" s="1"/>
  <c r="CM52" i="20"/>
  <c r="BG52" i="20"/>
  <c r="E5" i="18"/>
  <c r="F5" i="18" s="1"/>
  <c r="AE41" i="18"/>
  <c r="AD41" i="18"/>
  <c r="AC41" i="18"/>
  <c r="AB41" i="18"/>
  <c r="AA41" i="18"/>
  <c r="Z41" i="18"/>
  <c r="AF41" i="18"/>
  <c r="Y41" i="18"/>
  <c r="AD41" i="16"/>
  <c r="Z41" i="16"/>
  <c r="AC41" i="16"/>
  <c r="Y41" i="16"/>
  <c r="AF41" i="16"/>
  <c r="AE41" i="16"/>
  <c r="AB41" i="16"/>
  <c r="AA41" i="16"/>
  <c r="AF42" i="18"/>
  <c r="AD42" i="18"/>
  <c r="AC42" i="18"/>
  <c r="AB42" i="18"/>
  <c r="Y42" i="18"/>
  <c r="AE42" i="18"/>
  <c r="Z42" i="18"/>
  <c r="AA42" i="18"/>
  <c r="E5" i="16"/>
  <c r="F5" i="16" s="1"/>
  <c r="AC42" i="16"/>
  <c r="Y42" i="16"/>
  <c r="AB42" i="16"/>
  <c r="AA42" i="16"/>
  <c r="AD42" i="16"/>
  <c r="Z42" i="16"/>
  <c r="AF42" i="16"/>
  <c r="AE42" i="16"/>
  <c r="BP52" i="18"/>
  <c r="CF52" i="18"/>
  <c r="E8" i="20"/>
  <c r="F8" i="20" s="1"/>
  <c r="G8" i="20" s="1"/>
  <c r="X8" i="20" s="1"/>
  <c r="BD52" i="18"/>
  <c r="BL52" i="18"/>
  <c r="CB52" i="18"/>
  <c r="BH52" i="18"/>
  <c r="BX52" i="18"/>
  <c r="CN52" i="18"/>
  <c r="BG52" i="18"/>
  <c r="CE52" i="18"/>
  <c r="BI52" i="18"/>
  <c r="BQ52" i="18"/>
  <c r="CG52" i="18"/>
  <c r="CO52" i="18"/>
  <c r="E6" i="18"/>
  <c r="F6" i="18" s="1"/>
  <c r="G6" i="18" s="1"/>
  <c r="E7" i="18"/>
  <c r="F7" i="18" s="1"/>
  <c r="G7" i="18" s="1"/>
  <c r="Y7" i="18" s="1"/>
  <c r="E8" i="18"/>
  <c r="F8" i="18" s="1"/>
  <c r="G8" i="18" s="1"/>
  <c r="X8" i="18" s="1"/>
  <c r="E20" i="18"/>
  <c r="F20" i="18" s="1"/>
  <c r="G20" i="18" s="1"/>
  <c r="AP52" i="18"/>
  <c r="BC52" i="16"/>
  <c r="CA52" i="16"/>
  <c r="CQ52" i="16"/>
  <c r="BS52" i="16"/>
  <c r="BU52" i="16"/>
  <c r="CS52" i="16"/>
  <c r="BG52" i="16"/>
  <c r="BE52" i="18"/>
  <c r="CC52" i="18"/>
  <c r="BF52" i="18"/>
  <c r="CD52" i="18"/>
  <c r="BS52" i="18"/>
  <c r="CQ52" i="18"/>
  <c r="BT52" i="18"/>
  <c r="BW52" i="18"/>
  <c r="BY52" i="18"/>
  <c r="BZ52" i="18"/>
  <c r="CM52" i="18"/>
  <c r="BW52" i="16"/>
  <c r="CI52" i="16"/>
  <c r="BK52" i="16"/>
  <c r="BM52" i="16"/>
  <c r="BY52" i="16"/>
  <c r="CK52" i="16"/>
  <c r="BE52" i="16"/>
  <c r="CC52" i="16"/>
  <c r="BQ52" i="16"/>
  <c r="BJ52" i="20"/>
  <c r="BR52" i="20"/>
  <c r="BZ52" i="20"/>
  <c r="CH52" i="20"/>
  <c r="CP52" i="20"/>
  <c r="BF52" i="20"/>
  <c r="BN52" i="20"/>
  <c r="BV52" i="20"/>
  <c r="CD52" i="20"/>
  <c r="CL52" i="20"/>
  <c r="CT52" i="20"/>
  <c r="BO52" i="20"/>
  <c r="CE52" i="20"/>
  <c r="BI52" i="20"/>
  <c r="BQ52" i="20"/>
  <c r="BY52" i="20"/>
  <c r="CG52" i="20"/>
  <c r="CO52" i="20"/>
  <c r="G43" i="20"/>
  <c r="CU43" i="20" s="1"/>
  <c r="AJ42" i="20"/>
  <c r="X42" i="20"/>
  <c r="Z42" i="20"/>
  <c r="AA42" i="20"/>
  <c r="AB42" i="20"/>
  <c r="AF42" i="20"/>
  <c r="AH42" i="20"/>
  <c r="AI42" i="20"/>
  <c r="E6" i="20"/>
  <c r="F6" i="20" s="1"/>
  <c r="G6" i="20" s="1"/>
  <c r="E7" i="20"/>
  <c r="F7" i="20" s="1"/>
  <c r="G7" i="20" s="1"/>
  <c r="Y7" i="20" s="1"/>
  <c r="Y17" i="20"/>
  <c r="X17" i="20"/>
  <c r="K5" i="20"/>
  <c r="AJ41" i="20"/>
  <c r="AB41" i="20"/>
  <c r="AI41" i="20"/>
  <c r="AA41" i="20"/>
  <c r="AL41" i="20"/>
  <c r="AH41" i="20"/>
  <c r="Z41" i="20"/>
  <c r="AC41" i="20"/>
  <c r="AG41" i="20"/>
  <c r="Y41" i="20"/>
  <c r="AF41" i="20"/>
  <c r="X41" i="20"/>
  <c r="AD41" i="20"/>
  <c r="AK41" i="20"/>
  <c r="AM41" i="20"/>
  <c r="AE41" i="20"/>
  <c r="G19" i="20"/>
  <c r="E20" i="20"/>
  <c r="AC42" i="20"/>
  <c r="AK42" i="20"/>
  <c r="AD42" i="20"/>
  <c r="AL42" i="20"/>
  <c r="AE42" i="20"/>
  <c r="AM42" i="20"/>
  <c r="I5" i="20"/>
  <c r="G16" i="20"/>
  <c r="Y42" i="20"/>
  <c r="F18" i="20"/>
  <c r="BH52" i="16"/>
  <c r="BP52" i="16"/>
  <c r="BX52" i="16"/>
  <c r="CF52" i="16"/>
  <c r="CN52" i="16"/>
  <c r="AV52" i="18"/>
  <c r="CJ52" i="18"/>
  <c r="CR52" i="18"/>
  <c r="I5" i="18"/>
  <c r="AX52" i="18"/>
  <c r="BB52" i="18"/>
  <c r="X17" i="18"/>
  <c r="Y17" i="18"/>
  <c r="AU52" i="18"/>
  <c r="Y16" i="18"/>
  <c r="Y20" i="18" s="1"/>
  <c r="AN30" i="18"/>
  <c r="AO52" i="18"/>
  <c r="AW52" i="18"/>
  <c r="G44" i="18"/>
  <c r="AN44" i="18" s="1"/>
  <c r="AQ52" i="18"/>
  <c r="AY52" i="18"/>
  <c r="AR52" i="18"/>
  <c r="AZ52" i="18"/>
  <c r="E24" i="18"/>
  <c r="F24" i="18" s="1"/>
  <c r="G24" i="18" s="1"/>
  <c r="AS52" i="18"/>
  <c r="BA52" i="18"/>
  <c r="F18" i="18"/>
  <c r="AT52" i="18"/>
  <c r="BF52" i="16"/>
  <c r="BN52" i="16"/>
  <c r="BV52" i="16"/>
  <c r="CD52" i="16"/>
  <c r="CL52" i="16"/>
  <c r="CT52" i="16"/>
  <c r="CG52" i="16"/>
  <c r="CO52" i="16"/>
  <c r="BJ52" i="16"/>
  <c r="BR52" i="16"/>
  <c r="BZ52" i="16"/>
  <c r="CH52" i="16"/>
  <c r="CP52" i="16"/>
  <c r="BD52" i="16"/>
  <c r="BL52" i="16"/>
  <c r="BT52" i="16"/>
  <c r="CB52" i="16"/>
  <c r="CJ52" i="16"/>
  <c r="CR52" i="16"/>
  <c r="G43" i="16"/>
  <c r="CU43" i="16" s="1"/>
  <c r="E24" i="16"/>
  <c r="F24" i="16" s="1"/>
  <c r="G24" i="16" s="1"/>
  <c r="G16" i="16"/>
  <c r="E7" i="16"/>
  <c r="F7" i="16" s="1"/>
  <c r="G7" i="16" s="1"/>
  <c r="E20" i="16"/>
  <c r="E8" i="16"/>
  <c r="F8" i="16" s="1"/>
  <c r="G8" i="16" s="1"/>
  <c r="E6" i="16"/>
  <c r="F6" i="16" s="1"/>
  <c r="AN30" i="16"/>
  <c r="Y17" i="16"/>
  <c r="X17" i="16"/>
  <c r="AU52" i="16"/>
  <c r="S52" i="16"/>
  <c r="AO52" i="16"/>
  <c r="AW52" i="16"/>
  <c r="AP52" i="16"/>
  <c r="AX52" i="16"/>
  <c r="V52" i="16"/>
  <c r="I5" i="16"/>
  <c r="O52" i="16"/>
  <c r="AR52" i="16"/>
  <c r="F18" i="16"/>
  <c r="AS52" i="16"/>
  <c r="CT52" i="14"/>
  <c r="CS52" i="14"/>
  <c r="CR52" i="14"/>
  <c r="CQ52" i="14"/>
  <c r="CP52" i="14"/>
  <c r="CO52" i="14"/>
  <c r="CN52" i="14"/>
  <c r="CM52" i="14"/>
  <c r="CL52" i="14"/>
  <c r="CK52" i="14"/>
  <c r="CJ52" i="14"/>
  <c r="CI52" i="14"/>
  <c r="CH52" i="14"/>
  <c r="CG52" i="14"/>
  <c r="CF52" i="14"/>
  <c r="CE52" i="14"/>
  <c r="CD52" i="14"/>
  <c r="CC52" i="14"/>
  <c r="CB52" i="14"/>
  <c r="CA52" i="14"/>
  <c r="BZ52" i="14"/>
  <c r="BY52" i="14"/>
  <c r="BX52" i="14"/>
  <c r="BW52" i="14"/>
  <c r="BV52" i="14"/>
  <c r="BU52" i="14"/>
  <c r="BT52" i="14"/>
  <c r="BS52" i="14"/>
  <c r="BR52" i="14"/>
  <c r="BQ52" i="14"/>
  <c r="BP52" i="14"/>
  <c r="BO52" i="14"/>
  <c r="BN52" i="14"/>
  <c r="BM52" i="14"/>
  <c r="BL52" i="14"/>
  <c r="BK52" i="14"/>
  <c r="BJ52" i="14"/>
  <c r="BI52" i="14"/>
  <c r="BH52" i="14"/>
  <c r="BG52" i="14"/>
  <c r="BF52" i="14"/>
  <c r="BE52" i="14"/>
  <c r="BD52" i="14"/>
  <c r="BC52" i="14"/>
  <c r="G46" i="14"/>
  <c r="G45" i="14"/>
  <c r="AN45" i="14" s="1"/>
  <c r="F44" i="14"/>
  <c r="G44" i="14" s="1"/>
  <c r="AN44" i="14" s="1"/>
  <c r="E43" i="14"/>
  <c r="F43" i="14" s="1"/>
  <c r="G48" i="14" s="1"/>
  <c r="G42" i="14"/>
  <c r="G41" i="14"/>
  <c r="D39" i="14"/>
  <c r="D38" i="14"/>
  <c r="F35" i="14"/>
  <c r="G35" i="14" s="1"/>
  <c r="W35" i="14" s="1"/>
  <c r="F33" i="14"/>
  <c r="G33" i="14" s="1"/>
  <c r="W33" i="14" s="1"/>
  <c r="F32" i="14"/>
  <c r="G32" i="14" s="1"/>
  <c r="AN32" i="14" s="1"/>
  <c r="F30" i="14"/>
  <c r="G30" i="14" s="1"/>
  <c r="F27" i="14"/>
  <c r="G27" i="14" s="1"/>
  <c r="AN27" i="14" s="1"/>
  <c r="D24" i="14"/>
  <c r="D23" i="14"/>
  <c r="F22" i="14"/>
  <c r="G22" i="14" s="1"/>
  <c r="AM22" i="14" s="1"/>
  <c r="F19" i="14"/>
  <c r="G19" i="14" s="1"/>
  <c r="D35" i="10" s="1"/>
  <c r="F17" i="14"/>
  <c r="G17" i="14" s="1"/>
  <c r="F16" i="14"/>
  <c r="G16" i="14" s="1"/>
  <c r="H5" i="14"/>
  <c r="G5" i="14"/>
  <c r="K4" i="14"/>
  <c r="F4" i="14"/>
  <c r="K3" i="14"/>
  <c r="F3" i="14"/>
  <c r="I2" i="14"/>
  <c r="F2" i="14"/>
  <c r="K5" i="14" l="1"/>
  <c r="Y8" i="18"/>
  <c r="Y13" i="18" s="1"/>
  <c r="E13" i="18"/>
  <c r="F13" i="18" s="1"/>
  <c r="G13" i="18" s="1"/>
  <c r="X7" i="18"/>
  <c r="X13" i="18" s="1"/>
  <c r="Y8" i="20"/>
  <c r="Y13" i="20" s="1"/>
  <c r="P24" i="20"/>
  <c r="X7" i="20"/>
  <c r="M6" i="20"/>
  <c r="M13" i="20" s="1"/>
  <c r="AD41" i="14"/>
  <c r="Z41" i="14"/>
  <c r="Y41" i="14"/>
  <c r="AF41" i="14"/>
  <c r="AB41" i="14"/>
  <c r="AE41" i="14"/>
  <c r="AC41" i="14"/>
  <c r="AA41" i="14"/>
  <c r="Q35" i="10"/>
  <c r="I35" i="10"/>
  <c r="H35" i="10"/>
  <c r="O35" i="10"/>
  <c r="G35" i="10"/>
  <c r="N35" i="10"/>
  <c r="F35" i="10"/>
  <c r="E35" i="10"/>
  <c r="P35" i="10"/>
  <c r="M35" i="10"/>
  <c r="L35" i="10"/>
  <c r="K35" i="10"/>
  <c r="J35" i="10"/>
  <c r="AC42" i="14"/>
  <c r="Y42" i="14"/>
  <c r="AF42" i="14"/>
  <c r="AB42" i="14"/>
  <c r="AE42" i="14"/>
  <c r="AA42" i="14"/>
  <c r="AD42" i="14"/>
  <c r="Z42" i="14"/>
  <c r="E7" i="14"/>
  <c r="F7" i="14" s="1"/>
  <c r="G7" i="14" s="1"/>
  <c r="Y7" i="14" s="1"/>
  <c r="BC53" i="18"/>
  <c r="I52" i="18"/>
  <c r="J58" i="18" s="1"/>
  <c r="CA53" i="18"/>
  <c r="BO53" i="18"/>
  <c r="E31" i="18"/>
  <c r="F31" i="18" s="1"/>
  <c r="G31" i="18" s="1"/>
  <c r="E29" i="18"/>
  <c r="F29" i="18" s="1"/>
  <c r="G29" i="18" s="1"/>
  <c r="AN29" i="18" s="1"/>
  <c r="E28" i="18"/>
  <c r="F28" i="18" s="1"/>
  <c r="G28" i="18" s="1"/>
  <c r="AN28" i="18" s="1"/>
  <c r="E26" i="18"/>
  <c r="F26" i="18" s="1"/>
  <c r="G26" i="18" s="1"/>
  <c r="AN26" i="18" s="1"/>
  <c r="E25" i="18"/>
  <c r="F25" i="18" s="1"/>
  <c r="G25" i="18" s="1"/>
  <c r="AN25" i="18" s="1"/>
  <c r="E12" i="18"/>
  <c r="F12" i="18" s="1"/>
  <c r="G12" i="18" s="1"/>
  <c r="AM12" i="18" s="1"/>
  <c r="E31" i="16"/>
  <c r="F31" i="16" s="1"/>
  <c r="G31" i="16" s="1"/>
  <c r="E29" i="16"/>
  <c r="F29" i="16" s="1"/>
  <c r="G29" i="16" s="1"/>
  <c r="AN29" i="16" s="1"/>
  <c r="E28" i="16"/>
  <c r="F28" i="16" s="1"/>
  <c r="G28" i="16" s="1"/>
  <c r="AN28" i="16" s="1"/>
  <c r="E26" i="16"/>
  <c r="F26" i="16" s="1"/>
  <c r="G26" i="16" s="1"/>
  <c r="AN26" i="16" s="1"/>
  <c r="E25" i="16"/>
  <c r="F25" i="16" s="1"/>
  <c r="G25" i="16" s="1"/>
  <c r="AN25" i="16" s="1"/>
  <c r="CA53" i="20"/>
  <c r="BO53" i="20"/>
  <c r="BC53" i="20"/>
  <c r="CA53" i="16"/>
  <c r="E12" i="20"/>
  <c r="F12" i="20" s="1"/>
  <c r="G12" i="20" s="1"/>
  <c r="AM12" i="20" s="1"/>
  <c r="E13" i="20"/>
  <c r="F13" i="20" s="1"/>
  <c r="G13" i="20" s="1"/>
  <c r="X13" i="20"/>
  <c r="X16" i="20"/>
  <c r="X20" i="20" s="1"/>
  <c r="Y16" i="20"/>
  <c r="Y20" i="20" s="1"/>
  <c r="F20" i="20"/>
  <c r="F26" i="20"/>
  <c r="G26" i="20" s="1"/>
  <c r="AN26" i="20" s="1"/>
  <c r="E9" i="20"/>
  <c r="F9" i="20" s="1"/>
  <c r="F28" i="20"/>
  <c r="G28" i="20" s="1"/>
  <c r="AN28" i="20" s="1"/>
  <c r="E11" i="20"/>
  <c r="F11" i="20" s="1"/>
  <c r="G11" i="20" s="1"/>
  <c r="E10" i="20"/>
  <c r="F10" i="20" s="1"/>
  <c r="G10" i="20" s="1"/>
  <c r="E31" i="20"/>
  <c r="F31" i="20" s="1"/>
  <c r="G31" i="20" s="1"/>
  <c r="F25" i="20"/>
  <c r="G25" i="20" s="1"/>
  <c r="E15" i="20"/>
  <c r="F15" i="20" s="1"/>
  <c r="G15" i="20" s="1"/>
  <c r="F29" i="20"/>
  <c r="G29" i="20" s="1"/>
  <c r="AN29" i="20" s="1"/>
  <c r="E21" i="20"/>
  <c r="G18" i="20"/>
  <c r="E23" i="20"/>
  <c r="F23" i="20" s="1"/>
  <c r="G23" i="20" s="1"/>
  <c r="BC53" i="16"/>
  <c r="BO53" i="16"/>
  <c r="P24" i="18"/>
  <c r="N24" i="18"/>
  <c r="N52" i="18" s="1"/>
  <c r="AQ53" i="18"/>
  <c r="M6" i="18"/>
  <c r="E23" i="18"/>
  <c r="F23" i="18" s="1"/>
  <c r="G23" i="18" s="1"/>
  <c r="E9" i="18"/>
  <c r="F9" i="18" s="1"/>
  <c r="E11" i="18"/>
  <c r="F11" i="18" s="1"/>
  <c r="G11" i="18" s="1"/>
  <c r="E10" i="18"/>
  <c r="F10" i="18" s="1"/>
  <c r="G10" i="18" s="1"/>
  <c r="G18" i="18"/>
  <c r="E21" i="18"/>
  <c r="E15" i="18"/>
  <c r="F15" i="18" s="1"/>
  <c r="G15" i="18" s="1"/>
  <c r="AT52" i="16"/>
  <c r="U52" i="16"/>
  <c r="BA52" i="16"/>
  <c r="BB52" i="16"/>
  <c r="L52" i="16"/>
  <c r="J52" i="16"/>
  <c r="AY52" i="16"/>
  <c r="AV52" i="16"/>
  <c r="AZ52" i="16"/>
  <c r="AQ52" i="16"/>
  <c r="P24" i="16"/>
  <c r="N24" i="16"/>
  <c r="N52" i="16" s="1"/>
  <c r="X16" i="16"/>
  <c r="X20" i="16" s="1"/>
  <c r="Y16" i="16"/>
  <c r="Y20" i="16" s="1"/>
  <c r="X7" i="16"/>
  <c r="Y7" i="16"/>
  <c r="E13" i="16"/>
  <c r="F13" i="16" s="1"/>
  <c r="G13" i="16" s="1"/>
  <c r="G6" i="16"/>
  <c r="E9" i="16"/>
  <c r="F9" i="16" s="1"/>
  <c r="E12" i="16"/>
  <c r="F12" i="16" s="1"/>
  <c r="E11" i="16"/>
  <c r="F11" i="16" s="1"/>
  <c r="G11" i="16" s="1"/>
  <c r="E10" i="16"/>
  <c r="F10" i="16" s="1"/>
  <c r="G10" i="16" s="1"/>
  <c r="G18" i="16"/>
  <c r="E15" i="16"/>
  <c r="F15" i="16" s="1"/>
  <c r="G15" i="16" s="1"/>
  <c r="E21" i="16"/>
  <c r="E23" i="16"/>
  <c r="F23" i="16" s="1"/>
  <c r="G23" i="16" s="1"/>
  <c r="Y8" i="16"/>
  <c r="X8" i="16"/>
  <c r="F20" i="16"/>
  <c r="G20" i="16" s="1"/>
  <c r="CA53" i="14"/>
  <c r="BC53" i="14"/>
  <c r="E5" i="14"/>
  <c r="F5" i="14" s="1"/>
  <c r="Y16" i="14"/>
  <c r="Y20" i="14" s="1"/>
  <c r="X16" i="14"/>
  <c r="X20" i="14" s="1"/>
  <c r="AN30" i="14"/>
  <c r="Y17" i="14"/>
  <c r="X17" i="14"/>
  <c r="G43" i="14"/>
  <c r="CU43" i="14" s="1"/>
  <c r="I5" i="14"/>
  <c r="BA52" i="14"/>
  <c r="AS52" i="14"/>
  <c r="AT52" i="14"/>
  <c r="AZ52" i="14"/>
  <c r="AR52" i="14"/>
  <c r="AU52" i="14"/>
  <c r="AY52" i="14"/>
  <c r="AQ52" i="14"/>
  <c r="AX52" i="14"/>
  <c r="AP52" i="14"/>
  <c r="AW52" i="14"/>
  <c r="AO52" i="14"/>
  <c r="BB52" i="14"/>
  <c r="AV52" i="14"/>
  <c r="F18" i="14"/>
  <c r="BO53" i="14"/>
  <c r="E20" i="14"/>
  <c r="E6" i="14"/>
  <c r="F6" i="14" s="1"/>
  <c r="E8" i="14"/>
  <c r="F8" i="14" s="1"/>
  <c r="G8" i="14" s="1"/>
  <c r="E24" i="14"/>
  <c r="F24" i="14" s="1"/>
  <c r="G24" i="14" s="1"/>
  <c r="E51" i="6"/>
  <c r="C51" i="6"/>
  <c r="E49" i="6"/>
  <c r="C49" i="6"/>
  <c r="G55" i="13"/>
  <c r="CT52" i="13"/>
  <c r="CS52" i="13"/>
  <c r="CR52" i="13"/>
  <c r="CQ52" i="13"/>
  <c r="CP52" i="13"/>
  <c r="CO52" i="13"/>
  <c r="CN52" i="13"/>
  <c r="CM52" i="13"/>
  <c r="CL52" i="13"/>
  <c r="CK52" i="13"/>
  <c r="CJ52" i="13"/>
  <c r="CI52" i="13"/>
  <c r="CH52" i="13"/>
  <c r="CG52" i="13"/>
  <c r="CF52" i="13"/>
  <c r="CE52" i="13"/>
  <c r="CD52" i="13"/>
  <c r="CC52" i="13"/>
  <c r="CB52" i="13"/>
  <c r="CA52" i="13"/>
  <c r="BZ52" i="13"/>
  <c r="BY52" i="13"/>
  <c r="BX52" i="13"/>
  <c r="BW52" i="13"/>
  <c r="BV52" i="13"/>
  <c r="BU52" i="13"/>
  <c r="BT52" i="13"/>
  <c r="BS52" i="13"/>
  <c r="BR52" i="13"/>
  <c r="BQ52" i="13"/>
  <c r="BP52" i="13"/>
  <c r="BO52" i="13"/>
  <c r="BN52" i="13"/>
  <c r="BM52" i="13"/>
  <c r="BL52" i="13"/>
  <c r="BK52" i="13"/>
  <c r="BJ52" i="13"/>
  <c r="BI52" i="13"/>
  <c r="BH52" i="13"/>
  <c r="BG52" i="13"/>
  <c r="BF52" i="13"/>
  <c r="BE52" i="13"/>
  <c r="BD52" i="13"/>
  <c r="BC52" i="13"/>
  <c r="F45" i="13"/>
  <c r="G45" i="13" s="1"/>
  <c r="AN45" i="13" s="1"/>
  <c r="F44" i="13"/>
  <c r="G44" i="13" s="1"/>
  <c r="AN44" i="13" s="1"/>
  <c r="E43" i="13"/>
  <c r="F43" i="13" s="1"/>
  <c r="G42" i="13"/>
  <c r="G41" i="13"/>
  <c r="D39" i="13"/>
  <c r="D38" i="13"/>
  <c r="F35" i="13"/>
  <c r="G35" i="13" s="1"/>
  <c r="W35" i="13" s="1"/>
  <c r="F33" i="13"/>
  <c r="G33" i="13" s="1"/>
  <c r="W33" i="13" s="1"/>
  <c r="F32" i="13"/>
  <c r="G32" i="13" s="1"/>
  <c r="AN32" i="13" s="1"/>
  <c r="F30" i="13"/>
  <c r="G30" i="13" s="1"/>
  <c r="F27" i="13"/>
  <c r="G27" i="13" s="1"/>
  <c r="AN27" i="13" s="1"/>
  <c r="D24" i="13"/>
  <c r="D23" i="13"/>
  <c r="F22" i="13"/>
  <c r="G22" i="13" s="1"/>
  <c r="AM22" i="13" s="1"/>
  <c r="F19" i="13"/>
  <c r="F18" i="13"/>
  <c r="F17" i="13"/>
  <c r="G17" i="13" s="1"/>
  <c r="F16" i="13"/>
  <c r="H5" i="13"/>
  <c r="G5" i="13"/>
  <c r="K4" i="13"/>
  <c r="F4" i="13"/>
  <c r="K3" i="13"/>
  <c r="F3" i="13"/>
  <c r="I2" i="13"/>
  <c r="F2" i="13"/>
  <c r="E37" i="6"/>
  <c r="C37" i="6"/>
  <c r="E35" i="6"/>
  <c r="C35" i="6"/>
  <c r="G55" i="12"/>
  <c r="CT52" i="12"/>
  <c r="CS52" i="12"/>
  <c r="CR52" i="12"/>
  <c r="CQ52" i="12"/>
  <c r="CP52" i="12"/>
  <c r="CO52" i="12"/>
  <c r="CN52" i="12"/>
  <c r="CM52" i="12"/>
  <c r="CL52" i="12"/>
  <c r="CK52" i="12"/>
  <c r="CJ52" i="12"/>
  <c r="CI52" i="12"/>
  <c r="CH52" i="12"/>
  <c r="CG52" i="12"/>
  <c r="CF52" i="12"/>
  <c r="CE52" i="12"/>
  <c r="CD52" i="12"/>
  <c r="CC52" i="12"/>
  <c r="CB52" i="12"/>
  <c r="CA52" i="12"/>
  <c r="BZ52" i="12"/>
  <c r="BY52" i="12"/>
  <c r="BX52" i="12"/>
  <c r="BW52" i="12"/>
  <c r="BV52" i="12"/>
  <c r="BU52" i="12"/>
  <c r="BT52" i="12"/>
  <c r="BS52" i="12"/>
  <c r="BR52" i="12"/>
  <c r="BQ52" i="12"/>
  <c r="BP52" i="12"/>
  <c r="BO52" i="12"/>
  <c r="BN52" i="12"/>
  <c r="BM52" i="12"/>
  <c r="BL52" i="12"/>
  <c r="BK52" i="12"/>
  <c r="BJ52" i="12"/>
  <c r="BI52" i="12"/>
  <c r="BH52" i="12"/>
  <c r="BG52" i="12"/>
  <c r="BF52" i="12"/>
  <c r="BE52" i="12"/>
  <c r="BD52" i="12"/>
  <c r="BC52" i="12"/>
  <c r="F45" i="12"/>
  <c r="G45" i="12" s="1"/>
  <c r="AN45" i="12" s="1"/>
  <c r="F44" i="12"/>
  <c r="G44" i="12" s="1"/>
  <c r="AN44" i="12" s="1"/>
  <c r="E43" i="12"/>
  <c r="G42" i="12"/>
  <c r="G41" i="12"/>
  <c r="AK41" i="12" s="1"/>
  <c r="D39" i="12"/>
  <c r="D38" i="12"/>
  <c r="F35" i="12"/>
  <c r="G35" i="12" s="1"/>
  <c r="W35" i="12" s="1"/>
  <c r="F33" i="12"/>
  <c r="G33" i="12" s="1"/>
  <c r="W33" i="12" s="1"/>
  <c r="E32" i="12"/>
  <c r="F32" i="12" s="1"/>
  <c r="G32" i="12" s="1"/>
  <c r="AN32" i="12" s="1"/>
  <c r="F30" i="12"/>
  <c r="G30" i="12" s="1"/>
  <c r="F27" i="12"/>
  <c r="G27" i="12" s="1"/>
  <c r="AN27" i="12" s="1"/>
  <c r="D24" i="12"/>
  <c r="D23" i="12"/>
  <c r="F22" i="12"/>
  <c r="G22" i="12" s="1"/>
  <c r="AM22" i="12" s="1"/>
  <c r="W20" i="12"/>
  <c r="F19" i="12"/>
  <c r="F17" i="12"/>
  <c r="G17" i="12" s="1"/>
  <c r="Y17" i="12" s="1"/>
  <c r="F16" i="12"/>
  <c r="E24" i="12" s="1"/>
  <c r="H5" i="12"/>
  <c r="H52" i="12" s="1"/>
  <c r="G5" i="12"/>
  <c r="K4" i="12"/>
  <c r="F4" i="12"/>
  <c r="K3" i="12"/>
  <c r="F3" i="12"/>
  <c r="I2" i="12"/>
  <c r="F2" i="12"/>
  <c r="X7" i="14" l="1"/>
  <c r="Y18" i="20"/>
  <c r="X18" i="20"/>
  <c r="F43" i="12"/>
  <c r="G43" i="12" s="1"/>
  <c r="AN43" i="12" s="1"/>
  <c r="F24" i="12"/>
  <c r="G24" i="12" s="1"/>
  <c r="N24" i="12" s="1"/>
  <c r="E5" i="12"/>
  <c r="F5" i="12" s="1"/>
  <c r="K5" i="12"/>
  <c r="E7" i="12"/>
  <c r="F7" i="12" s="1"/>
  <c r="G7" i="12" s="1"/>
  <c r="X7" i="12" s="1"/>
  <c r="AF42" i="13"/>
  <c r="AC42" i="13"/>
  <c r="Y42" i="13"/>
  <c r="AB42" i="13"/>
  <c r="AE42" i="13"/>
  <c r="AD42" i="13"/>
  <c r="AA42" i="13"/>
  <c r="Z42" i="13"/>
  <c r="H52" i="13"/>
  <c r="E5" i="13"/>
  <c r="F5" i="13" s="1"/>
  <c r="AE41" i="13"/>
  <c r="AD41" i="13"/>
  <c r="Z41" i="13"/>
  <c r="AF41" i="13"/>
  <c r="AC41" i="13"/>
  <c r="Y41" i="13"/>
  <c r="AB41" i="13"/>
  <c r="AA41" i="13"/>
  <c r="I58" i="18"/>
  <c r="I52" i="16"/>
  <c r="I58" i="16" s="1"/>
  <c r="AG42" i="12"/>
  <c r="AA42" i="12"/>
  <c r="AF42" i="12"/>
  <c r="Z42" i="12"/>
  <c r="AI42" i="12"/>
  <c r="X42" i="12"/>
  <c r="AK42" i="12"/>
  <c r="AH42" i="12"/>
  <c r="AC42" i="12"/>
  <c r="E8" i="12"/>
  <c r="F8" i="12" s="1"/>
  <c r="G8" i="12" s="1"/>
  <c r="Y8" i="12" s="1"/>
  <c r="E20" i="12"/>
  <c r="F20" i="12" s="1"/>
  <c r="G20" i="12" s="1"/>
  <c r="E6" i="12"/>
  <c r="F6" i="12" s="1"/>
  <c r="G6" i="12" s="1"/>
  <c r="E31" i="14"/>
  <c r="F31" i="14" s="1"/>
  <c r="G31" i="14" s="1"/>
  <c r="E29" i="14"/>
  <c r="E28" i="14"/>
  <c r="F28" i="14" s="1"/>
  <c r="G28" i="14" s="1"/>
  <c r="AN28" i="14" s="1"/>
  <c r="E26" i="14"/>
  <c r="F26" i="14" s="1"/>
  <c r="G26" i="14" s="1"/>
  <c r="AN26" i="14" s="1"/>
  <c r="E25" i="14"/>
  <c r="F25" i="14" s="1"/>
  <c r="G25" i="14" s="1"/>
  <c r="AN25" i="14" s="1"/>
  <c r="E28" i="13"/>
  <c r="F28" i="13" s="1"/>
  <c r="G28" i="13" s="1"/>
  <c r="AN28" i="13" s="1"/>
  <c r="E25" i="13"/>
  <c r="F25" i="13" s="1"/>
  <c r="G25" i="13" s="1"/>
  <c r="AN25" i="13" s="1"/>
  <c r="E26" i="13"/>
  <c r="E29" i="13"/>
  <c r="F29" i="13" s="1"/>
  <c r="G29" i="13" s="1"/>
  <c r="AN29" i="13" s="1"/>
  <c r="E31" i="13"/>
  <c r="E9" i="13"/>
  <c r="F9" i="13" s="1"/>
  <c r="J52" i="13"/>
  <c r="E21" i="13"/>
  <c r="AN25" i="20"/>
  <c r="G20" i="20"/>
  <c r="AV52" i="20"/>
  <c r="V52" i="20"/>
  <c r="AW52" i="20"/>
  <c r="AU52" i="20"/>
  <c r="U52" i="20"/>
  <c r="AT52" i="20"/>
  <c r="L52" i="20"/>
  <c r="BA52" i="20"/>
  <c r="AS52" i="20"/>
  <c r="S52" i="20"/>
  <c r="AZ52" i="20"/>
  <c r="AR52" i="20"/>
  <c r="AO52" i="20"/>
  <c r="AY52" i="20"/>
  <c r="AQ52" i="20"/>
  <c r="O52" i="20"/>
  <c r="AX52" i="20"/>
  <c r="AP52" i="20"/>
  <c r="BB52" i="20"/>
  <c r="N52" i="20"/>
  <c r="AI31" i="20"/>
  <c r="AA31" i="20"/>
  <c r="AH31" i="20"/>
  <c r="Z31" i="20"/>
  <c r="AK31" i="20"/>
  <c r="AG31" i="20"/>
  <c r="Y31" i="20"/>
  <c r="AF31" i="20"/>
  <c r="X31" i="20"/>
  <c r="AM31" i="20"/>
  <c r="AE31" i="20"/>
  <c r="AC31" i="20"/>
  <c r="AL31" i="20"/>
  <c r="AD31" i="20"/>
  <c r="AJ31" i="20"/>
  <c r="AB31" i="20"/>
  <c r="AH10" i="20"/>
  <c r="Z10" i="20"/>
  <c r="AG10" i="20"/>
  <c r="AF10" i="20"/>
  <c r="AJ10" i="20"/>
  <c r="AM10" i="20"/>
  <c r="AE10" i="20"/>
  <c r="AL10" i="20"/>
  <c r="AD10" i="20"/>
  <c r="AK10" i="20"/>
  <c r="AC10" i="20"/>
  <c r="AB10" i="20"/>
  <c r="AI10" i="20"/>
  <c r="AA10" i="20"/>
  <c r="T23" i="20"/>
  <c r="T52" i="20" s="1"/>
  <c r="Q23" i="20"/>
  <c r="AG11" i="20"/>
  <c r="AF11" i="20"/>
  <c r="AA11" i="20"/>
  <c r="AM11" i="20"/>
  <c r="AE11" i="20"/>
  <c r="AL11" i="20"/>
  <c r="AD11" i="20"/>
  <c r="AK11" i="20"/>
  <c r="AC11" i="20"/>
  <c r="AI11" i="20"/>
  <c r="AJ11" i="20"/>
  <c r="AB11" i="20"/>
  <c r="AH11" i="20"/>
  <c r="Z11" i="20"/>
  <c r="F21" i="20"/>
  <c r="G21" i="20" s="1"/>
  <c r="G9" i="20"/>
  <c r="E14" i="20"/>
  <c r="F14" i="20" s="1"/>
  <c r="G14" i="20" s="1"/>
  <c r="AI12" i="20"/>
  <c r="AA12" i="20"/>
  <c r="AH12" i="20"/>
  <c r="Z12" i="20"/>
  <c r="AG12" i="20"/>
  <c r="Y12" i="20"/>
  <c r="AK12" i="20"/>
  <c r="AN12" i="20"/>
  <c r="AF12" i="20"/>
  <c r="X12" i="20"/>
  <c r="AC12" i="20"/>
  <c r="AE12" i="20"/>
  <c r="R12" i="20"/>
  <c r="AL12" i="20"/>
  <c r="AD12" i="20"/>
  <c r="P12" i="20"/>
  <c r="K12" i="20"/>
  <c r="AB12" i="20"/>
  <c r="AJ12" i="20"/>
  <c r="AI15" i="20"/>
  <c r="AA15" i="20"/>
  <c r="AH15" i="20"/>
  <c r="Z15" i="20"/>
  <c r="AC15" i="20"/>
  <c r="AG15" i="20"/>
  <c r="AF15" i="20"/>
  <c r="AM15" i="20"/>
  <c r="AE15" i="20"/>
  <c r="AL15" i="20"/>
  <c r="AD15" i="20"/>
  <c r="AK15" i="20"/>
  <c r="AJ15" i="20"/>
  <c r="AB15" i="20"/>
  <c r="E14" i="18"/>
  <c r="F14" i="18" s="1"/>
  <c r="G14" i="18" s="1"/>
  <c r="G9" i="18"/>
  <c r="T23" i="18"/>
  <c r="T52" i="18" s="1"/>
  <c r="Q23" i="18"/>
  <c r="Q52" i="18" s="1"/>
  <c r="AJ31" i="18"/>
  <c r="AB31" i="18"/>
  <c r="AF31" i="18"/>
  <c r="X31" i="18"/>
  <c r="AI31" i="18"/>
  <c r="AA31" i="18"/>
  <c r="AH31" i="18"/>
  <c r="Z31" i="18"/>
  <c r="AG31" i="18"/>
  <c r="Y31" i="18"/>
  <c r="AM31" i="18"/>
  <c r="AE31" i="18"/>
  <c r="AL31" i="18"/>
  <c r="AD31" i="18"/>
  <c r="AC31" i="18"/>
  <c r="AK31" i="18"/>
  <c r="AI12" i="18"/>
  <c r="AA12" i="18"/>
  <c r="AH12" i="18"/>
  <c r="Z12" i="18"/>
  <c r="AG12" i="18"/>
  <c r="Y12" i="18"/>
  <c r="AE12" i="18"/>
  <c r="AN12" i="18"/>
  <c r="AF12" i="18"/>
  <c r="X12" i="18"/>
  <c r="R12" i="18"/>
  <c r="AL12" i="18"/>
  <c r="AD12" i="18"/>
  <c r="P12" i="18"/>
  <c r="AC12" i="18"/>
  <c r="AB12" i="18"/>
  <c r="AK12" i="18"/>
  <c r="AJ12" i="18"/>
  <c r="K12" i="18"/>
  <c r="AH10" i="18"/>
  <c r="Z10" i="18"/>
  <c r="AG10" i="18"/>
  <c r="AF10" i="18"/>
  <c r="AD10" i="18"/>
  <c r="AM10" i="18"/>
  <c r="AE10" i="18"/>
  <c r="AL10" i="18"/>
  <c r="AK10" i="18"/>
  <c r="AC10" i="18"/>
  <c r="AJ10" i="18"/>
  <c r="AI10" i="18"/>
  <c r="AB10" i="18"/>
  <c r="AA10" i="18"/>
  <c r="AG11" i="18"/>
  <c r="AC11" i="18"/>
  <c r="AF11" i="18"/>
  <c r="AM11" i="18"/>
  <c r="AE11" i="18"/>
  <c r="AK11" i="18"/>
  <c r="AL11" i="18"/>
  <c r="AD11" i="18"/>
  <c r="AJ11" i="18"/>
  <c r="AB11" i="18"/>
  <c r="AI11" i="18"/>
  <c r="AA11" i="18"/>
  <c r="Z11" i="18"/>
  <c r="AH11" i="18"/>
  <c r="AI15" i="18"/>
  <c r="AA15" i="18"/>
  <c r="AE15" i="18"/>
  <c r="AH15" i="18"/>
  <c r="Z15" i="18"/>
  <c r="AG15" i="18"/>
  <c r="AF15" i="18"/>
  <c r="AM15" i="18"/>
  <c r="AL15" i="18"/>
  <c r="AD15" i="18"/>
  <c r="AB15" i="18"/>
  <c r="AK15" i="18"/>
  <c r="AJ15" i="18"/>
  <c r="AC15" i="18"/>
  <c r="F21" i="18"/>
  <c r="G21" i="18" s="1"/>
  <c r="M13" i="18"/>
  <c r="AQ53" i="16"/>
  <c r="AI31" i="16"/>
  <c r="AA31" i="16"/>
  <c r="AH31" i="16"/>
  <c r="Z31" i="16"/>
  <c r="AG31" i="16"/>
  <c r="Y31" i="16"/>
  <c r="AF31" i="16"/>
  <c r="X31" i="16"/>
  <c r="AB31" i="16"/>
  <c r="AM31" i="16"/>
  <c r="AE31" i="16"/>
  <c r="AJ31" i="16"/>
  <c r="AL31" i="16"/>
  <c r="AD31" i="16"/>
  <c r="AK31" i="16"/>
  <c r="AC31" i="16"/>
  <c r="G12" i="16"/>
  <c r="AM12" i="16" s="1"/>
  <c r="Y13" i="16"/>
  <c r="T23" i="16"/>
  <c r="T52" i="16" s="1"/>
  <c r="Q23" i="16"/>
  <c r="Q52" i="16" s="1"/>
  <c r="AG11" i="16"/>
  <c r="AF11" i="16"/>
  <c r="AM11" i="16"/>
  <c r="AE11" i="16"/>
  <c r="AL11" i="16"/>
  <c r="AD11" i="16"/>
  <c r="AK11" i="16"/>
  <c r="AC11" i="16"/>
  <c r="AH11" i="16"/>
  <c r="AJ11" i="16"/>
  <c r="AB11" i="16"/>
  <c r="AI11" i="16"/>
  <c r="AA11" i="16"/>
  <c r="Z11" i="16"/>
  <c r="F21" i="16"/>
  <c r="G21" i="16" s="1"/>
  <c r="X13" i="16"/>
  <c r="E14" i="16"/>
  <c r="F14" i="16" s="1"/>
  <c r="G14" i="16" s="1"/>
  <c r="G9" i="16"/>
  <c r="AI15" i="16"/>
  <c r="AA15" i="16"/>
  <c r="AH15" i="16"/>
  <c r="Z15" i="16"/>
  <c r="AG15" i="16"/>
  <c r="AB15" i="16"/>
  <c r="AF15" i="16"/>
  <c r="AM15" i="16"/>
  <c r="AE15" i="16"/>
  <c r="AL15" i="16"/>
  <c r="AD15" i="16"/>
  <c r="AK15" i="16"/>
  <c r="AC15" i="16"/>
  <c r="AJ15" i="16"/>
  <c r="M6" i="16"/>
  <c r="AH10" i="16"/>
  <c r="Z10" i="16"/>
  <c r="AG10" i="16"/>
  <c r="AF10" i="16"/>
  <c r="AI10" i="16"/>
  <c r="AM10" i="16"/>
  <c r="AE10" i="16"/>
  <c r="AL10" i="16"/>
  <c r="AD10" i="16"/>
  <c r="AK10" i="16"/>
  <c r="AC10" i="16"/>
  <c r="AA10" i="16"/>
  <c r="AJ10" i="16"/>
  <c r="AB10" i="16"/>
  <c r="BC53" i="13"/>
  <c r="CA53" i="13"/>
  <c r="N24" i="14"/>
  <c r="N52" i="14" s="1"/>
  <c r="P24" i="14"/>
  <c r="Y8" i="14"/>
  <c r="Y13" i="14" s="1"/>
  <c r="X8" i="14"/>
  <c r="G6" i="14"/>
  <c r="E13" i="14"/>
  <c r="F13" i="14" s="1"/>
  <c r="G13" i="14" s="1"/>
  <c r="I52" i="14"/>
  <c r="E10" i="14"/>
  <c r="F10" i="14" s="1"/>
  <c r="G10" i="14" s="1"/>
  <c r="E12" i="14"/>
  <c r="F12" i="14" s="1"/>
  <c r="E15" i="14"/>
  <c r="F15" i="14" s="1"/>
  <c r="G15" i="14" s="1"/>
  <c r="G18" i="14"/>
  <c r="D33" i="10" s="1"/>
  <c r="F29" i="14"/>
  <c r="G29" i="14" s="1"/>
  <c r="AN29" i="14" s="1"/>
  <c r="E21" i="14"/>
  <c r="E9" i="14"/>
  <c r="F9" i="14" s="1"/>
  <c r="E23" i="14"/>
  <c r="F23" i="14" s="1"/>
  <c r="G23" i="14" s="1"/>
  <c r="E11" i="14"/>
  <c r="F11" i="14" s="1"/>
  <c r="G11" i="14" s="1"/>
  <c r="F20" i="14"/>
  <c r="G20" i="14" s="1"/>
  <c r="AQ53" i="14"/>
  <c r="G46" i="13"/>
  <c r="BO53" i="13"/>
  <c r="AP52" i="13"/>
  <c r="AX52" i="13"/>
  <c r="AV52" i="13"/>
  <c r="E23" i="13"/>
  <c r="F23" i="13" s="1"/>
  <c r="G23" i="13" s="1"/>
  <c r="T23" i="13" s="1"/>
  <c r="AU52" i="13"/>
  <c r="G16" i="13"/>
  <c r="E20" i="13"/>
  <c r="E24" i="13"/>
  <c r="F24" i="13" s="1"/>
  <c r="G24" i="13" s="1"/>
  <c r="E7" i="13"/>
  <c r="F7" i="13" s="1"/>
  <c r="G7" i="13" s="1"/>
  <c r="E6" i="13"/>
  <c r="F6" i="13" s="1"/>
  <c r="E8" i="13"/>
  <c r="F8" i="13" s="1"/>
  <c r="G8" i="13" s="1"/>
  <c r="G43" i="13"/>
  <c r="CU43" i="13" s="1"/>
  <c r="AN30" i="13"/>
  <c r="F26" i="13"/>
  <c r="G26" i="13" s="1"/>
  <c r="AN26" i="13" s="1"/>
  <c r="E11" i="13"/>
  <c r="F11" i="13" s="1"/>
  <c r="G11" i="13" s="1"/>
  <c r="E10" i="13"/>
  <c r="F10" i="13" s="1"/>
  <c r="G10" i="13" s="1"/>
  <c r="E15" i="13"/>
  <c r="F15" i="13" s="1"/>
  <c r="G15" i="13" s="1"/>
  <c r="F31" i="13"/>
  <c r="G31" i="13" s="1"/>
  <c r="G18" i="13"/>
  <c r="D26" i="10" s="1"/>
  <c r="E12" i="13"/>
  <c r="F12" i="13" s="1"/>
  <c r="G19" i="13"/>
  <c r="D28" i="10" s="1"/>
  <c r="Y17" i="13"/>
  <c r="X17" i="13"/>
  <c r="K5" i="13"/>
  <c r="AO52" i="13"/>
  <c r="AW52" i="13"/>
  <c r="S52" i="13"/>
  <c r="AQ52" i="13"/>
  <c r="AY52" i="13"/>
  <c r="L52" i="13"/>
  <c r="AR52" i="13"/>
  <c r="AZ52" i="13"/>
  <c r="U52" i="13"/>
  <c r="AS52" i="13"/>
  <c r="BA52" i="13"/>
  <c r="V52" i="13"/>
  <c r="AT52" i="13"/>
  <c r="BB52" i="13"/>
  <c r="I5" i="13"/>
  <c r="O52" i="13"/>
  <c r="BO53" i="12"/>
  <c r="BC53" i="12"/>
  <c r="CA53" i="12"/>
  <c r="S52" i="12"/>
  <c r="AW52" i="12"/>
  <c r="AO52" i="12"/>
  <c r="AQ52" i="12"/>
  <c r="AY52" i="12"/>
  <c r="F18" i="12"/>
  <c r="E23" i="12" s="1"/>
  <c r="F23" i="12" s="1"/>
  <c r="G23" i="12" s="1"/>
  <c r="G19" i="12"/>
  <c r="AP52" i="12"/>
  <c r="AX52" i="12"/>
  <c r="AD41" i="12"/>
  <c r="AL41" i="12"/>
  <c r="AB42" i="12"/>
  <c r="AJ42" i="12"/>
  <c r="AE41" i="12"/>
  <c r="X17" i="12"/>
  <c r="L52" i="12"/>
  <c r="AR52" i="12"/>
  <c r="AZ52" i="12"/>
  <c r="X41" i="12"/>
  <c r="AF41" i="12"/>
  <c r="AD42" i="12"/>
  <c r="AL42" i="12"/>
  <c r="U52" i="12"/>
  <c r="AS52" i="12"/>
  <c r="BA52" i="12"/>
  <c r="Y41" i="12"/>
  <c r="AG41" i="12"/>
  <c r="AE42" i="12"/>
  <c r="AM42" i="12"/>
  <c r="V52" i="12"/>
  <c r="AT52" i="12"/>
  <c r="BB52" i="12"/>
  <c r="Z41" i="12"/>
  <c r="AH41" i="12"/>
  <c r="I5" i="12"/>
  <c r="G16" i="12"/>
  <c r="O52" i="12"/>
  <c r="AU52" i="12"/>
  <c r="AA41" i="12"/>
  <c r="AI41" i="12"/>
  <c r="Y42" i="12"/>
  <c r="AM41" i="12"/>
  <c r="AV52" i="12"/>
  <c r="AB41" i="12"/>
  <c r="AJ41" i="12"/>
  <c r="AN30" i="12"/>
  <c r="AC41" i="12"/>
  <c r="G9" i="13" l="1"/>
  <c r="E40" i="16"/>
  <c r="F40" i="16" s="1"/>
  <c r="G40" i="16" s="1"/>
  <c r="CU40" i="16" s="1"/>
  <c r="CU52" i="16" s="1"/>
  <c r="CM53" i="16" s="1"/>
  <c r="E34" i="16"/>
  <c r="F34" i="16" s="1"/>
  <c r="E36" i="16"/>
  <c r="F36" i="16" s="1"/>
  <c r="G36" i="16" s="1"/>
  <c r="W36" i="16" s="1"/>
  <c r="E39" i="20"/>
  <c r="E73" i="6" s="1"/>
  <c r="E78" i="6" s="1"/>
  <c r="E80" i="6" s="1"/>
  <c r="P24" i="12"/>
  <c r="Y7" i="12"/>
  <c r="Y13" i="12" s="1"/>
  <c r="X8" i="12"/>
  <c r="X13" i="12" s="1"/>
  <c r="E37" i="16"/>
  <c r="F37" i="16" s="1"/>
  <c r="G37" i="16" s="1"/>
  <c r="W37" i="16" s="1"/>
  <c r="E40" i="20"/>
  <c r="F40" i="20" s="1"/>
  <c r="G40" i="20" s="1"/>
  <c r="CU40" i="20" s="1"/>
  <c r="CU52" i="20" s="1"/>
  <c r="CM53" i="20" s="1"/>
  <c r="E34" i="20"/>
  <c r="F34" i="20" s="1"/>
  <c r="E36" i="20"/>
  <c r="F36" i="20" s="1"/>
  <c r="G36" i="20" s="1"/>
  <c r="W36" i="20" s="1"/>
  <c r="E37" i="20"/>
  <c r="F37" i="20" s="1"/>
  <c r="G37" i="20" s="1"/>
  <c r="W37" i="20" s="1"/>
  <c r="E13" i="12"/>
  <c r="F13" i="12" s="1"/>
  <c r="G13" i="12" s="1"/>
  <c r="E34" i="18"/>
  <c r="F34" i="18" s="1"/>
  <c r="G34" i="18" s="1"/>
  <c r="W34" i="18" s="1"/>
  <c r="E36" i="18"/>
  <c r="F36" i="18" s="1"/>
  <c r="G36" i="18" s="1"/>
  <c r="W36" i="18" s="1"/>
  <c r="E37" i="18"/>
  <c r="F37" i="18" s="1"/>
  <c r="G37" i="18" s="1"/>
  <c r="W37" i="18" s="1"/>
  <c r="E40" i="18"/>
  <c r="F40" i="18" s="1"/>
  <c r="J58" i="16"/>
  <c r="L28" i="10"/>
  <c r="N28" i="10"/>
  <c r="F28" i="10"/>
  <c r="G28" i="10"/>
  <c r="H28" i="10"/>
  <c r="M28" i="10"/>
  <c r="O28" i="10"/>
  <c r="P28" i="10"/>
  <c r="K28" i="10"/>
  <c r="Q28" i="10"/>
  <c r="I28" i="10"/>
  <c r="E28" i="10"/>
  <c r="J28" i="10"/>
  <c r="E11" i="12"/>
  <c r="F11" i="12" s="1"/>
  <c r="G11" i="12" s="1"/>
  <c r="AE11" i="12" s="1"/>
  <c r="E14" i="13"/>
  <c r="F14" i="13" s="1"/>
  <c r="G14" i="13" s="1"/>
  <c r="J52" i="12"/>
  <c r="N52" i="12"/>
  <c r="M6" i="12"/>
  <c r="M13" i="12" s="1"/>
  <c r="O26" i="10"/>
  <c r="P26" i="10"/>
  <c r="Q26" i="10"/>
  <c r="R26" i="10"/>
  <c r="K26" i="10"/>
  <c r="J26" i="10"/>
  <c r="M26" i="10"/>
  <c r="N26" i="10"/>
  <c r="L26" i="10"/>
  <c r="M33" i="10"/>
  <c r="J33" i="10"/>
  <c r="N33" i="10"/>
  <c r="O33" i="10"/>
  <c r="P33" i="10"/>
  <c r="Q33" i="10"/>
  <c r="R33" i="10"/>
  <c r="K33" i="10"/>
  <c r="L33" i="10"/>
  <c r="J58" i="14"/>
  <c r="Q52" i="20"/>
  <c r="AQ53" i="20"/>
  <c r="J52" i="20"/>
  <c r="I52" i="20"/>
  <c r="P9" i="20"/>
  <c r="M9" i="20"/>
  <c r="AH14" i="20"/>
  <c r="R14" i="20"/>
  <c r="R52" i="20" s="1"/>
  <c r="AC14" i="20"/>
  <c r="AG14" i="20"/>
  <c r="AK14" i="20"/>
  <c r="X14" i="20"/>
  <c r="X52" i="20" s="1"/>
  <c r="AL14" i="20"/>
  <c r="Z14" i="20"/>
  <c r="K14" i="20"/>
  <c r="K52" i="20" s="1"/>
  <c r="AE14" i="20"/>
  <c r="AN14" i="20"/>
  <c r="AN52" i="20" s="1"/>
  <c r="AA14" i="20"/>
  <c r="AM14" i="20"/>
  <c r="AD14" i="20"/>
  <c r="AI14" i="20"/>
  <c r="AJ14" i="20"/>
  <c r="Y14" i="20"/>
  <c r="Y52" i="20" s="1"/>
  <c r="AB14" i="20"/>
  <c r="AF14" i="20"/>
  <c r="AL14" i="18"/>
  <c r="AE14" i="18"/>
  <c r="AA14" i="18"/>
  <c r="AM14" i="18"/>
  <c r="K14" i="18"/>
  <c r="K52" i="18" s="1"/>
  <c r="R14" i="18"/>
  <c r="R52" i="18" s="1"/>
  <c r="AB14" i="18"/>
  <c r="AD14" i="18"/>
  <c r="X14" i="18"/>
  <c r="X52" i="18" s="1"/>
  <c r="AI14" i="18"/>
  <c r="AF14" i="18"/>
  <c r="AJ14" i="18"/>
  <c r="AG14" i="18"/>
  <c r="AN14" i="18"/>
  <c r="AN52" i="18" s="1"/>
  <c r="P9" i="18"/>
  <c r="M9" i="18"/>
  <c r="E39" i="18"/>
  <c r="E59" i="6" s="1"/>
  <c r="AC14" i="18"/>
  <c r="Z14" i="18"/>
  <c r="AK14" i="18"/>
  <c r="AH14" i="18"/>
  <c r="Y14" i="18"/>
  <c r="Y52" i="18" s="1"/>
  <c r="P9" i="16"/>
  <c r="M9" i="16"/>
  <c r="M14" i="16" s="1"/>
  <c r="AM14" i="16"/>
  <c r="E39" i="16"/>
  <c r="AI12" i="16"/>
  <c r="AI14" i="16" s="1"/>
  <c r="AA12" i="16"/>
  <c r="AH12" i="16"/>
  <c r="AH14" i="16" s="1"/>
  <c r="Z12" i="16"/>
  <c r="AG12" i="16"/>
  <c r="AG14" i="16" s="1"/>
  <c r="Y12" i="16"/>
  <c r="AJ12" i="16"/>
  <c r="AJ14" i="16" s="1"/>
  <c r="AN12" i="16"/>
  <c r="AF12" i="16"/>
  <c r="AF14" i="16" s="1"/>
  <c r="X12" i="16"/>
  <c r="AE12" i="16"/>
  <c r="R12" i="16"/>
  <c r="AL12" i="16"/>
  <c r="AL14" i="16" s="1"/>
  <c r="AD12" i="16"/>
  <c r="AD14" i="16" s="1"/>
  <c r="P12" i="16"/>
  <c r="AK12" i="16"/>
  <c r="AK14" i="16" s="1"/>
  <c r="AC12" i="16"/>
  <c r="AC14" i="16" s="1"/>
  <c r="K12" i="16"/>
  <c r="AB12" i="16"/>
  <c r="M13" i="16"/>
  <c r="W52" i="16"/>
  <c r="AL11" i="14"/>
  <c r="AD11" i="14"/>
  <c r="AK11" i="14"/>
  <c r="AC11" i="14"/>
  <c r="AF11" i="14"/>
  <c r="AJ11" i="14"/>
  <c r="AB11" i="14"/>
  <c r="AI11" i="14"/>
  <c r="AA11" i="14"/>
  <c r="AH11" i="14"/>
  <c r="Z11" i="14"/>
  <c r="AG11" i="14"/>
  <c r="AE11" i="14"/>
  <c r="AM11" i="14"/>
  <c r="T23" i="14"/>
  <c r="T52" i="14" s="1"/>
  <c r="Q23" i="14"/>
  <c r="Q52" i="14" s="1"/>
  <c r="AI31" i="14"/>
  <c r="AA31" i="14"/>
  <c r="AH31" i="14"/>
  <c r="Z31" i="14"/>
  <c r="AG31" i="14"/>
  <c r="Y31" i="14"/>
  <c r="AF31" i="14"/>
  <c r="X31" i="14"/>
  <c r="AC31" i="14"/>
  <c r="AM31" i="14"/>
  <c r="AE31" i="14"/>
  <c r="AK31" i="14"/>
  <c r="AJ31" i="14"/>
  <c r="AL31" i="14"/>
  <c r="AD31" i="14"/>
  <c r="AB31" i="14"/>
  <c r="G12" i="14"/>
  <c r="AM12" i="14" s="1"/>
  <c r="I58" i="14"/>
  <c r="AF15" i="14"/>
  <c r="AM15" i="14"/>
  <c r="AE15" i="14"/>
  <c r="Z15" i="14"/>
  <c r="AL15" i="14"/>
  <c r="AD15" i="14"/>
  <c r="AK15" i="14"/>
  <c r="AC15" i="14"/>
  <c r="AJ15" i="14"/>
  <c r="AB15" i="14"/>
  <c r="AH15" i="14"/>
  <c r="AI15" i="14"/>
  <c r="AA15" i="14"/>
  <c r="AG15" i="14"/>
  <c r="E14" i="14"/>
  <c r="F14" i="14" s="1"/>
  <c r="G14" i="14" s="1"/>
  <c r="G9" i="14"/>
  <c r="AM10" i="14"/>
  <c r="AE10" i="14"/>
  <c r="AL10" i="14"/>
  <c r="AD10" i="14"/>
  <c r="AK10" i="14"/>
  <c r="AC10" i="14"/>
  <c r="AG10" i="14"/>
  <c r="AJ10" i="14"/>
  <c r="AB10" i="14"/>
  <c r="AI10" i="14"/>
  <c r="AA10" i="14"/>
  <c r="AH10" i="14"/>
  <c r="Z10" i="14"/>
  <c r="AF10" i="14"/>
  <c r="X13" i="14"/>
  <c r="F21" i="14"/>
  <c r="G21" i="14" s="1"/>
  <c r="M6" i="14"/>
  <c r="Q23" i="13"/>
  <c r="T52" i="13"/>
  <c r="I52" i="13"/>
  <c r="AQ53" i="13"/>
  <c r="Y16" i="13"/>
  <c r="Y20" i="13" s="1"/>
  <c r="X16" i="13"/>
  <c r="F21" i="13"/>
  <c r="G21" i="13" s="1"/>
  <c r="AH15" i="13"/>
  <c r="Z15" i="13"/>
  <c r="AC15" i="13"/>
  <c r="AG15" i="13"/>
  <c r="AF15" i="13"/>
  <c r="AM15" i="13"/>
  <c r="AE15" i="13"/>
  <c r="AK15" i="13"/>
  <c r="AL15" i="13"/>
  <c r="AD15" i="13"/>
  <c r="AJ15" i="13"/>
  <c r="AB15" i="13"/>
  <c r="AA15" i="13"/>
  <c r="AI15" i="13"/>
  <c r="AG10" i="13"/>
  <c r="AB10" i="13"/>
  <c r="AF10" i="13"/>
  <c r="AJ10" i="13"/>
  <c r="AM10" i="13"/>
  <c r="AE10" i="13"/>
  <c r="AL10" i="13"/>
  <c r="AD10" i="13"/>
  <c r="AK10" i="13"/>
  <c r="AC10" i="13"/>
  <c r="AI10" i="13"/>
  <c r="AA10" i="13"/>
  <c r="Z10" i="13"/>
  <c r="AH10" i="13"/>
  <c r="Y8" i="13"/>
  <c r="X8" i="13"/>
  <c r="AF11" i="13"/>
  <c r="AA11" i="13"/>
  <c r="AM11" i="13"/>
  <c r="AE11" i="13"/>
  <c r="AL11" i="13"/>
  <c r="AD11" i="13"/>
  <c r="AK11" i="13"/>
  <c r="AC11" i="13"/>
  <c r="AI11" i="13"/>
  <c r="AJ11" i="13"/>
  <c r="AB11" i="13"/>
  <c r="AH11" i="13"/>
  <c r="Z11" i="13"/>
  <c r="AG11" i="13"/>
  <c r="E13" i="13"/>
  <c r="F13" i="13" s="1"/>
  <c r="G6" i="13"/>
  <c r="P24" i="13"/>
  <c r="N24" i="13"/>
  <c r="G12" i="13"/>
  <c r="AM12" i="13" s="1"/>
  <c r="Y7" i="13"/>
  <c r="X7" i="13"/>
  <c r="AI31" i="13"/>
  <c r="AA31" i="13"/>
  <c r="AH31" i="13"/>
  <c r="Z31" i="13"/>
  <c r="AG31" i="13"/>
  <c r="Y31" i="13"/>
  <c r="AD31" i="13"/>
  <c r="AF31" i="13"/>
  <c r="X31" i="13"/>
  <c r="AL31" i="13"/>
  <c r="AM31" i="13"/>
  <c r="AE31" i="13"/>
  <c r="AK31" i="13"/>
  <c r="AC31" i="13"/>
  <c r="AB31" i="13"/>
  <c r="AJ31" i="13"/>
  <c r="P9" i="13"/>
  <c r="M9" i="13"/>
  <c r="F20" i="13"/>
  <c r="G20" i="13" s="1"/>
  <c r="T23" i="12"/>
  <c r="T52" i="12" s="1"/>
  <c r="Q23" i="12"/>
  <c r="Q52" i="12" s="1"/>
  <c r="E12" i="12"/>
  <c r="F12" i="12" s="1"/>
  <c r="G12" i="12" s="1"/>
  <c r="AM12" i="12" s="1"/>
  <c r="I52" i="12"/>
  <c r="I58" i="12" s="1"/>
  <c r="E29" i="12"/>
  <c r="F29" i="12" s="1"/>
  <c r="G29" i="12" s="1"/>
  <c r="AN29" i="12" s="1"/>
  <c r="G18" i="12"/>
  <c r="D21" i="10" s="1"/>
  <c r="E9" i="12"/>
  <c r="F9" i="12" s="1"/>
  <c r="E31" i="12"/>
  <c r="F31" i="12" s="1"/>
  <c r="G31" i="12" s="1"/>
  <c r="AJ31" i="12" s="1"/>
  <c r="E28" i="12"/>
  <c r="F28" i="12" s="1"/>
  <c r="G28" i="12" s="1"/>
  <c r="AN28" i="12" s="1"/>
  <c r="E15" i="12"/>
  <c r="F15" i="12" s="1"/>
  <c r="G15" i="12" s="1"/>
  <c r="AJ15" i="12" s="1"/>
  <c r="E10" i="12"/>
  <c r="F10" i="12" s="1"/>
  <c r="G10" i="12" s="1"/>
  <c r="AA10" i="12" s="1"/>
  <c r="E26" i="12"/>
  <c r="F26" i="12" s="1"/>
  <c r="G26" i="12" s="1"/>
  <c r="AN26" i="12" s="1"/>
  <c r="E25" i="12"/>
  <c r="F25" i="12" s="1"/>
  <c r="G25" i="12" s="1"/>
  <c r="AN25" i="12" s="1"/>
  <c r="E21" i="12"/>
  <c r="AQ53" i="12"/>
  <c r="Y16" i="12"/>
  <c r="Y20" i="12" s="1"/>
  <c r="X16" i="12"/>
  <c r="X20" i="12" s="1"/>
  <c r="G55" i="11"/>
  <c r="CT52" i="11"/>
  <c r="CS52" i="11"/>
  <c r="CR52" i="11"/>
  <c r="CQ52" i="11"/>
  <c r="CP52" i="11"/>
  <c r="CO52" i="11"/>
  <c r="CN52" i="11"/>
  <c r="CM52" i="11"/>
  <c r="CL52" i="11"/>
  <c r="CK52" i="11"/>
  <c r="CJ52" i="11"/>
  <c r="CI52" i="11"/>
  <c r="CH52" i="11"/>
  <c r="CG52" i="11"/>
  <c r="CF52" i="11"/>
  <c r="CE52" i="11"/>
  <c r="CD52" i="11"/>
  <c r="CC52" i="11"/>
  <c r="CB52" i="11"/>
  <c r="CA52" i="11"/>
  <c r="BZ52" i="11"/>
  <c r="BY52" i="11"/>
  <c r="BX52" i="11"/>
  <c r="BW52" i="11"/>
  <c r="BV52" i="11"/>
  <c r="BU52" i="11"/>
  <c r="BT52" i="11"/>
  <c r="BS52" i="11"/>
  <c r="BR52" i="11"/>
  <c r="BQ52" i="11"/>
  <c r="BP52" i="11"/>
  <c r="BO52" i="11"/>
  <c r="BN52" i="11"/>
  <c r="BM52" i="11"/>
  <c r="BL52" i="11"/>
  <c r="BK52" i="11"/>
  <c r="BJ52" i="11"/>
  <c r="BI52" i="11"/>
  <c r="BH52" i="11"/>
  <c r="BG52" i="11"/>
  <c r="BF52" i="11"/>
  <c r="BE52" i="11"/>
  <c r="BD52" i="11"/>
  <c r="BC52" i="11"/>
  <c r="F45" i="11"/>
  <c r="G45" i="11" s="1"/>
  <c r="AN45" i="11" s="1"/>
  <c r="F44" i="11"/>
  <c r="G44" i="11" s="1"/>
  <c r="AN44" i="11" s="1"/>
  <c r="E43" i="11"/>
  <c r="F43" i="11" s="1"/>
  <c r="G42" i="11"/>
  <c r="AI42" i="11" s="1"/>
  <c r="G41" i="11"/>
  <c r="D39" i="11"/>
  <c r="D38" i="11"/>
  <c r="F35" i="11"/>
  <c r="G35" i="11" s="1"/>
  <c r="W35" i="11" s="1"/>
  <c r="F33" i="11"/>
  <c r="G33" i="11" s="1"/>
  <c r="W33" i="11" s="1"/>
  <c r="F32" i="11"/>
  <c r="G32" i="11" s="1"/>
  <c r="AN32" i="11" s="1"/>
  <c r="F30" i="11"/>
  <c r="G30" i="11" s="1"/>
  <c r="AN30" i="11" s="1"/>
  <c r="F27" i="11"/>
  <c r="G27" i="11" s="1"/>
  <c r="AN27" i="11" s="1"/>
  <c r="D24" i="11"/>
  <c r="D23" i="11"/>
  <c r="F22" i="11"/>
  <c r="G22" i="11" s="1"/>
  <c r="AM22" i="11" s="1"/>
  <c r="W20" i="11"/>
  <c r="F19" i="11"/>
  <c r="F18" i="11"/>
  <c r="F17" i="11"/>
  <c r="G17" i="11" s="1"/>
  <c r="F16" i="11"/>
  <c r="H5" i="11"/>
  <c r="H52" i="11" s="1"/>
  <c r="G5" i="11"/>
  <c r="K4" i="11"/>
  <c r="F4" i="11"/>
  <c r="K3" i="11"/>
  <c r="F3" i="11"/>
  <c r="I2" i="11"/>
  <c r="I5" i="11" s="1"/>
  <c r="F2" i="11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G49" i="20" l="1"/>
  <c r="K5" i="11"/>
  <c r="E40" i="14"/>
  <c r="F40" i="14" s="1"/>
  <c r="G34" i="16"/>
  <c r="W34" i="16" s="1"/>
  <c r="E38" i="16"/>
  <c r="G49" i="18"/>
  <c r="G40" i="18"/>
  <c r="CU40" i="18" s="1"/>
  <c r="CU52" i="18" s="1"/>
  <c r="CM53" i="18" s="1"/>
  <c r="G34" i="20"/>
  <c r="W34" i="20" s="1"/>
  <c r="W52" i="20" s="1"/>
  <c r="E38" i="20"/>
  <c r="Z15" i="12"/>
  <c r="AL31" i="12"/>
  <c r="AD15" i="12"/>
  <c r="AI31" i="12"/>
  <c r="X31" i="12"/>
  <c r="AH31" i="12"/>
  <c r="AD31" i="12"/>
  <c r="AB11" i="12"/>
  <c r="E36" i="14"/>
  <c r="F36" i="14" s="1"/>
  <c r="G36" i="14" s="1"/>
  <c r="W36" i="14" s="1"/>
  <c r="E5" i="11"/>
  <c r="F5" i="11" s="1"/>
  <c r="AB31" i="12"/>
  <c r="AM11" i="12"/>
  <c r="E37" i="14"/>
  <c r="F37" i="14" s="1"/>
  <c r="G37" i="14" s="1"/>
  <c r="W37" i="14" s="1"/>
  <c r="E34" i="14"/>
  <c r="F34" i="14" s="1"/>
  <c r="G34" i="14" s="1"/>
  <c r="W34" i="14" s="1"/>
  <c r="F21" i="12"/>
  <c r="G21" i="12" s="1"/>
  <c r="W52" i="18"/>
  <c r="M52" i="16"/>
  <c r="AI19" i="14"/>
  <c r="AI19" i="18"/>
  <c r="AE19" i="20"/>
  <c r="AE21" i="20" s="1"/>
  <c r="AE19" i="16"/>
  <c r="AE19" i="13"/>
  <c r="AF19" i="18"/>
  <c r="AF19" i="14"/>
  <c r="AJ19" i="13"/>
  <c r="AJ19" i="20"/>
  <c r="AJ21" i="20" s="1"/>
  <c r="AJ19" i="16"/>
  <c r="AK19" i="16"/>
  <c r="AK19" i="20"/>
  <c r="AK21" i="20" s="1"/>
  <c r="AK19" i="13"/>
  <c r="AE19" i="18"/>
  <c r="AE19" i="14"/>
  <c r="AG19" i="18"/>
  <c r="AG19" i="14"/>
  <c r="AH19" i="16"/>
  <c r="AH19" i="13"/>
  <c r="AH19" i="20"/>
  <c r="AH21" i="20" s="1"/>
  <c r="AB19" i="18"/>
  <c r="AB21" i="18" s="1"/>
  <c r="AB19" i="14"/>
  <c r="AD19" i="14"/>
  <c r="AD19" i="18"/>
  <c r="AD21" i="18" s="1"/>
  <c r="AD19" i="20"/>
  <c r="AD21" i="20" s="1"/>
  <c r="AD19" i="16"/>
  <c r="AD21" i="16" s="1"/>
  <c r="AD19" i="13"/>
  <c r="AC19" i="20"/>
  <c r="AC21" i="20" s="1"/>
  <c r="AC19" i="16"/>
  <c r="AC21" i="16" s="1"/>
  <c r="AC19" i="13"/>
  <c r="AK19" i="18"/>
  <c r="AK19" i="14"/>
  <c r="AJ19" i="18"/>
  <c r="AJ19" i="14"/>
  <c r="AB19" i="20"/>
  <c r="AB21" i="20" s="1"/>
  <c r="AB19" i="13"/>
  <c r="AB19" i="16"/>
  <c r="AB21" i="16" s="1"/>
  <c r="Z19" i="20"/>
  <c r="Z21" i="20" s="1"/>
  <c r="Z19" i="16"/>
  <c r="Z21" i="16" s="1"/>
  <c r="Z19" i="13"/>
  <c r="AA19" i="20"/>
  <c r="AA21" i="20" s="1"/>
  <c r="AA19" i="16"/>
  <c r="AA21" i="16" s="1"/>
  <c r="AA19" i="13"/>
  <c r="AL19" i="20"/>
  <c r="AL21" i="20" s="1"/>
  <c r="AL19" i="16"/>
  <c r="AL19" i="13"/>
  <c r="Z19" i="14"/>
  <c r="Z19" i="18"/>
  <c r="AA19" i="14"/>
  <c r="AA19" i="18"/>
  <c r="AF19" i="20"/>
  <c r="AF21" i="20" s="1"/>
  <c r="AF19" i="16"/>
  <c r="AF19" i="13"/>
  <c r="AI19" i="16"/>
  <c r="AI19" i="20"/>
  <c r="AI21" i="20" s="1"/>
  <c r="AI19" i="13"/>
  <c r="AH19" i="14"/>
  <c r="AH19" i="18"/>
  <c r="AL19" i="18"/>
  <c r="AL19" i="14"/>
  <c r="AC19" i="18"/>
  <c r="AC21" i="18" s="1"/>
  <c r="AC19" i="14"/>
  <c r="AG19" i="20"/>
  <c r="AG21" i="20" s="1"/>
  <c r="AG19" i="16"/>
  <c r="AG19" i="13"/>
  <c r="Q52" i="13"/>
  <c r="M14" i="13"/>
  <c r="X20" i="13"/>
  <c r="N52" i="13"/>
  <c r="AB42" i="11"/>
  <c r="AC42" i="11"/>
  <c r="AJ42" i="11"/>
  <c r="AK42" i="11"/>
  <c r="AP52" i="11"/>
  <c r="AA11" i="12"/>
  <c r="AF11" i="12"/>
  <c r="Z10" i="12"/>
  <c r="AC15" i="12"/>
  <c r="AH15" i="12"/>
  <c r="AI11" i="12"/>
  <c r="AJ11" i="12"/>
  <c r="AB10" i="12"/>
  <c r="AH10" i="12"/>
  <c r="AK15" i="12"/>
  <c r="AL15" i="12"/>
  <c r="AC11" i="12"/>
  <c r="AG11" i="12"/>
  <c r="AJ10" i="12"/>
  <c r="AI10" i="12"/>
  <c r="AE15" i="12"/>
  <c r="AM15" i="12"/>
  <c r="AI15" i="12"/>
  <c r="AD11" i="12"/>
  <c r="AH11" i="12"/>
  <c r="AE10" i="12"/>
  <c r="AG10" i="12"/>
  <c r="AA15" i="12"/>
  <c r="Z11" i="12"/>
  <c r="AK10" i="12"/>
  <c r="AF15" i="12"/>
  <c r="AB15" i="12"/>
  <c r="AL11" i="12"/>
  <c r="AM10" i="12"/>
  <c r="AK11" i="12"/>
  <c r="AE31" i="12"/>
  <c r="AG15" i="12"/>
  <c r="AF10" i="12"/>
  <c r="E14" i="12"/>
  <c r="F14" i="12" s="1"/>
  <c r="G14" i="12" s="1"/>
  <c r="E39" i="14"/>
  <c r="E64" i="6" s="1"/>
  <c r="E66" i="6" s="1"/>
  <c r="E23" i="11"/>
  <c r="F23" i="11" s="1"/>
  <c r="G23" i="11" s="1"/>
  <c r="T23" i="11" s="1"/>
  <c r="E12" i="11"/>
  <c r="F12" i="11" s="1"/>
  <c r="G12" i="11" s="1"/>
  <c r="AM12" i="11" s="1"/>
  <c r="K58" i="18"/>
  <c r="L58" i="18"/>
  <c r="U52" i="11"/>
  <c r="J58" i="12"/>
  <c r="AC31" i="12"/>
  <c r="AG31" i="12"/>
  <c r="AD10" i="12"/>
  <c r="AC10" i="12"/>
  <c r="AF31" i="12"/>
  <c r="AK31" i="12"/>
  <c r="Z31" i="12"/>
  <c r="AL10" i="12"/>
  <c r="AM31" i="12"/>
  <c r="AA31" i="12"/>
  <c r="Q21" i="10"/>
  <c r="AL18" i="12" s="1"/>
  <c r="AL21" i="12" s="1"/>
  <c r="N21" i="10"/>
  <c r="AI18" i="12" s="1"/>
  <c r="AI21" i="12" s="1"/>
  <c r="P21" i="10"/>
  <c r="AK18" i="12" s="1"/>
  <c r="AK21" i="12" s="1"/>
  <c r="H21" i="10"/>
  <c r="AC18" i="12" s="1"/>
  <c r="AC21" i="12" s="1"/>
  <c r="M21" i="10"/>
  <c r="AH18" i="12" s="1"/>
  <c r="AH21" i="12" s="1"/>
  <c r="K21" i="10"/>
  <c r="AF18" i="12" s="1"/>
  <c r="AF21" i="12" s="1"/>
  <c r="O21" i="10"/>
  <c r="AJ18" i="12" s="1"/>
  <c r="AJ21" i="12" s="1"/>
  <c r="J21" i="10"/>
  <c r="AE18" i="12" s="1"/>
  <c r="AE21" i="12" s="1"/>
  <c r="I21" i="10"/>
  <c r="AD18" i="12" s="1"/>
  <c r="AD21" i="12" s="1"/>
  <c r="F21" i="10"/>
  <c r="AA18" i="12" s="1"/>
  <c r="AA21" i="12" s="1"/>
  <c r="E21" i="10"/>
  <c r="Z18" i="12" s="1"/>
  <c r="Z21" i="12" s="1"/>
  <c r="L21" i="10"/>
  <c r="AG18" i="12" s="1"/>
  <c r="AG21" i="12" s="1"/>
  <c r="R21" i="10"/>
  <c r="AM18" i="12" s="1"/>
  <c r="AM21" i="12" s="1"/>
  <c r="G21" i="10"/>
  <c r="AB18" i="12" s="1"/>
  <c r="AB21" i="12" s="1"/>
  <c r="Y31" i="12"/>
  <c r="AK18" i="16"/>
  <c r="AK18" i="13"/>
  <c r="AI18" i="16"/>
  <c r="AI18" i="13"/>
  <c r="I58" i="13"/>
  <c r="J58" i="13"/>
  <c r="AH18" i="16"/>
  <c r="AH18" i="13"/>
  <c r="AE18" i="16"/>
  <c r="AE18" i="13"/>
  <c r="AF18" i="16"/>
  <c r="AF18" i="13"/>
  <c r="AM18" i="16"/>
  <c r="AM21" i="16" s="1"/>
  <c r="AM18" i="13"/>
  <c r="AL18" i="16"/>
  <c r="AL18" i="13"/>
  <c r="AG18" i="16"/>
  <c r="AG18" i="13"/>
  <c r="AJ18" i="16"/>
  <c r="AJ18" i="13"/>
  <c r="AM18" i="18"/>
  <c r="AM21" i="18" s="1"/>
  <c r="AM18" i="14"/>
  <c r="AL18" i="14"/>
  <c r="AL18" i="18"/>
  <c r="AK18" i="14"/>
  <c r="AK18" i="18"/>
  <c r="AJ18" i="14"/>
  <c r="AJ18" i="18"/>
  <c r="AI18" i="18"/>
  <c r="AI18" i="14"/>
  <c r="AE18" i="14"/>
  <c r="AE18" i="18"/>
  <c r="AG18" i="14"/>
  <c r="AG18" i="18"/>
  <c r="AH18" i="18"/>
  <c r="AH18" i="14"/>
  <c r="AF18" i="18"/>
  <c r="AF18" i="14"/>
  <c r="AM52" i="20"/>
  <c r="I58" i="20"/>
  <c r="J58" i="20"/>
  <c r="L58" i="20"/>
  <c r="K58" i="20"/>
  <c r="M14" i="20"/>
  <c r="M52" i="20" s="1"/>
  <c r="P14" i="20"/>
  <c r="P52" i="20" s="1"/>
  <c r="M14" i="18"/>
  <c r="M52" i="18" s="1"/>
  <c r="P14" i="18"/>
  <c r="P52" i="18" s="1"/>
  <c r="AB14" i="16"/>
  <c r="AE14" i="16"/>
  <c r="P14" i="16"/>
  <c r="P52" i="16" s="1"/>
  <c r="Z14" i="16"/>
  <c r="AA14" i="16"/>
  <c r="C45" i="6"/>
  <c r="AN14" i="16"/>
  <c r="AN52" i="16" s="1"/>
  <c r="K14" i="16"/>
  <c r="K52" i="16"/>
  <c r="X14" i="16"/>
  <c r="X52" i="16" s="1"/>
  <c r="R14" i="16"/>
  <c r="R52" i="16" s="1"/>
  <c r="Y14" i="16"/>
  <c r="Y52" i="16" s="1"/>
  <c r="AM14" i="14"/>
  <c r="AN12" i="14"/>
  <c r="AF12" i="14"/>
  <c r="AF14" i="14" s="1"/>
  <c r="X12" i="14"/>
  <c r="AE12" i="14"/>
  <c r="AE14" i="14" s="1"/>
  <c r="R12" i="14"/>
  <c r="AL12" i="14"/>
  <c r="AL14" i="14" s="1"/>
  <c r="AD12" i="14"/>
  <c r="P12" i="14"/>
  <c r="AK12" i="14"/>
  <c r="AK14" i="14" s="1"/>
  <c r="AC12" i="14"/>
  <c r="AC14" i="14" s="1"/>
  <c r="K12" i="14"/>
  <c r="AJ12" i="14"/>
  <c r="AB12" i="14"/>
  <c r="AB14" i="14" s="1"/>
  <c r="AH12" i="14"/>
  <c r="AI12" i="14"/>
  <c r="AA12" i="14"/>
  <c r="Z12" i="14"/>
  <c r="AG12" i="14"/>
  <c r="AG14" i="14" s="1"/>
  <c r="Y12" i="14"/>
  <c r="P9" i="14"/>
  <c r="M9" i="14"/>
  <c r="M14" i="14" s="1"/>
  <c r="M13" i="14"/>
  <c r="AH12" i="13"/>
  <c r="AH14" i="13" s="1"/>
  <c r="Z12" i="13"/>
  <c r="Z14" i="13" s="1"/>
  <c r="K12" i="13"/>
  <c r="AG12" i="13"/>
  <c r="AG14" i="13" s="1"/>
  <c r="Y12" i="13"/>
  <c r="Y14" i="13" s="1"/>
  <c r="AC12" i="13"/>
  <c r="AC14" i="13" s="1"/>
  <c r="AN12" i="13"/>
  <c r="AF12" i="13"/>
  <c r="AF14" i="13" s="1"/>
  <c r="X12" i="13"/>
  <c r="X14" i="13" s="1"/>
  <c r="AE12" i="13"/>
  <c r="AE14" i="13" s="1"/>
  <c r="R12" i="13"/>
  <c r="AL12" i="13"/>
  <c r="AL14" i="13" s="1"/>
  <c r="AD12" i="13"/>
  <c r="P12" i="13"/>
  <c r="P14" i="13" s="1"/>
  <c r="P52" i="13" s="1"/>
  <c r="AK12" i="13"/>
  <c r="AK14" i="13" s="1"/>
  <c r="AJ12" i="13"/>
  <c r="AJ14" i="13" s="1"/>
  <c r="AB12" i="13"/>
  <c r="AB14" i="13" s="1"/>
  <c r="AA12" i="13"/>
  <c r="AA14" i="13" s="1"/>
  <c r="AI12" i="13"/>
  <c r="AI14" i="13" s="1"/>
  <c r="AM14" i="13"/>
  <c r="M6" i="13"/>
  <c r="X13" i="13"/>
  <c r="G13" i="13"/>
  <c r="E39" i="13" s="1"/>
  <c r="Y13" i="13"/>
  <c r="G9" i="12"/>
  <c r="AJ12" i="12"/>
  <c r="AB12" i="12"/>
  <c r="AI12" i="12"/>
  <c r="AA12" i="12"/>
  <c r="AH12" i="12"/>
  <c r="Z12" i="12"/>
  <c r="AD12" i="12"/>
  <c r="AG12" i="12"/>
  <c r="Y12" i="12"/>
  <c r="P12" i="12"/>
  <c r="AN12" i="12"/>
  <c r="AF12" i="12"/>
  <c r="X12" i="12"/>
  <c r="AL12" i="12"/>
  <c r="AE12" i="12"/>
  <c r="R12" i="12"/>
  <c r="AK12" i="12"/>
  <c r="AC12" i="12"/>
  <c r="K12" i="12"/>
  <c r="AQ52" i="11"/>
  <c r="BC53" i="11"/>
  <c r="AX52" i="11"/>
  <c r="S52" i="11"/>
  <c r="AY52" i="11"/>
  <c r="BO53" i="11"/>
  <c r="CA53" i="11"/>
  <c r="G43" i="11"/>
  <c r="AS52" i="11"/>
  <c r="BA52" i="11"/>
  <c r="G18" i="11"/>
  <c r="E11" i="11"/>
  <c r="F11" i="11" s="1"/>
  <c r="G11" i="11" s="1"/>
  <c r="AC11" i="11" s="1"/>
  <c r="AO52" i="11"/>
  <c r="AW52" i="11"/>
  <c r="E10" i="11"/>
  <c r="F10" i="11" s="1"/>
  <c r="G10" i="11" s="1"/>
  <c r="AF10" i="11" s="1"/>
  <c r="AK41" i="11"/>
  <c r="AC41" i="11"/>
  <c r="AJ41" i="11"/>
  <c r="AB41" i="11"/>
  <c r="AE41" i="11"/>
  <c r="AI41" i="11"/>
  <c r="AA41" i="11"/>
  <c r="AM41" i="11"/>
  <c r="AD41" i="11"/>
  <c r="AH41" i="11"/>
  <c r="Z41" i="11"/>
  <c r="AG41" i="11"/>
  <c r="Y41" i="11"/>
  <c r="AL41" i="11"/>
  <c r="AF41" i="11"/>
  <c r="X41" i="11"/>
  <c r="AV52" i="11"/>
  <c r="E24" i="11"/>
  <c r="F24" i="11" s="1"/>
  <c r="G24" i="11" s="1"/>
  <c r="G16" i="11"/>
  <c r="E8" i="11"/>
  <c r="F8" i="11" s="1"/>
  <c r="G8" i="11" s="1"/>
  <c r="E6" i="11"/>
  <c r="F6" i="11" s="1"/>
  <c r="E20" i="11"/>
  <c r="E7" i="11"/>
  <c r="F7" i="11" s="1"/>
  <c r="G7" i="11" s="1"/>
  <c r="Y17" i="11"/>
  <c r="X17" i="11"/>
  <c r="E21" i="11"/>
  <c r="J52" i="11"/>
  <c r="E9" i="11"/>
  <c r="F9" i="11" s="1"/>
  <c r="E15" i="11"/>
  <c r="F15" i="11" s="1"/>
  <c r="G15" i="11" s="1"/>
  <c r="L52" i="11"/>
  <c r="AR52" i="11"/>
  <c r="AZ52" i="11"/>
  <c r="E25" i="11"/>
  <c r="F25" i="11" s="1"/>
  <c r="G25" i="11" s="1"/>
  <c r="AN25" i="11" s="1"/>
  <c r="AD42" i="11"/>
  <c r="AL42" i="11"/>
  <c r="G19" i="11"/>
  <c r="AE42" i="11"/>
  <c r="AM42" i="11"/>
  <c r="V52" i="11"/>
  <c r="AT52" i="11"/>
  <c r="BB52" i="11"/>
  <c r="X42" i="11"/>
  <c r="AF42" i="11"/>
  <c r="E31" i="11"/>
  <c r="F31" i="11" s="1"/>
  <c r="G31" i="11" s="1"/>
  <c r="O52" i="11"/>
  <c r="AU52" i="11"/>
  <c r="E28" i="11"/>
  <c r="F28" i="11" s="1"/>
  <c r="G28" i="11" s="1"/>
  <c r="AN28" i="11" s="1"/>
  <c r="Y42" i="11"/>
  <c r="AG42" i="11"/>
  <c r="E26" i="11"/>
  <c r="F26" i="11" s="1"/>
  <c r="G26" i="11" s="1"/>
  <c r="AN26" i="11" s="1"/>
  <c r="Z42" i="11"/>
  <c r="AH42" i="11"/>
  <c r="I52" i="11"/>
  <c r="E29" i="11"/>
  <c r="F29" i="11" s="1"/>
  <c r="G29" i="11" s="1"/>
  <c r="AN29" i="11" s="1"/>
  <c r="AA42" i="11"/>
  <c r="CA53" i="3"/>
  <c r="BO53" i="3"/>
  <c r="BC53" i="3"/>
  <c r="C9" i="6"/>
  <c r="E9" i="6"/>
  <c r="D17" i="10" l="1"/>
  <c r="AG12" i="11"/>
  <c r="Y12" i="11"/>
  <c r="Y14" i="11" s="1"/>
  <c r="K12" i="11"/>
  <c r="K14" i="11" s="1"/>
  <c r="AB12" i="11"/>
  <c r="AC12" i="11"/>
  <c r="AJ12" i="11"/>
  <c r="Z12" i="11"/>
  <c r="AK12" i="11"/>
  <c r="P12" i="11"/>
  <c r="AH12" i="11"/>
  <c r="AL12" i="11"/>
  <c r="AI12" i="11"/>
  <c r="X12" i="11"/>
  <c r="X14" i="11" s="1"/>
  <c r="R12" i="11"/>
  <c r="R14" i="11" s="1"/>
  <c r="R52" i="11" s="1"/>
  <c r="AA12" i="11"/>
  <c r="AE12" i="11"/>
  <c r="AF12" i="11"/>
  <c r="AN12" i="11"/>
  <c r="AN14" i="11" s="1"/>
  <c r="G49" i="14"/>
  <c r="G40" i="14"/>
  <c r="CU40" i="14" s="1"/>
  <c r="CU52" i="14" s="1"/>
  <c r="CM53" i="14" s="1"/>
  <c r="E38" i="14"/>
  <c r="AD52" i="18"/>
  <c r="AD52" i="16"/>
  <c r="AG21" i="16"/>
  <c r="AA52" i="16"/>
  <c r="AC52" i="16"/>
  <c r="AE21" i="16"/>
  <c r="AE52" i="16" s="1"/>
  <c r="AB52" i="16"/>
  <c r="AI21" i="16"/>
  <c r="AF21" i="18"/>
  <c r="AF52" i="18" s="1"/>
  <c r="AJ21" i="18"/>
  <c r="AE52" i="20"/>
  <c r="AB52" i="20"/>
  <c r="AC52" i="20"/>
  <c r="AK52" i="20"/>
  <c r="AA14" i="12"/>
  <c r="AA52" i="12" s="1"/>
  <c r="AM14" i="12"/>
  <c r="AM52" i="12" s="1"/>
  <c r="AK14" i="12"/>
  <c r="AK52" i="12" s="1"/>
  <c r="W52" i="14"/>
  <c r="AG14" i="12"/>
  <c r="AG52" i="12" s="1"/>
  <c r="AL21" i="16"/>
  <c r="AL52" i="16" s="1"/>
  <c r="AH21" i="16"/>
  <c r="AH52" i="16" s="1"/>
  <c r="E36" i="13"/>
  <c r="F36" i="13" s="1"/>
  <c r="G36" i="13" s="1"/>
  <c r="W36" i="13" s="1"/>
  <c r="E40" i="13"/>
  <c r="F40" i="13" s="1"/>
  <c r="AH14" i="12"/>
  <c r="AH52" i="12" s="1"/>
  <c r="E39" i="12"/>
  <c r="E40" i="12"/>
  <c r="F40" i="12" s="1"/>
  <c r="E37" i="12"/>
  <c r="F37" i="12" s="1"/>
  <c r="G37" i="12" s="1"/>
  <c r="W37" i="12" s="1"/>
  <c r="E36" i="12"/>
  <c r="F36" i="12" s="1"/>
  <c r="G36" i="12" s="1"/>
  <c r="W36" i="12" s="1"/>
  <c r="E34" i="12"/>
  <c r="F34" i="12" s="1"/>
  <c r="E34" i="13"/>
  <c r="F34" i="13" s="1"/>
  <c r="G49" i="13" s="1"/>
  <c r="C73" i="6"/>
  <c r="C78" i="6" s="1"/>
  <c r="C80" i="6" s="1"/>
  <c r="AJ21" i="16"/>
  <c r="AJ52" i="16" s="1"/>
  <c r="AF21" i="16"/>
  <c r="AF52" i="16" s="1"/>
  <c r="E37" i="13"/>
  <c r="F37" i="13" s="1"/>
  <c r="G37" i="13" s="1"/>
  <c r="W37" i="13" s="1"/>
  <c r="AE14" i="12"/>
  <c r="AE52" i="12" s="1"/>
  <c r="G50" i="20"/>
  <c r="G51" i="20" s="1"/>
  <c r="C59" i="6"/>
  <c r="G50" i="18"/>
  <c r="AI21" i="18"/>
  <c r="AI52" i="18" s="1"/>
  <c r="AH21" i="18"/>
  <c r="AH52" i="18" s="1"/>
  <c r="AB52" i="18"/>
  <c r="Q58" i="18"/>
  <c r="T58" i="18"/>
  <c r="AM52" i="18"/>
  <c r="AH52" i="20"/>
  <c r="AK21" i="16"/>
  <c r="AK52" i="16" s="1"/>
  <c r="AC52" i="18"/>
  <c r="Z52" i="16"/>
  <c r="Z58" i="16" s="1"/>
  <c r="AE21" i="18"/>
  <c r="AE52" i="18" s="1"/>
  <c r="AL52" i="20"/>
  <c r="AI52" i="20"/>
  <c r="AI21" i="14"/>
  <c r="AA21" i="18"/>
  <c r="AA52" i="18" s="1"/>
  <c r="AJ52" i="20"/>
  <c r="AD52" i="20"/>
  <c r="AG52" i="20"/>
  <c r="Z21" i="18"/>
  <c r="Z52" i="18" s="1"/>
  <c r="AF52" i="20"/>
  <c r="AA52" i="20"/>
  <c r="Z52" i="20"/>
  <c r="F16" i="10"/>
  <c r="E16" i="10"/>
  <c r="H16" i="10"/>
  <c r="I16" i="10"/>
  <c r="G16" i="10"/>
  <c r="T52" i="11"/>
  <c r="Q23" i="11"/>
  <c r="Q52" i="11" s="1"/>
  <c r="AD12" i="11"/>
  <c r="AB14" i="12"/>
  <c r="AB52" i="12" s="1"/>
  <c r="W58" i="18"/>
  <c r="AI52" i="16"/>
  <c r="AG11" i="11"/>
  <c r="AI11" i="11"/>
  <c r="AL11" i="11"/>
  <c r="AA11" i="11"/>
  <c r="E14" i="11"/>
  <c r="F14" i="11" s="1"/>
  <c r="G14" i="11" s="1"/>
  <c r="R58" i="18"/>
  <c r="M58" i="18"/>
  <c r="U58" i="18"/>
  <c r="P58" i="18"/>
  <c r="O58" i="18"/>
  <c r="V58" i="18"/>
  <c r="Y58" i="18"/>
  <c r="N58" i="18"/>
  <c r="X58" i="18"/>
  <c r="S58" i="18"/>
  <c r="O58" i="16"/>
  <c r="S58" i="16"/>
  <c r="P58" i="16"/>
  <c r="Q58" i="16"/>
  <c r="L58" i="16"/>
  <c r="N58" i="16"/>
  <c r="R58" i="16"/>
  <c r="T58" i="16"/>
  <c r="U58" i="16"/>
  <c r="M58" i="16"/>
  <c r="V58" i="16"/>
  <c r="K58" i="16"/>
  <c r="W58" i="16"/>
  <c r="X58" i="16"/>
  <c r="Y58" i="16"/>
  <c r="J58" i="11"/>
  <c r="I58" i="11"/>
  <c r="AK11" i="11"/>
  <c r="J14" i="10"/>
  <c r="G14" i="10"/>
  <c r="H14" i="10"/>
  <c r="Q14" i="10"/>
  <c r="I14" i="10"/>
  <c r="L14" i="10"/>
  <c r="O14" i="10"/>
  <c r="P14" i="10"/>
  <c r="K14" i="10"/>
  <c r="F14" i="10"/>
  <c r="N14" i="10"/>
  <c r="R14" i="10"/>
  <c r="M14" i="10"/>
  <c r="E14" i="10"/>
  <c r="AD14" i="12"/>
  <c r="AD52" i="12" s="1"/>
  <c r="E45" i="6"/>
  <c r="E50" i="6" s="1"/>
  <c r="E52" i="6" s="1"/>
  <c r="AM52" i="16"/>
  <c r="AG52" i="16"/>
  <c r="AJ52" i="18"/>
  <c r="AK21" i="18"/>
  <c r="AK52" i="18" s="1"/>
  <c r="AL21" i="18"/>
  <c r="AL52" i="18" s="1"/>
  <c r="AG21" i="18"/>
  <c r="AG52" i="18" s="1"/>
  <c r="V58" i="20"/>
  <c r="Q58" i="20"/>
  <c r="N58" i="20"/>
  <c r="X58" i="20"/>
  <c r="O58" i="20"/>
  <c r="T58" i="20"/>
  <c r="Y58" i="20"/>
  <c r="S58" i="20"/>
  <c r="W58" i="20"/>
  <c r="R58" i="20"/>
  <c r="P58" i="20"/>
  <c r="U58" i="20"/>
  <c r="H53" i="20"/>
  <c r="M58" i="20"/>
  <c r="H53" i="18"/>
  <c r="G50" i="16"/>
  <c r="G51" i="16" s="1"/>
  <c r="H53" i="16"/>
  <c r="Z14" i="14"/>
  <c r="M52" i="14"/>
  <c r="AJ14" i="14"/>
  <c r="AD14" i="14"/>
  <c r="R14" i="14"/>
  <c r="R52" i="14" s="1"/>
  <c r="AH14" i="14"/>
  <c r="Y14" i="14"/>
  <c r="Y52" i="14" s="1"/>
  <c r="K14" i="14"/>
  <c r="K52" i="14" s="1"/>
  <c r="X14" i="14"/>
  <c r="X52" i="14" s="1"/>
  <c r="AA14" i="14"/>
  <c r="AN14" i="14"/>
  <c r="AN52" i="14" s="1"/>
  <c r="P14" i="14"/>
  <c r="P52" i="14" s="1"/>
  <c r="AI14" i="14"/>
  <c r="AD14" i="13"/>
  <c r="Y52" i="13"/>
  <c r="AN14" i="13"/>
  <c r="AN52" i="13" s="1"/>
  <c r="X52" i="13"/>
  <c r="M13" i="13"/>
  <c r="R14" i="13"/>
  <c r="R52" i="13" s="1"/>
  <c r="K14" i="13"/>
  <c r="P9" i="12"/>
  <c r="P14" i="12" s="1"/>
  <c r="P52" i="12" s="1"/>
  <c r="M9" i="12"/>
  <c r="AL14" i="12"/>
  <c r="AL52" i="12" s="1"/>
  <c r="X14" i="12"/>
  <c r="X52" i="12" s="1"/>
  <c r="AC14" i="12"/>
  <c r="AC52" i="12" s="1"/>
  <c r="Z14" i="12"/>
  <c r="Z52" i="12" s="1"/>
  <c r="AF14" i="12"/>
  <c r="AF52" i="12" s="1"/>
  <c r="AI14" i="12"/>
  <c r="AI52" i="12" s="1"/>
  <c r="AJ14" i="12"/>
  <c r="AJ52" i="12" s="1"/>
  <c r="K14" i="12"/>
  <c r="K52" i="12" s="1"/>
  <c r="AN14" i="12"/>
  <c r="AN52" i="12" s="1"/>
  <c r="Y14" i="12"/>
  <c r="Y52" i="12" s="1"/>
  <c r="R14" i="12"/>
  <c r="R52" i="12" s="1"/>
  <c r="AC10" i="11"/>
  <c r="AE10" i="11"/>
  <c r="AM10" i="11"/>
  <c r="AF11" i="11"/>
  <c r="AH11" i="11"/>
  <c r="AB11" i="11"/>
  <c r="AI10" i="11"/>
  <c r="AE11" i="11"/>
  <c r="AM11" i="11"/>
  <c r="AB10" i="11"/>
  <c r="Z11" i="11"/>
  <c r="AD11" i="11"/>
  <c r="AJ10" i="11"/>
  <c r="AG10" i="11"/>
  <c r="AK10" i="11"/>
  <c r="Z10" i="11"/>
  <c r="AD10" i="11"/>
  <c r="AH10" i="11"/>
  <c r="AL10" i="11"/>
  <c r="AJ11" i="11"/>
  <c r="AA10" i="11"/>
  <c r="AQ53" i="11"/>
  <c r="AJ31" i="11"/>
  <c r="AB31" i="11"/>
  <c r="AL31" i="11"/>
  <c r="AI31" i="11"/>
  <c r="AA31" i="11"/>
  <c r="AD31" i="11"/>
  <c r="AH31" i="11"/>
  <c r="Z31" i="11"/>
  <c r="AK31" i="11"/>
  <c r="AG31" i="11"/>
  <c r="Y31" i="11"/>
  <c r="AF31" i="11"/>
  <c r="X31" i="11"/>
  <c r="AM31" i="11"/>
  <c r="AE31" i="11"/>
  <c r="AC31" i="11"/>
  <c r="Y16" i="11"/>
  <c r="Y20" i="11" s="1"/>
  <c r="X16" i="11"/>
  <c r="X20" i="11" s="1"/>
  <c r="AJ15" i="11"/>
  <c r="AB15" i="11"/>
  <c r="AD15" i="11"/>
  <c r="AC15" i="11"/>
  <c r="AI15" i="11"/>
  <c r="AA15" i="11"/>
  <c r="AH15" i="11"/>
  <c r="Z15" i="11"/>
  <c r="AL15" i="11"/>
  <c r="AK15" i="11"/>
  <c r="AG15" i="11"/>
  <c r="AF15" i="11"/>
  <c r="AM15" i="11"/>
  <c r="AE15" i="11"/>
  <c r="P24" i="11"/>
  <c r="N24" i="11"/>
  <c r="N52" i="11" s="1"/>
  <c r="G9" i="11"/>
  <c r="Y7" i="11"/>
  <c r="X7" i="11"/>
  <c r="F21" i="11"/>
  <c r="G21" i="11" s="1"/>
  <c r="F20" i="11"/>
  <c r="G20" i="11" s="1"/>
  <c r="E13" i="11"/>
  <c r="F13" i="11" s="1"/>
  <c r="G13" i="11" s="1"/>
  <c r="G6" i="11"/>
  <c r="Y8" i="11"/>
  <c r="X8" i="11"/>
  <c r="K3" i="3"/>
  <c r="I2" i="3"/>
  <c r="F17" i="10" l="1"/>
  <c r="G17" i="10"/>
  <c r="H17" i="10"/>
  <c r="K17" i="10"/>
  <c r="P17" i="10"/>
  <c r="E17" i="10"/>
  <c r="L17" i="10"/>
  <c r="J17" i="10"/>
  <c r="O17" i="10"/>
  <c r="M17" i="10"/>
  <c r="I17" i="10"/>
  <c r="N17" i="10"/>
  <c r="R17" i="10"/>
  <c r="Q17" i="10"/>
  <c r="G49" i="12"/>
  <c r="AG14" i="11"/>
  <c r="AA14" i="11"/>
  <c r="K52" i="11"/>
  <c r="L58" i="11" s="1"/>
  <c r="AC14" i="11"/>
  <c r="AN52" i="11"/>
  <c r="AF14" i="11"/>
  <c r="AK14" i="11"/>
  <c r="G40" i="13"/>
  <c r="CU40" i="13" s="1"/>
  <c r="E38" i="13"/>
  <c r="G40" i="12"/>
  <c r="CU40" i="12" s="1"/>
  <c r="CU52" i="12" s="1"/>
  <c r="CM53" i="12" s="1"/>
  <c r="E38" i="12"/>
  <c r="G34" i="13"/>
  <c r="W34" i="13" s="1"/>
  <c r="CU52" i="13"/>
  <c r="CM53" i="13" s="1"/>
  <c r="G34" i="12"/>
  <c r="W34" i="12" s="1"/>
  <c r="W52" i="12" s="1"/>
  <c r="E34" i="11"/>
  <c r="F34" i="11" s="1"/>
  <c r="E37" i="11"/>
  <c r="F37" i="11" s="1"/>
  <c r="G37" i="11" s="1"/>
  <c r="W37" i="11" s="1"/>
  <c r="E40" i="11"/>
  <c r="F40" i="11" s="1"/>
  <c r="G40" i="11" s="1"/>
  <c r="CU40" i="11" s="1"/>
  <c r="CU52" i="11" s="1"/>
  <c r="CM53" i="11" s="1"/>
  <c r="E36" i="11"/>
  <c r="F36" i="11" s="1"/>
  <c r="G36" i="11" s="1"/>
  <c r="W36" i="11" s="1"/>
  <c r="E31" i="6"/>
  <c r="E36" i="6" s="1"/>
  <c r="E38" i="6" s="1"/>
  <c r="BT58" i="20"/>
  <c r="G57" i="18"/>
  <c r="AD58" i="18"/>
  <c r="S53" i="18"/>
  <c r="AE58" i="18"/>
  <c r="AA58" i="18"/>
  <c r="AB58" i="18"/>
  <c r="AE58" i="16"/>
  <c r="AC58" i="16"/>
  <c r="AB58" i="16"/>
  <c r="AV58" i="20"/>
  <c r="BE58" i="20"/>
  <c r="CS58" i="20"/>
  <c r="CK58" i="20"/>
  <c r="CG58" i="20"/>
  <c r="AP58" i="20"/>
  <c r="BY58" i="20"/>
  <c r="AE53" i="20"/>
  <c r="BU58" i="20"/>
  <c r="CF58" i="20"/>
  <c r="BG58" i="20"/>
  <c r="AD58" i="20"/>
  <c r="AM58" i="20"/>
  <c r="BD58" i="20"/>
  <c r="BO58" i="20"/>
  <c r="AB58" i="20"/>
  <c r="AE58" i="20"/>
  <c r="AK58" i="20"/>
  <c r="AO58" i="20"/>
  <c r="AX58" i="20"/>
  <c r="BB58" i="20"/>
  <c r="BV58" i="20"/>
  <c r="AU58" i="20"/>
  <c r="AT58" i="20"/>
  <c r="CE58" i="20"/>
  <c r="CC58" i="20"/>
  <c r="CM58" i="20"/>
  <c r="BC58" i="20"/>
  <c r="CP58" i="20"/>
  <c r="CJ58" i="20"/>
  <c r="BI58" i="20"/>
  <c r="AI58" i="20"/>
  <c r="CO58" i="20"/>
  <c r="AG58" i="20"/>
  <c r="CR58" i="20"/>
  <c r="AH58" i="20"/>
  <c r="BN58" i="20"/>
  <c r="G53" i="20"/>
  <c r="CD58" i="20"/>
  <c r="S53" i="20"/>
  <c r="CN58" i="20"/>
  <c r="CA58" i="20"/>
  <c r="AS58" i="20"/>
  <c r="AL58" i="20"/>
  <c r="BZ58" i="20"/>
  <c r="BP58" i="20"/>
  <c r="BQ58" i="20"/>
  <c r="BL58" i="20"/>
  <c r="CB58" i="20"/>
  <c r="BR58" i="20"/>
  <c r="BF58" i="20"/>
  <c r="AW58" i="20"/>
  <c r="BS58" i="20"/>
  <c r="CL58" i="20"/>
  <c r="AA58" i="20"/>
  <c r="CU58" i="20"/>
  <c r="G58" i="20" s="1"/>
  <c r="CH58" i="20"/>
  <c r="Z58" i="20"/>
  <c r="AQ58" i="20"/>
  <c r="G57" i="20"/>
  <c r="AD58" i="16"/>
  <c r="CQ58" i="20"/>
  <c r="BA58" i="20"/>
  <c r="BK58" i="20"/>
  <c r="BW58" i="20"/>
  <c r="AF58" i="20"/>
  <c r="BJ58" i="20"/>
  <c r="BX58" i="20"/>
  <c r="AY58" i="20"/>
  <c r="AA58" i="16"/>
  <c r="AC58" i="18"/>
  <c r="AF58" i="18"/>
  <c r="S53" i="16"/>
  <c r="AR58" i="20"/>
  <c r="AN58" i="20"/>
  <c r="AJ58" i="20"/>
  <c r="AZ58" i="20"/>
  <c r="CT58" i="20"/>
  <c r="CI58" i="20"/>
  <c r="BM58" i="20"/>
  <c r="BH58" i="20"/>
  <c r="AC58" i="20"/>
  <c r="Z58" i="18"/>
  <c r="M52" i="13"/>
  <c r="K52" i="13"/>
  <c r="AE14" i="11"/>
  <c r="Z14" i="11"/>
  <c r="AD14" i="11"/>
  <c r="M14" i="12"/>
  <c r="M52" i="12" s="1"/>
  <c r="CC58" i="12" s="1"/>
  <c r="AG58" i="18"/>
  <c r="G57" i="16"/>
  <c r="AB14" i="11"/>
  <c r="AL14" i="11"/>
  <c r="AI14" i="11"/>
  <c r="AM58" i="16"/>
  <c r="CS58" i="16"/>
  <c r="CO58" i="16"/>
  <c r="CG58" i="16"/>
  <c r="BE58" i="16"/>
  <c r="BA58" i="16"/>
  <c r="CT58" i="16"/>
  <c r="AU58" i="16"/>
  <c r="CL58" i="16"/>
  <c r="CU58" i="16"/>
  <c r="G58" i="16" s="1"/>
  <c r="CP58" i="16"/>
  <c r="CN58" i="16"/>
  <c r="AJ58" i="16"/>
  <c r="CK58" i="16"/>
  <c r="AY58" i="16"/>
  <c r="AO58" i="16"/>
  <c r="CM58" i="16"/>
  <c r="AE53" i="16"/>
  <c r="CD58" i="16"/>
  <c r="CR58" i="16"/>
  <c r="CH58" i="16"/>
  <c r="CF58" i="16"/>
  <c r="AN58" i="16"/>
  <c r="AF58" i="16"/>
  <c r="G53" i="16"/>
  <c r="CQ58" i="16"/>
  <c r="BK58" i="16"/>
  <c r="AX58" i="16"/>
  <c r="BL58" i="16"/>
  <c r="BB58" i="16"/>
  <c r="AZ58" i="16"/>
  <c r="CE58" i="16"/>
  <c r="AV58" i="16"/>
  <c r="BW58" i="16"/>
  <c r="AK58" i="16"/>
  <c r="AH14" i="11"/>
  <c r="AM14" i="11"/>
  <c r="AJ14" i="11"/>
  <c r="L58" i="12"/>
  <c r="K58" i="12"/>
  <c r="CJ58" i="16"/>
  <c r="BO58" i="16"/>
  <c r="BN58" i="16"/>
  <c r="BU58" i="16"/>
  <c r="CB58" i="16"/>
  <c r="CA58" i="16"/>
  <c r="BR58" i="16"/>
  <c r="BQ58" i="16"/>
  <c r="BP58" i="16"/>
  <c r="AI58" i="16"/>
  <c r="M58" i="13"/>
  <c r="U58" i="13"/>
  <c r="O58" i="13"/>
  <c r="K58" i="13"/>
  <c r="S58" i="13"/>
  <c r="Q58" i="13"/>
  <c r="L58" i="13"/>
  <c r="N58" i="13"/>
  <c r="T58" i="13"/>
  <c r="V58" i="13"/>
  <c r="P58" i="13"/>
  <c r="R58" i="13"/>
  <c r="BG58" i="16"/>
  <c r="BF58" i="16"/>
  <c r="BM58" i="16"/>
  <c r="BT58" i="16"/>
  <c r="BS58" i="16"/>
  <c r="BJ58" i="16"/>
  <c r="BI58" i="16"/>
  <c r="BH58" i="16"/>
  <c r="AL58" i="16"/>
  <c r="AH58" i="16"/>
  <c r="AQ58" i="16"/>
  <c r="AP58" i="16"/>
  <c r="AW58" i="16"/>
  <c r="BD58" i="16"/>
  <c r="BC58" i="16"/>
  <c r="AT58" i="16"/>
  <c r="AS58" i="16"/>
  <c r="AR58" i="16"/>
  <c r="AG58" i="16"/>
  <c r="BV58" i="16"/>
  <c r="CC58" i="16"/>
  <c r="CI58" i="16"/>
  <c r="BZ58" i="16"/>
  <c r="BY58" i="16"/>
  <c r="BX58" i="16"/>
  <c r="BN58" i="18"/>
  <c r="BK58" i="18"/>
  <c r="BD58" i="18"/>
  <c r="BF58" i="18"/>
  <c r="BI58" i="18"/>
  <c r="BH58" i="18"/>
  <c r="BS58" i="18"/>
  <c r="AW58" i="18"/>
  <c r="BJ58" i="18"/>
  <c r="BG58" i="18"/>
  <c r="BP58" i="18"/>
  <c r="CP58" i="18"/>
  <c r="CG58" i="18"/>
  <c r="CR58" i="18"/>
  <c r="AQ58" i="18"/>
  <c r="AS58" i="18"/>
  <c r="AK58" i="18"/>
  <c r="CS58" i="18"/>
  <c r="CH58" i="18"/>
  <c r="CO58" i="18"/>
  <c r="CF58" i="18"/>
  <c r="AE53" i="18"/>
  <c r="V58" i="14"/>
  <c r="P58" i="14"/>
  <c r="Q58" i="14"/>
  <c r="X58" i="14"/>
  <c r="K58" i="14"/>
  <c r="M58" i="14"/>
  <c r="S58" i="14"/>
  <c r="U58" i="14"/>
  <c r="Y58" i="14"/>
  <c r="O58" i="14"/>
  <c r="R58" i="14"/>
  <c r="L58" i="14"/>
  <c r="W58" i="14"/>
  <c r="T58" i="14"/>
  <c r="N58" i="14"/>
  <c r="BO58" i="18"/>
  <c r="CC58" i="18"/>
  <c r="AL58" i="18"/>
  <c r="BA58" i="18"/>
  <c r="BX58" i="18"/>
  <c r="CK58" i="18"/>
  <c r="AR58" i="18"/>
  <c r="AJ58" i="18"/>
  <c r="CA58" i="18"/>
  <c r="BY58" i="18"/>
  <c r="AV58" i="18"/>
  <c r="CB58" i="18"/>
  <c r="CL58" i="18"/>
  <c r="CU58" i="18"/>
  <c r="AO58" i="18"/>
  <c r="AM58" i="18"/>
  <c r="BV58" i="18"/>
  <c r="G53" i="18"/>
  <c r="AP58" i="18"/>
  <c r="BR58" i="18"/>
  <c r="CM58" i="18"/>
  <c r="CT58" i="18"/>
  <c r="BB58" i="18"/>
  <c r="AI58" i="18"/>
  <c r="BL58" i="18"/>
  <c r="CI58" i="18"/>
  <c r="BZ58" i="18"/>
  <c r="BU58" i="18"/>
  <c r="AT58" i="18"/>
  <c r="AZ58" i="18"/>
  <c r="CQ58" i="18"/>
  <c r="AX58" i="18"/>
  <c r="AH58" i="18"/>
  <c r="BE58" i="18"/>
  <c r="BT58" i="18"/>
  <c r="BW58" i="18"/>
  <c r="CD58" i="18"/>
  <c r="CN58" i="18"/>
  <c r="BC58" i="18"/>
  <c r="BQ58" i="18"/>
  <c r="BM58" i="18"/>
  <c r="CJ58" i="18"/>
  <c r="CE58" i="18"/>
  <c r="AU58" i="18"/>
  <c r="AN58" i="18"/>
  <c r="AY58" i="18"/>
  <c r="AR58" i="12"/>
  <c r="G51" i="18"/>
  <c r="H53" i="14"/>
  <c r="H53" i="13"/>
  <c r="AE53" i="12"/>
  <c r="P9" i="11"/>
  <c r="P14" i="11" s="1"/>
  <c r="M9" i="11"/>
  <c r="M14" i="11" s="1"/>
  <c r="M6" i="11"/>
  <c r="E39" i="11"/>
  <c r="E17" i="6" s="1"/>
  <c r="X13" i="11"/>
  <c r="X52" i="11" s="1"/>
  <c r="Y13" i="11"/>
  <c r="Y52" i="11" s="1"/>
  <c r="G5" i="3"/>
  <c r="G55" i="3"/>
  <c r="K4" i="3"/>
  <c r="K58" i="11" l="1"/>
  <c r="G34" i="11"/>
  <c r="W34" i="11" s="1"/>
  <c r="W52" i="11" s="1"/>
  <c r="E38" i="11"/>
  <c r="CL58" i="12"/>
  <c r="BN58" i="12"/>
  <c r="G49" i="11"/>
  <c r="AQ58" i="12"/>
  <c r="C31" i="6"/>
  <c r="C36" i="6" s="1"/>
  <c r="C38" i="6" s="1"/>
  <c r="G50" i="12"/>
  <c r="G51" i="12" s="1"/>
  <c r="CJ58" i="12"/>
  <c r="AP58" i="12"/>
  <c r="S53" i="12"/>
  <c r="CD58" i="12"/>
  <c r="Z58" i="12"/>
  <c r="C50" i="6"/>
  <c r="C52" i="6" s="1"/>
  <c r="G50" i="13"/>
  <c r="G51" i="13" s="1"/>
  <c r="W52" i="13"/>
  <c r="BU58" i="12"/>
  <c r="CO58" i="12"/>
  <c r="CU58" i="12"/>
  <c r="G58" i="12" s="1"/>
  <c r="BF58" i="12"/>
  <c r="W58" i="12"/>
  <c r="V58" i="12"/>
  <c r="AB58" i="12"/>
  <c r="AC58" i="12"/>
  <c r="BM58" i="12"/>
  <c r="BT58" i="12"/>
  <c r="CI58" i="12"/>
  <c r="CH58" i="12"/>
  <c r="CG58" i="12"/>
  <c r="CN58" i="12"/>
  <c r="CM58" i="12"/>
  <c r="AG58" i="12"/>
  <c r="AE58" i="12"/>
  <c r="P58" i="12"/>
  <c r="T58" i="12"/>
  <c r="BE58" i="12"/>
  <c r="BL58" i="12"/>
  <c r="CA58" i="12"/>
  <c r="BZ58" i="12"/>
  <c r="BY58" i="12"/>
  <c r="CF58" i="12"/>
  <c r="CE58" i="12"/>
  <c r="U58" i="12"/>
  <c r="AK58" i="12"/>
  <c r="AH58" i="12"/>
  <c r="Q58" i="12"/>
  <c r="AF58" i="12"/>
  <c r="CB58" i="12"/>
  <c r="BD58" i="12"/>
  <c r="BX58" i="12"/>
  <c r="AI58" i="12"/>
  <c r="G57" i="12"/>
  <c r="AX58" i="12"/>
  <c r="AO58" i="12"/>
  <c r="AV58" i="12"/>
  <c r="BK58" i="12"/>
  <c r="BJ58" i="12"/>
  <c r="BI58" i="12"/>
  <c r="BP58" i="12"/>
  <c r="BO58" i="12"/>
  <c r="S58" i="12"/>
  <c r="O58" i="12"/>
  <c r="N58" i="12"/>
  <c r="AD58" i="12"/>
  <c r="CP58" i="12"/>
  <c r="AW58" i="12"/>
  <c r="BR58" i="12"/>
  <c r="BW58" i="12"/>
  <c r="AM58" i="12"/>
  <c r="CS58" i="12"/>
  <c r="BV58" i="12"/>
  <c r="AN58" i="12"/>
  <c r="BC58" i="12"/>
  <c r="BB58" i="12"/>
  <c r="BA58" i="12"/>
  <c r="BH58" i="12"/>
  <c r="BG58" i="12"/>
  <c r="AL58" i="12"/>
  <c r="AA58" i="12"/>
  <c r="R58" i="12"/>
  <c r="CQ58" i="12"/>
  <c r="BS58" i="12"/>
  <c r="BQ58" i="12"/>
  <c r="Y58" i="12"/>
  <c r="H53" i="12"/>
  <c r="G53" i="12"/>
  <c r="CK58" i="12"/>
  <c r="CR58" i="12"/>
  <c r="CT58" i="12"/>
  <c r="AU58" i="12"/>
  <c r="AT58" i="12"/>
  <c r="AS58" i="12"/>
  <c r="AZ58" i="12"/>
  <c r="AY58" i="12"/>
  <c r="X58" i="12"/>
  <c r="AJ58" i="12"/>
  <c r="M58" i="12"/>
  <c r="G58" i="18"/>
  <c r="P52" i="11"/>
  <c r="M13" i="11"/>
  <c r="M52" i="11" s="1"/>
  <c r="K5" i="3"/>
  <c r="H5" i="3"/>
  <c r="I5" i="3"/>
  <c r="C17" i="6" l="1"/>
  <c r="G50" i="11"/>
  <c r="W58" i="13"/>
  <c r="X58" i="13"/>
  <c r="Y58" i="13"/>
  <c r="Y58" i="11"/>
  <c r="O58" i="11"/>
  <c r="S58" i="11"/>
  <c r="T58" i="11"/>
  <c r="N58" i="11"/>
  <c r="P58" i="11"/>
  <c r="V58" i="11"/>
  <c r="X58" i="11"/>
  <c r="R58" i="11"/>
  <c r="M58" i="11"/>
  <c r="U58" i="11"/>
  <c r="W58" i="11"/>
  <c r="Q58" i="11"/>
  <c r="H53" i="11"/>
  <c r="E23" i="6"/>
  <c r="C23" i="6"/>
  <c r="E21" i="6"/>
  <c r="C21" i="6"/>
  <c r="D38" i="3"/>
  <c r="D39" i="3"/>
  <c r="F45" i="3"/>
  <c r="G45" i="3" s="1"/>
  <c r="AN45" i="3" s="1"/>
  <c r="E22" i="6" l="1"/>
  <c r="E24" i="6" s="1"/>
  <c r="G51" i="11"/>
  <c r="E7" i="6"/>
  <c r="C7" i="6"/>
  <c r="F2" i="3"/>
  <c r="C22" i="6" l="1"/>
  <c r="C24" i="6" s="1"/>
  <c r="E43" i="3" l="1"/>
  <c r="F19" i="3" l="1"/>
  <c r="G19" i="3" s="1"/>
  <c r="F16" i="3"/>
  <c r="F44" i="3"/>
  <c r="G44" i="3" s="1"/>
  <c r="AN44" i="3" s="1"/>
  <c r="F43" i="3"/>
  <c r="G43" i="3" s="1"/>
  <c r="G42" i="3"/>
  <c r="G41" i="3"/>
  <c r="F35" i="3"/>
  <c r="G35" i="3" s="1"/>
  <c r="W35" i="3" s="1"/>
  <c r="F33" i="3"/>
  <c r="G33" i="3" s="1"/>
  <c r="W33" i="3" s="1"/>
  <c r="F32" i="3"/>
  <c r="G32" i="3" s="1"/>
  <c r="AN32" i="3" s="1"/>
  <c r="F30" i="3"/>
  <c r="G30" i="3" s="1"/>
  <c r="AN30" i="3" s="1"/>
  <c r="F27" i="3"/>
  <c r="G27" i="3" s="1"/>
  <c r="AN27" i="3" s="1"/>
  <c r="D24" i="3"/>
  <c r="D23" i="3"/>
  <c r="F22" i="3"/>
  <c r="G22" i="3" s="1"/>
  <c r="AM22" i="3" s="1"/>
  <c r="F4" i="3"/>
  <c r="F3" i="3"/>
  <c r="E5" i="3" l="1"/>
  <c r="AE41" i="3"/>
  <c r="AM41" i="3"/>
  <c r="AF41" i="3"/>
  <c r="X41" i="3"/>
  <c r="Y41" i="3"/>
  <c r="AG41" i="3"/>
  <c r="AB41" i="3"/>
  <c r="AJ41" i="3"/>
  <c r="Z41" i="3"/>
  <c r="AH41" i="3"/>
  <c r="AA41" i="3"/>
  <c r="AI41" i="3"/>
  <c r="AC41" i="3"/>
  <c r="AK41" i="3"/>
  <c r="AD41" i="3"/>
  <c r="AL41" i="3"/>
  <c r="AF42" i="3"/>
  <c r="X42" i="3"/>
  <c r="Y42" i="3"/>
  <c r="AG42" i="3"/>
  <c r="Z42" i="3"/>
  <c r="AH42" i="3"/>
  <c r="AC42" i="3"/>
  <c r="AK42" i="3"/>
  <c r="AA42" i="3"/>
  <c r="AI42" i="3"/>
  <c r="AB42" i="3"/>
  <c r="AJ42" i="3"/>
  <c r="AD42" i="3"/>
  <c r="AL42" i="3"/>
  <c r="AE42" i="3"/>
  <c r="AM42" i="3"/>
  <c r="E20" i="3"/>
  <c r="G16" i="3"/>
  <c r="E7" i="3"/>
  <c r="F7" i="3" s="1"/>
  <c r="G7" i="3" s="1"/>
  <c r="X7" i="3" s="1"/>
  <c r="G9" i="10"/>
  <c r="H9" i="10"/>
  <c r="I9" i="10"/>
  <c r="F9" i="10"/>
  <c r="E9" i="10"/>
  <c r="F18" i="3"/>
  <c r="E25" i="3" s="1"/>
  <c r="F25" i="3" s="1"/>
  <c r="G25" i="3" s="1"/>
  <c r="AN25" i="3" s="1"/>
  <c r="AZ52" i="3"/>
  <c r="AR52" i="3"/>
  <c r="V52" i="3"/>
  <c r="AT52" i="3"/>
  <c r="AY52" i="3"/>
  <c r="AQ52" i="3"/>
  <c r="U52" i="3"/>
  <c r="AX52" i="3"/>
  <c r="AP52" i="3"/>
  <c r="L52" i="3"/>
  <c r="AW52" i="3"/>
  <c r="AO52" i="3"/>
  <c r="S52" i="3"/>
  <c r="J52" i="3"/>
  <c r="BB52" i="3"/>
  <c r="BA52" i="3"/>
  <c r="AV52" i="3"/>
  <c r="AS52" i="3"/>
  <c r="AU52" i="3"/>
  <c r="O52" i="3"/>
  <c r="E6" i="3"/>
  <c r="F6" i="3" s="1"/>
  <c r="E8" i="3"/>
  <c r="F8" i="3" s="1"/>
  <c r="G8" i="3" s="1"/>
  <c r="E24" i="3"/>
  <c r="F24" i="3" s="1"/>
  <c r="G24" i="3" s="1"/>
  <c r="F5" i="3"/>
  <c r="E31" i="3"/>
  <c r="F31" i="3" s="1"/>
  <c r="G31" i="3" s="1"/>
  <c r="E23" i="3"/>
  <c r="F23" i="3" s="1"/>
  <c r="G23" i="3" s="1"/>
  <c r="E26" i="3"/>
  <c r="F26" i="3" s="1"/>
  <c r="G26" i="3" s="1"/>
  <c r="AN26" i="3" s="1"/>
  <c r="E10" i="3"/>
  <c r="F10" i="3" s="1"/>
  <c r="G10" i="3" s="1"/>
  <c r="AQ53" i="3" l="1"/>
  <c r="G18" i="3"/>
  <c r="Q7" i="10" s="1"/>
  <c r="Q10" i="10" s="1"/>
  <c r="E12" i="3"/>
  <c r="F12" i="3" s="1"/>
  <c r="G12" i="3" s="1"/>
  <c r="AE31" i="3"/>
  <c r="AM31" i="3"/>
  <c r="AF31" i="3"/>
  <c r="X31" i="3"/>
  <c r="Y31" i="3"/>
  <c r="AG31" i="3"/>
  <c r="AJ31" i="3"/>
  <c r="Z31" i="3"/>
  <c r="AH31" i="3"/>
  <c r="AA31" i="3"/>
  <c r="AI31" i="3"/>
  <c r="AB31" i="3"/>
  <c r="AC31" i="3"/>
  <c r="AK31" i="3"/>
  <c r="AD31" i="3"/>
  <c r="AL31" i="3"/>
  <c r="X16" i="3"/>
  <c r="X20" i="3" s="1"/>
  <c r="Y16" i="3"/>
  <c r="Y20" i="3" s="1"/>
  <c r="AC10" i="3"/>
  <c r="AK10" i="3"/>
  <c r="AD10" i="3"/>
  <c r="AL10" i="3"/>
  <c r="AE10" i="3"/>
  <c r="AM10" i="3"/>
  <c r="AF10" i="3"/>
  <c r="Z10" i="3"/>
  <c r="AH10" i="3"/>
  <c r="AG10" i="3"/>
  <c r="AA10" i="3"/>
  <c r="AI10" i="3"/>
  <c r="AB10" i="3"/>
  <c r="AJ10" i="3"/>
  <c r="Y8" i="3"/>
  <c r="X8" i="3"/>
  <c r="X13" i="3" s="1"/>
  <c r="I52" i="3"/>
  <c r="H52" i="3"/>
  <c r="E21" i="3"/>
  <c r="K7" i="10"/>
  <c r="K10" i="10" s="1"/>
  <c r="H7" i="10"/>
  <c r="H10" i="10" s="1"/>
  <c r="I7" i="10"/>
  <c r="I10" i="10" s="1"/>
  <c r="O7" i="10"/>
  <c r="O10" i="10" s="1"/>
  <c r="E7" i="10"/>
  <c r="E10" i="10" s="1"/>
  <c r="L7" i="10"/>
  <c r="L10" i="10" s="1"/>
  <c r="T23" i="3"/>
  <c r="T52" i="3" s="1"/>
  <c r="Q23" i="3"/>
  <c r="Q52" i="3" s="1"/>
  <c r="E9" i="3"/>
  <c r="F9" i="3" s="1"/>
  <c r="E13" i="3"/>
  <c r="F13" i="3" s="1"/>
  <c r="G13" i="3" s="1"/>
  <c r="G6" i="3"/>
  <c r="E15" i="3"/>
  <c r="F15" i="3" s="1"/>
  <c r="G15" i="3" s="1"/>
  <c r="Y7" i="3"/>
  <c r="E11" i="3"/>
  <c r="F11" i="3" s="1"/>
  <c r="G11" i="3" s="1"/>
  <c r="E29" i="3"/>
  <c r="F29" i="3" s="1"/>
  <c r="G29" i="3" s="1"/>
  <c r="AN29" i="3" s="1"/>
  <c r="P24" i="3"/>
  <c r="N24" i="3"/>
  <c r="N52" i="3" s="1"/>
  <c r="E28" i="3"/>
  <c r="F28" i="3" s="1"/>
  <c r="G28" i="3" s="1"/>
  <c r="AN28" i="3" s="1"/>
  <c r="J7" i="10" l="1"/>
  <c r="J10" i="10" s="1"/>
  <c r="R7" i="10"/>
  <c r="R10" i="10" s="1"/>
  <c r="F21" i="3"/>
  <c r="G21" i="3" s="1"/>
  <c r="M7" i="10"/>
  <c r="G7" i="10"/>
  <c r="G10" i="10" s="1"/>
  <c r="P7" i="10"/>
  <c r="N7" i="10"/>
  <c r="F7" i="10"/>
  <c r="AM12" i="3"/>
  <c r="AH12" i="3"/>
  <c r="P12" i="3"/>
  <c r="AG12" i="3"/>
  <c r="K12" i="3"/>
  <c r="AF12" i="3"/>
  <c r="AC12" i="3"/>
  <c r="Y12" i="3"/>
  <c r="Y14" i="3" s="1"/>
  <c r="AI12" i="3"/>
  <c r="AB12" i="3"/>
  <c r="AA12" i="3"/>
  <c r="Z12" i="3"/>
  <c r="AJ12" i="3"/>
  <c r="R12" i="3"/>
  <c r="AD12" i="3"/>
  <c r="AN12" i="3"/>
  <c r="AN14" i="3" s="1"/>
  <c r="AL12" i="3"/>
  <c r="AK12" i="3"/>
  <c r="X12" i="3"/>
  <c r="X14" i="3" s="1"/>
  <c r="AE12" i="3"/>
  <c r="G9" i="3"/>
  <c r="M9" i="3" s="1"/>
  <c r="M14" i="3" s="1"/>
  <c r="E14" i="3"/>
  <c r="F14" i="3" s="1"/>
  <c r="J58" i="3"/>
  <c r="AD14" i="3"/>
  <c r="AJ21" i="3"/>
  <c r="AG21" i="3"/>
  <c r="AM21" i="3"/>
  <c r="AE21" i="3"/>
  <c r="AB21" i="3"/>
  <c r="AD21" i="3"/>
  <c r="AD21" i="11"/>
  <c r="Z21" i="3"/>
  <c r="AC21" i="3"/>
  <c r="AF21" i="3"/>
  <c r="AL21" i="3"/>
  <c r="I58" i="3"/>
  <c r="AA11" i="3"/>
  <c r="AA14" i="3" s="1"/>
  <c r="AI11" i="3"/>
  <c r="AB11" i="3"/>
  <c r="AJ11" i="3"/>
  <c r="AC11" i="3"/>
  <c r="AK11" i="3"/>
  <c r="Z11" i="3"/>
  <c r="AD11" i="3"/>
  <c r="AL11" i="3"/>
  <c r="AE11" i="3"/>
  <c r="AM11" i="3"/>
  <c r="AG11" i="3"/>
  <c r="AH11" i="3"/>
  <c r="AF11" i="3"/>
  <c r="Y13" i="3"/>
  <c r="AG15" i="3"/>
  <c r="AH15" i="3"/>
  <c r="AA15" i="3"/>
  <c r="AI15" i="3"/>
  <c r="AD15" i="3"/>
  <c r="AL15" i="3"/>
  <c r="AB15" i="3"/>
  <c r="AJ15" i="3"/>
  <c r="AC15" i="3"/>
  <c r="AK15" i="3"/>
  <c r="AE15" i="3"/>
  <c r="AM15" i="3"/>
  <c r="AF15" i="3"/>
  <c r="Z15" i="3"/>
  <c r="M6" i="3"/>
  <c r="M13" i="3" s="1"/>
  <c r="F17" i="3"/>
  <c r="G17" i="3" s="1"/>
  <c r="AE14" i="3" l="1"/>
  <c r="AE52" i="3" s="1"/>
  <c r="AI21" i="3"/>
  <c r="N10" i="10"/>
  <c r="AK21" i="3"/>
  <c r="P10" i="10"/>
  <c r="AA21" i="3"/>
  <c r="AA52" i="3" s="1"/>
  <c r="F10" i="10"/>
  <c r="AH21" i="3"/>
  <c r="M10" i="10"/>
  <c r="AH14" i="3"/>
  <c r="Z14" i="3"/>
  <c r="P9" i="3"/>
  <c r="P14" i="3" s="1"/>
  <c r="P52" i="3" s="1"/>
  <c r="AI14" i="3"/>
  <c r="AI52" i="3" s="1"/>
  <c r="AK14" i="3"/>
  <c r="AF14" i="3"/>
  <c r="AF52" i="3" s="1"/>
  <c r="AL14" i="3"/>
  <c r="AL52" i="3" s="1"/>
  <c r="AC14" i="3"/>
  <c r="AC52" i="3" s="1"/>
  <c r="AJ14" i="3"/>
  <c r="AJ52" i="3" s="1"/>
  <c r="AM14" i="3"/>
  <c r="AM52" i="3" s="1"/>
  <c r="R14" i="3"/>
  <c r="R52" i="3" s="1"/>
  <c r="AB14" i="3"/>
  <c r="AB52" i="3" s="1"/>
  <c r="AG14" i="3"/>
  <c r="AG52" i="3" s="1"/>
  <c r="K14" i="3"/>
  <c r="K52" i="3" s="1"/>
  <c r="AN52" i="3"/>
  <c r="AD52" i="3"/>
  <c r="AC21" i="13"/>
  <c r="AC52" i="13" s="1"/>
  <c r="Z21" i="14"/>
  <c r="Z52" i="14" s="1"/>
  <c r="AF21" i="13"/>
  <c r="AF52" i="13" s="1"/>
  <c r="AE21" i="13"/>
  <c r="AE52" i="13" s="1"/>
  <c r="Z21" i="13"/>
  <c r="Z52" i="13"/>
  <c r="AF21" i="14"/>
  <c r="AF52" i="14" s="1"/>
  <c r="AE21" i="14"/>
  <c r="AE52" i="14" s="1"/>
  <c r="AA21" i="13"/>
  <c r="AA52" i="13" s="1"/>
  <c r="AJ21" i="13"/>
  <c r="AJ52" i="13" s="1"/>
  <c r="AK21" i="13"/>
  <c r="AK52" i="13" s="1"/>
  <c r="AA21" i="14"/>
  <c r="AA52" i="14" s="1"/>
  <c r="AJ21" i="14"/>
  <c r="AJ52" i="14" s="1"/>
  <c r="AK21" i="14"/>
  <c r="AK52" i="14" s="1"/>
  <c r="AI21" i="13"/>
  <c r="AI52" i="13" s="1"/>
  <c r="AB21" i="14"/>
  <c r="AB52" i="14" s="1"/>
  <c r="AG21" i="14"/>
  <c r="AG52" i="14" s="1"/>
  <c r="AD21" i="14"/>
  <c r="AD52" i="14" s="1"/>
  <c r="AB21" i="13"/>
  <c r="AB52" i="13" s="1"/>
  <c r="AG21" i="13"/>
  <c r="AG52" i="13" s="1"/>
  <c r="AD21" i="13"/>
  <c r="AD52" i="13" s="1"/>
  <c r="AI52" i="14"/>
  <c r="AH21" i="13"/>
  <c r="AH52" i="13" s="1"/>
  <c r="AL21" i="13"/>
  <c r="AL52" i="13" s="1"/>
  <c r="AM21" i="13"/>
  <c r="AM52" i="13"/>
  <c r="AC21" i="14"/>
  <c r="AC52" i="14" s="1"/>
  <c r="AH21" i="14"/>
  <c r="AH52" i="14" s="1"/>
  <c r="AL21" i="14"/>
  <c r="AL52" i="14" s="1"/>
  <c r="AM21" i="14"/>
  <c r="AM52" i="14" s="1"/>
  <c r="G14" i="3"/>
  <c r="AK21" i="11"/>
  <c r="AK52" i="11" s="1"/>
  <c r="Z52" i="3"/>
  <c r="Z21" i="11"/>
  <c r="Z52" i="11" s="1"/>
  <c r="AG21" i="11"/>
  <c r="AG52" i="11" s="1"/>
  <c r="AB21" i="11"/>
  <c r="AB52" i="11" s="1"/>
  <c r="AA21" i="11"/>
  <c r="AA52" i="11" s="1"/>
  <c r="AE21" i="11"/>
  <c r="AE52" i="11" s="1"/>
  <c r="AL21" i="11"/>
  <c r="AL52" i="11" s="1"/>
  <c r="AI21" i="11"/>
  <c r="AI52" i="11" s="1"/>
  <c r="AH21" i="11"/>
  <c r="AH52" i="11" s="1"/>
  <c r="AC21" i="11"/>
  <c r="AC52" i="11" s="1"/>
  <c r="AD52" i="11"/>
  <c r="AM21" i="11"/>
  <c r="AM52" i="11" s="1"/>
  <c r="AJ21" i="11"/>
  <c r="AJ52" i="11"/>
  <c r="AF21" i="11"/>
  <c r="AF52" i="11" s="1"/>
  <c r="M52" i="3"/>
  <c r="Y17" i="3"/>
  <c r="Y52" i="3" s="1"/>
  <c r="X17" i="3"/>
  <c r="X52" i="3" s="1"/>
  <c r="F20" i="3"/>
  <c r="AH52" i="3" l="1"/>
  <c r="AE53" i="3" s="1"/>
  <c r="AK52" i="3"/>
  <c r="K58" i="3"/>
  <c r="L58" i="3"/>
  <c r="V58" i="3"/>
  <c r="S58" i="3"/>
  <c r="Q58" i="3"/>
  <c r="U58" i="3"/>
  <c r="O58" i="3"/>
  <c r="P58" i="3"/>
  <c r="R58" i="3"/>
  <c r="N58" i="3"/>
  <c r="T58" i="3"/>
  <c r="M58" i="3"/>
  <c r="BP58" i="11"/>
  <c r="AN58" i="11"/>
  <c r="CT58" i="11"/>
  <c r="AV58" i="11"/>
  <c r="AE58" i="11"/>
  <c r="BK58" i="11"/>
  <c r="BM58" i="11"/>
  <c r="CQ58" i="11"/>
  <c r="AF58" i="11"/>
  <c r="BL58" i="11"/>
  <c r="CC58" i="11"/>
  <c r="CO58" i="11"/>
  <c r="CN58" i="11"/>
  <c r="AM58" i="11"/>
  <c r="AB58" i="11"/>
  <c r="BF58" i="11"/>
  <c r="CI58" i="11"/>
  <c r="AW58" i="11"/>
  <c r="CE58" i="11"/>
  <c r="Z58" i="11"/>
  <c r="AY58" i="11"/>
  <c r="BN58" i="11"/>
  <c r="BU58" i="11"/>
  <c r="AO58" i="11"/>
  <c r="AZ58" i="11"/>
  <c r="BG58" i="11"/>
  <c r="CU58" i="11"/>
  <c r="G58" i="11" s="1"/>
  <c r="CD58" i="11"/>
  <c r="CB58" i="11"/>
  <c r="AH58" i="11"/>
  <c r="AI58" i="11"/>
  <c r="AA58" i="11"/>
  <c r="AS58" i="11"/>
  <c r="BH58" i="11"/>
  <c r="BV58" i="11"/>
  <c r="BW58" i="11"/>
  <c r="CF58" i="11"/>
  <c r="CG58" i="11"/>
  <c r="CP58" i="11"/>
  <c r="CJ58" i="11"/>
  <c r="BB58" i="11"/>
  <c r="BZ58" i="11"/>
  <c r="AQ58" i="11"/>
  <c r="BE58" i="11"/>
  <c r="BI58" i="11"/>
  <c r="BS58" i="11"/>
  <c r="AR58" i="11"/>
  <c r="AK58" i="11"/>
  <c r="BJ58" i="11"/>
  <c r="CK58" i="11"/>
  <c r="BD58" i="11"/>
  <c r="CL58" i="11"/>
  <c r="AG58" i="11"/>
  <c r="AL58" i="11"/>
  <c r="AT58" i="11"/>
  <c r="BA58" i="11"/>
  <c r="BO58" i="11"/>
  <c r="BX58" i="11"/>
  <c r="BY58" i="11"/>
  <c r="CH58" i="11"/>
  <c r="AX58" i="11"/>
  <c r="AC58" i="11"/>
  <c r="AJ58" i="11"/>
  <c r="CS58" i="11"/>
  <c r="BQ58" i="11"/>
  <c r="CA58" i="11"/>
  <c r="AD58" i="11"/>
  <c r="AU58" i="11"/>
  <c r="BR58" i="11"/>
  <c r="BT58" i="11"/>
  <c r="CR58" i="11"/>
  <c r="AP58" i="11"/>
  <c r="BC58" i="11"/>
  <c r="CM58" i="11"/>
  <c r="AR58" i="13"/>
  <c r="CM58" i="13"/>
  <c r="CE58" i="13"/>
  <c r="AK58" i="13"/>
  <c r="BD58" i="13"/>
  <c r="CR58" i="13"/>
  <c r="BG58" i="13"/>
  <c r="CB58" i="13"/>
  <c r="BT58" i="13"/>
  <c r="AZ58" i="13"/>
  <c r="CU58" i="13"/>
  <c r="G58" i="13" s="1"/>
  <c r="CG58" i="13"/>
  <c r="CN58" i="13"/>
  <c r="CF58" i="13"/>
  <c r="AM58" i="13"/>
  <c r="BF58" i="13"/>
  <c r="BW58" i="13"/>
  <c r="CC58" i="13"/>
  <c r="AY58" i="13"/>
  <c r="BU58" i="13"/>
  <c r="BH58" i="13"/>
  <c r="CL58" i="13"/>
  <c r="AU58" i="13"/>
  <c r="CO58" i="13"/>
  <c r="CD58" i="13"/>
  <c r="AG58" i="13"/>
  <c r="AO58" i="13"/>
  <c r="BP58" i="13"/>
  <c r="CK58" i="13"/>
  <c r="BO58" i="13"/>
  <c r="BX58" i="13"/>
  <c r="AS58" i="13"/>
  <c r="BK58" i="13"/>
  <c r="BV58" i="13"/>
  <c r="BC58" i="13"/>
  <c r="BY58" i="13"/>
  <c r="AW58" i="13"/>
  <c r="AB58" i="13"/>
  <c r="CS58" i="13"/>
  <c r="AA58" i="13"/>
  <c r="BA58" i="13"/>
  <c r="AV58" i="13"/>
  <c r="AT58" i="13"/>
  <c r="BS58" i="13"/>
  <c r="CH58" i="13"/>
  <c r="AI58" i="13"/>
  <c r="BE58" i="13"/>
  <c r="AD58" i="13"/>
  <c r="BN58" i="13"/>
  <c r="AH58" i="13"/>
  <c r="BI58" i="13"/>
  <c r="AC58" i="13"/>
  <c r="BB58" i="13"/>
  <c r="BL58" i="13"/>
  <c r="CQ58" i="13"/>
  <c r="BZ58" i="13"/>
  <c r="AJ58" i="13"/>
  <c r="CT58" i="13"/>
  <c r="BM58" i="13"/>
  <c r="BQ58" i="13"/>
  <c r="BJ58" i="13"/>
  <c r="CP58" i="13"/>
  <c r="AP58" i="13"/>
  <c r="CI58" i="13"/>
  <c r="Z58" i="13"/>
  <c r="AL58" i="13"/>
  <c r="AX58" i="13"/>
  <c r="AE58" i="13"/>
  <c r="BR58" i="13"/>
  <c r="AN58" i="13"/>
  <c r="CJ58" i="13"/>
  <c r="AQ58" i="13"/>
  <c r="CA58" i="13"/>
  <c r="AF58" i="13"/>
  <c r="AL58" i="14"/>
  <c r="CN58" i="14"/>
  <c r="CG58" i="14"/>
  <c r="CH58" i="14"/>
  <c r="CI58" i="14"/>
  <c r="CB58" i="14"/>
  <c r="BU58" i="14"/>
  <c r="BN58" i="14"/>
  <c r="CA58" i="14"/>
  <c r="AF58" i="14"/>
  <c r="AM58" i="14"/>
  <c r="BG58" i="14"/>
  <c r="CO58" i="14"/>
  <c r="CP58" i="14"/>
  <c r="CQ58" i="14"/>
  <c r="CJ58" i="14"/>
  <c r="CC58" i="14"/>
  <c r="BV58" i="14"/>
  <c r="BM58" i="14"/>
  <c r="AJ58" i="14"/>
  <c r="AE58" i="14"/>
  <c r="AG58" i="14"/>
  <c r="AR58" i="14"/>
  <c r="CU58" i="14"/>
  <c r="G58" i="14" s="1"/>
  <c r="AY58" i="14"/>
  <c r="AQ58" i="14"/>
  <c r="CM58" i="14"/>
  <c r="CR58" i="14"/>
  <c r="CK58" i="14"/>
  <c r="CD58" i="14"/>
  <c r="AZ58" i="14"/>
  <c r="AT58" i="14"/>
  <c r="AU58" i="14"/>
  <c r="CE58" i="14"/>
  <c r="CL58" i="14"/>
  <c r="AD58" i="14"/>
  <c r="AI58" i="14"/>
  <c r="AS58" i="14"/>
  <c r="AN58" i="14"/>
  <c r="CS58" i="14"/>
  <c r="AK58" i="14"/>
  <c r="BH58" i="14"/>
  <c r="BA58" i="14"/>
  <c r="BB58" i="14"/>
  <c r="BC58" i="14"/>
  <c r="AV58" i="14"/>
  <c r="AO58" i="14"/>
  <c r="BW58" i="14"/>
  <c r="CT58" i="14"/>
  <c r="BZ58" i="14"/>
  <c r="BF58" i="14"/>
  <c r="AH58" i="14"/>
  <c r="BP58" i="14"/>
  <c r="BI58" i="14"/>
  <c r="BJ58" i="14"/>
  <c r="BK58" i="14"/>
  <c r="BD58" i="14"/>
  <c r="AW58" i="14"/>
  <c r="AP58" i="14"/>
  <c r="BO58" i="14"/>
  <c r="BY58" i="14"/>
  <c r="AB58" i="14"/>
  <c r="AA58" i="14"/>
  <c r="Z58" i="14"/>
  <c r="BX58" i="14"/>
  <c r="BQ58" i="14"/>
  <c r="BR58" i="14"/>
  <c r="BS58" i="14"/>
  <c r="BL58" i="14"/>
  <c r="BE58" i="14"/>
  <c r="AX58" i="14"/>
  <c r="G57" i="14"/>
  <c r="AC58" i="14"/>
  <c r="CF58" i="14"/>
  <c r="BT58" i="14"/>
  <c r="AE53" i="14"/>
  <c r="AE53" i="13"/>
  <c r="G53" i="14"/>
  <c r="S53" i="14"/>
  <c r="G57" i="13"/>
  <c r="S53" i="13"/>
  <c r="G53" i="13"/>
  <c r="AE53" i="11"/>
  <c r="S53" i="11"/>
  <c r="G57" i="11"/>
  <c r="G53" i="11"/>
  <c r="H53" i="3"/>
  <c r="G20" i="3"/>
  <c r="E39" i="3" s="1"/>
  <c r="E40" i="3" l="1"/>
  <c r="F40" i="3" s="1"/>
  <c r="E36" i="3"/>
  <c r="F36" i="3" s="1"/>
  <c r="E37" i="3"/>
  <c r="F37" i="3" s="1"/>
  <c r="G37" i="3" s="1"/>
  <c r="W37" i="3" s="1"/>
  <c r="E34" i="3"/>
  <c r="F34" i="3" s="1"/>
  <c r="E3" i="6"/>
  <c r="E8" i="6" s="1"/>
  <c r="E10" i="6" s="1"/>
  <c r="G34" i="3" l="1"/>
  <c r="W34" i="3" s="1"/>
  <c r="G49" i="3"/>
  <c r="G50" i="3" s="1"/>
  <c r="G51" i="3" s="1"/>
  <c r="E38" i="3"/>
  <c r="G40" i="3"/>
  <c r="CU40" i="3" s="1"/>
  <c r="CU52" i="3" s="1"/>
  <c r="CM53" i="3" s="1"/>
  <c r="G36" i="3"/>
  <c r="W36" i="3" s="1"/>
  <c r="C3" i="6"/>
  <c r="W52" i="3" l="1"/>
  <c r="C8" i="6"/>
  <c r="C10" i="6" s="1"/>
  <c r="CH58" i="3" l="1"/>
  <c r="BN58" i="3"/>
  <c r="CI58" i="3"/>
  <c r="BK58" i="3"/>
  <c r="BH58" i="3"/>
  <c r="AS58" i="3"/>
  <c r="BU58" i="3"/>
  <c r="BA58" i="3"/>
  <c r="AG58" i="3"/>
  <c r="BY58" i="3"/>
  <c r="AO58" i="3"/>
  <c r="CT58" i="3"/>
  <c r="AP58" i="3"/>
  <c r="AE58" i="3"/>
  <c r="AH58" i="3"/>
  <c r="CM58" i="3"/>
  <c r="AR58" i="3"/>
  <c r="AY58" i="3"/>
  <c r="BJ58" i="3"/>
  <c r="CA58" i="3"/>
  <c r="AW58" i="3"/>
  <c r="CB58" i="3"/>
  <c r="CP58" i="3"/>
  <c r="BV58" i="3"/>
  <c r="CO58" i="3"/>
  <c r="CL58" i="3"/>
  <c r="BL58" i="3"/>
  <c r="AZ58" i="3"/>
  <c r="BP58" i="3"/>
  <c r="AI58" i="3"/>
  <c r="AT58" i="3"/>
  <c r="BC58" i="3"/>
  <c r="CK58" i="3"/>
  <c r="CN58" i="3"/>
  <c r="CF58" i="3"/>
  <c r="AA58" i="3"/>
  <c r="W58" i="3"/>
  <c r="CQ58" i="3"/>
  <c r="BG58" i="3"/>
  <c r="BM58" i="3"/>
  <c r="AM58" i="3"/>
  <c r="AD58" i="3"/>
  <c r="AJ58" i="3"/>
  <c r="AV58" i="3"/>
  <c r="BZ58" i="3"/>
  <c r="AK58" i="3"/>
  <c r="CD58" i="3"/>
  <c r="X58" i="3"/>
  <c r="AQ58" i="3"/>
  <c r="BX58" i="3"/>
  <c r="BF58" i="3"/>
  <c r="CU58" i="3"/>
  <c r="G58" i="3" s="1"/>
  <c r="CE58" i="3"/>
  <c r="Y58" i="3"/>
  <c r="CJ58" i="3"/>
  <c r="BB58" i="3"/>
  <c r="BR58" i="3"/>
  <c r="AC58" i="3"/>
  <c r="AU58" i="3"/>
  <c r="Z58" i="3"/>
  <c r="BO58" i="3"/>
  <c r="AN58" i="3"/>
  <c r="CC58" i="3"/>
  <c r="CR58" i="3"/>
  <c r="BQ58" i="3"/>
  <c r="BS58" i="3"/>
  <c r="CG58" i="3"/>
  <c r="BT58" i="3"/>
  <c r="BW58" i="3"/>
  <c r="AB58" i="3"/>
  <c r="BI58" i="3"/>
  <c r="AX58" i="3"/>
  <c r="CS58" i="3"/>
  <c r="AL58" i="3"/>
  <c r="BE58" i="3"/>
  <c r="AF58" i="3"/>
  <c r="BD58" i="3"/>
  <c r="S53" i="3"/>
  <c r="G57" i="3"/>
  <c r="G53" i="3"/>
  <c r="C64" i="6" l="1"/>
  <c r="C66" i="6" s="1"/>
  <c r="G50" i="14" l="1"/>
  <c r="G51" i="14" l="1"/>
</calcChain>
</file>

<file path=xl/sharedStrings.xml><?xml version="1.0" encoding="utf-8"?>
<sst xmlns="http://schemas.openxmlformats.org/spreadsheetml/2006/main" count="2246" uniqueCount="196">
  <si>
    <t>COSTE ADMINISTRATIVO</t>
  </si>
  <si>
    <t>COSTE REALOJO</t>
  </si>
  <si>
    <t>Vivienda</t>
  </si>
  <si>
    <t>Garaje</t>
  </si>
  <si>
    <t>COSTES</t>
  </si>
  <si>
    <t>INGRESOS</t>
  </si>
  <si>
    <t>LICENCIA derribo</t>
  </si>
  <si>
    <t>LICENCIA nueva ejecución</t>
  </si>
  <si>
    <t>Demolición</t>
  </si>
  <si>
    <t>IVA</t>
  </si>
  <si>
    <t>Nueva edificacion</t>
  </si>
  <si>
    <t>Derribo</t>
  </si>
  <si>
    <t>Gestión residuo-canon</t>
  </si>
  <si>
    <t>Proyecto nueva ejecución</t>
  </si>
  <si>
    <t>D.O. nueva ejecución</t>
  </si>
  <si>
    <t>Proyecto demolición</t>
  </si>
  <si>
    <t>D.O. demolición</t>
  </si>
  <si>
    <t>Alquiler guardamuebles</t>
  </si>
  <si>
    <t>Topografia</t>
  </si>
  <si>
    <t>Geotecnico</t>
  </si>
  <si>
    <t>OCT</t>
  </si>
  <si>
    <t>Legalizaciones-OCA</t>
  </si>
  <si>
    <t>Mes alquiler</t>
  </si>
  <si>
    <t>Seguro decenal</t>
  </si>
  <si>
    <t>COSTES FINANCIEROS</t>
  </si>
  <si>
    <t>Banco comisión apertura</t>
  </si>
  <si>
    <t>Comisión cancelación</t>
  </si>
  <si>
    <t>Notaria prestamo</t>
  </si>
  <si>
    <t>Registro prestamo</t>
  </si>
  <si>
    <t>Constitución prestamo</t>
  </si>
  <si>
    <t>Importe</t>
  </si>
  <si>
    <t>Informes previos</t>
  </si>
  <si>
    <t>importe prestamo total</t>
  </si>
  <si>
    <t>Plazo (años)</t>
  </si>
  <si>
    <t>Tipo interes anual</t>
  </si>
  <si>
    <t>Interes mensual</t>
  </si>
  <si>
    <t>Cuota mensual</t>
  </si>
  <si>
    <t>Numero cuotas</t>
  </si>
  <si>
    <t>Total intereses</t>
  </si>
  <si>
    <t>Intereses prestamo corto</t>
  </si>
  <si>
    <t>Rehabilitación</t>
  </si>
  <si>
    <t>IMPORTES TOTALES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</si>
  <si>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</si>
  <si>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</si>
  <si>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</si>
  <si>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</si>
  <si>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</si>
  <si>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</si>
  <si>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</si>
  <si>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</si>
  <si>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</si>
  <si>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</si>
  <si>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</si>
  <si>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</si>
  <si>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</si>
  <si>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</si>
  <si>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</si>
  <si>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</si>
  <si>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</si>
  <si>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</si>
  <si>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</si>
  <si>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</si>
  <si>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</si>
  <si>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</si>
  <si>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</si>
  <si>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</si>
  <si>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</si>
  <si>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</si>
  <si>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</si>
  <si>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</si>
  <si>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</si>
  <si>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</si>
  <si>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</si>
  <si>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</si>
  <si>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</si>
  <si>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</si>
  <si>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</si>
  <si>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</si>
  <si>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MES 37</t>
  </si>
  <si>
    <t>MES 38</t>
  </si>
  <si>
    <t>MES 39</t>
  </si>
  <si>
    <t>MES 40</t>
  </si>
  <si>
    <t>MES 41</t>
  </si>
  <si>
    <t>MES 42</t>
  </si>
  <si>
    <t>MES 43</t>
  </si>
  <si>
    <t>MES 44</t>
  </si>
  <si>
    <t>MES 45</t>
  </si>
  <si>
    <t>MES 46</t>
  </si>
  <si>
    <t>MES 47</t>
  </si>
  <si>
    <t>MES 48</t>
  </si>
  <si>
    <t>GASTOS</t>
  </si>
  <si>
    <t>TASA ESTIMADA MENSUAL</t>
  </si>
  <si>
    <t>TASA INTERES</t>
  </si>
  <si>
    <t>VAN PROYECTO</t>
  </si>
  <si>
    <t>TIRM PROYECTO</t>
  </si>
  <si>
    <t>Intereses prestamo largo</t>
  </si>
  <si>
    <t>MES 49</t>
  </si>
  <si>
    <t>MES 50</t>
  </si>
  <si>
    <t>MES 51</t>
  </si>
  <si>
    <t>MES 52</t>
  </si>
  <si>
    <t>MES 53</t>
  </si>
  <si>
    <t>MES 54</t>
  </si>
  <si>
    <t>MES 55</t>
  </si>
  <si>
    <t>MES 56</t>
  </si>
  <si>
    <t>MES 57</t>
  </si>
  <si>
    <t>MES 58</t>
  </si>
  <si>
    <t>MES 59</t>
  </si>
  <si>
    <t>MES 60</t>
  </si>
  <si>
    <t>MES 61</t>
  </si>
  <si>
    <t>MES 62</t>
  </si>
  <si>
    <t>MES 63</t>
  </si>
  <si>
    <t>MES 64</t>
  </si>
  <si>
    <t>MES 65</t>
  </si>
  <si>
    <t>MES 66</t>
  </si>
  <si>
    <t>MES 67</t>
  </si>
  <si>
    <t>MES 68</t>
  </si>
  <si>
    <t>MES 69</t>
  </si>
  <si>
    <t>MES 70</t>
  </si>
  <si>
    <t>MES 71</t>
  </si>
  <si>
    <t>MES 72</t>
  </si>
  <si>
    <t>MES 73</t>
  </si>
  <si>
    <t>MES 74</t>
  </si>
  <si>
    <t>MES 75</t>
  </si>
  <si>
    <t>MES 76</t>
  </si>
  <si>
    <t>MES 77</t>
  </si>
  <si>
    <t>MES 78</t>
  </si>
  <si>
    <t>MES 79</t>
  </si>
  <si>
    <t>MES 80</t>
  </si>
  <si>
    <t>MES 81</t>
  </si>
  <si>
    <t>MES 82</t>
  </si>
  <si>
    <t>MES 83</t>
  </si>
  <si>
    <t>MES 84</t>
  </si>
  <si>
    <t>MES 85</t>
  </si>
  <si>
    <t>MES 86</t>
  </si>
  <si>
    <t>MES 87</t>
  </si>
  <si>
    <t>MES 88</t>
  </si>
  <si>
    <t>MES 89</t>
  </si>
  <si>
    <t>MES 90</t>
  </si>
  <si>
    <t>MES 91</t>
  </si>
  <si>
    <t>MES 92</t>
  </si>
  <si>
    <t>Gestión- Project Management</t>
  </si>
  <si>
    <t>Evolución certificaciones 40 NE AMPLIANDO 1 PLANTA (40+8)</t>
  </si>
  <si>
    <t>Evolución certificaciones 40 NE AMPLIANDO 2 PLANTA (40+16)</t>
  </si>
  <si>
    <t>Venta viviendas</t>
  </si>
  <si>
    <t>importe corto hasta obtener las ayudas</t>
  </si>
  <si>
    <t xml:space="preserve">intereses prestamo total </t>
  </si>
  <si>
    <t>intereses prestamo total</t>
  </si>
  <si>
    <t xml:space="preserve">intereses prestamo corto hasta obtener las ayudas </t>
  </si>
  <si>
    <t xml:space="preserve">Evolución certificaciones 40 NE </t>
  </si>
  <si>
    <t>Evolución certificaciones 40 manteniendo + 1 pl</t>
  </si>
  <si>
    <t>Rehabilitacion</t>
  </si>
  <si>
    <t>Evolución certificaciones 40 manteniendo + 2 pl</t>
  </si>
  <si>
    <t>Capitalizacion ahorro energetico</t>
  </si>
  <si>
    <t xml:space="preserve">Viabilidad 88 NE </t>
  </si>
  <si>
    <t>Viabilidad 88 NE ampliando 1 pl</t>
  </si>
  <si>
    <t>Viabilidad 88 NE ampliando 2 pl</t>
  </si>
  <si>
    <t>Viabilidad 88 manteniendo + 1 pl</t>
  </si>
  <si>
    <t>Viabilidad 88 manteniendo + 2 pl</t>
  </si>
  <si>
    <t>Viabilidad 88 manteniendo + ESE</t>
  </si>
  <si>
    <t>COSTES PREVIOS</t>
  </si>
  <si>
    <t>COSTES TECNICOS</t>
  </si>
  <si>
    <t>CSSE_1</t>
  </si>
  <si>
    <t>CSSE_2</t>
  </si>
  <si>
    <t>Impuestos - Sobre proyecto, D.O. Demolición y C.S.S.E.</t>
  </si>
  <si>
    <t>Impuestos - Sobre proyecto, D.O. Nueva Ejecución, C.S.S.E y PM</t>
  </si>
  <si>
    <t>COSTE CONSTRUCCION</t>
  </si>
  <si>
    <t>Notaria_1</t>
  </si>
  <si>
    <t>Registro_1</t>
  </si>
  <si>
    <t>AJD_1</t>
  </si>
  <si>
    <t>Notaria_2</t>
  </si>
  <si>
    <t>Registro_2</t>
  </si>
  <si>
    <t>AJD_2</t>
  </si>
  <si>
    <t>Tasación</t>
  </si>
  <si>
    <t>AJD_3</t>
  </si>
  <si>
    <t>VENTA</t>
  </si>
  <si>
    <t>AYUDAS</t>
  </si>
  <si>
    <t>Ayudas a viviendas Ayto</t>
  </si>
  <si>
    <t>Ayudas a viviendas DGA</t>
  </si>
  <si>
    <t>ALQUILER</t>
  </si>
  <si>
    <t>Alquiler viviendas 5 años</t>
  </si>
  <si>
    <t>CAPITALIZACION ENERGIA</t>
  </si>
  <si>
    <t>CALCULADOS</t>
  </si>
  <si>
    <t>TOTALES</t>
  </si>
  <si>
    <t xml:space="preserve">MARGEN </t>
  </si>
  <si>
    <t>COEFICIENTE</t>
  </si>
  <si>
    <t>CF</t>
  </si>
  <si>
    <t>C-F PROYECTO (ingresos- pagos)</t>
  </si>
  <si>
    <t>C-F ACUMULADO PROYECTO (ingresos-pagos)</t>
  </si>
  <si>
    <t>TASAS</t>
  </si>
  <si>
    <t>TASA R ESTIMADA ANUAL</t>
  </si>
  <si>
    <t>PROYECTO</t>
  </si>
  <si>
    <t>CONCEPTO</t>
  </si>
  <si>
    <t>GRUPO</t>
  </si>
  <si>
    <t>ELEMENTO</t>
  </si>
  <si>
    <t>VALOR</t>
  </si>
  <si>
    <t>VALOR 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</si>
</sst>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3" formatCode="_-* #,##0.00_-;\-* #,##0.00_-;_-* &quot;-&quot;??_-;_-@_-"/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55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4">
    <xf numFmtId="0" fontId="0" fillId="0" borderId="0" xfId="0"/>
    <xf numFmtId="4" fontId="0" fillId="0" borderId="0" xfId="0" applyNumberFormat="1"/>
    <xf numFmtId="10" fontId="0" fillId="0" borderId="0" xfId="0" applyNumberFormat="1"/>
    <xf numFmtId="0" fontId="1" fillId="0" borderId="0" xfId="0" applyFont="1"/>
    <xf numFmtId="4" fontId="0" fillId="0" borderId="0" xfId="0" applyNumberFormat="1" applyFill="1"/>
    <xf numFmtId="0" fontId="2" fillId="0" borderId="0" xfId="0" applyFont="1" applyAlignment="1">
      <alignment wrapText="1"/>
    </xf>
    <xf numFmtId="1" fontId="0" fillId="0" borderId="0" xfId="0" applyNumberFormat="1"/>
    <xf numFmtId="8" fontId="2" fillId="0" borderId="0" xfId="0" applyNumberFormat="1" applyFont="1"/>
    <xf numFmtId="8" fontId="0" fillId="0" borderId="0" xfId="0" applyNumberFormat="1"/>
    <xf numFmtId="0" fontId="2" fillId="0" borderId="0" xfId="0" applyFont="1"/>
    <xf numFmtId="4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2" fontId="6" fillId="0" borderId="5" xfId="1" applyNumberFormat="1" applyFont="1" applyFill="1" applyBorder="1"/>
    <xf numFmtId="2" fontId="6" fillId="0" borderId="5" xfId="1" applyNumberFormat="1" applyFont="1" applyBorder="1"/>
    <xf numFmtId="2" fontId="6" fillId="0" borderId="13" xfId="1" applyNumberFormat="1" applyFont="1" applyFill="1" applyBorder="1"/>
    <xf numFmtId="2" fontId="1" fillId="0" borderId="0" xfId="0" applyNumberFormat="1" applyFont="1" applyAlignment="1">
      <alignment horizontal="right"/>
    </xf>
    <xf numFmtId="2" fontId="7" fillId="0" borderId="5" xfId="0" applyNumberFormat="1" applyFont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ill="1"/>
    <xf numFmtId="2" fontId="6" fillId="0" borderId="8" xfId="1" applyNumberFormat="1" applyFont="1" applyFill="1" applyBorder="1"/>
    <xf numFmtId="2" fontId="6" fillId="0" borderId="8" xfId="1" applyNumberFormat="1" applyFont="1" applyBorder="1"/>
    <xf numFmtId="2" fontId="0" fillId="0" borderId="0" xfId="0" applyNumberFormat="1" applyBorder="1"/>
    <xf numFmtId="2" fontId="6" fillId="0" borderId="7" xfId="1" applyNumberFormat="1" applyFont="1" applyFill="1" applyBorder="1"/>
    <xf numFmtId="2" fontId="6" fillId="0" borderId="7" xfId="1" applyNumberFormat="1" applyFont="1" applyBorder="1"/>
    <xf numFmtId="2" fontId="6" fillId="0" borderId="10" xfId="1" applyNumberFormat="1" applyFont="1" applyBorder="1"/>
    <xf numFmtId="2" fontId="0" fillId="0" borderId="5" xfId="0" applyNumberFormat="1" applyBorder="1"/>
    <xf numFmtId="2" fontId="4" fillId="0" borderId="0" xfId="0" applyNumberFormat="1" applyFont="1" applyBorder="1" applyAlignment="1">
      <alignment horizontal="left"/>
    </xf>
    <xf numFmtId="2" fontId="4" fillId="0" borderId="0" xfId="0" applyNumberFormat="1" applyFont="1" applyBorder="1" applyAlignment="1">
      <alignment horizontal="center"/>
    </xf>
    <xf numFmtId="2" fontId="0" fillId="0" borderId="14" xfId="0" applyNumberFormat="1" applyBorder="1"/>
    <xf numFmtId="2" fontId="0" fillId="0" borderId="1" xfId="0" applyNumberFormat="1" applyBorder="1"/>
    <xf numFmtId="2" fontId="2" fillId="0" borderId="0" xfId="0" applyNumberFormat="1" applyFont="1" applyBorder="1" applyAlignment="1">
      <alignment horizontal="left"/>
    </xf>
    <xf numFmtId="2" fontId="0" fillId="0" borderId="12" xfId="0" applyNumberFormat="1" applyBorder="1"/>
    <xf numFmtId="2" fontId="5" fillId="0" borderId="15" xfId="0" applyNumberFormat="1" applyFont="1" applyBorder="1"/>
    <xf numFmtId="2" fontId="5" fillId="0" borderId="4" xfId="0" applyNumberFormat="1" applyFont="1" applyBorder="1"/>
    <xf numFmtId="2" fontId="0" fillId="0" borderId="4" xfId="0" applyNumberFormat="1" applyBorder="1"/>
    <xf numFmtId="2" fontId="2" fillId="0" borderId="0" xfId="0" applyNumberFormat="1" applyFont="1" applyBorder="1" applyAlignment="1">
      <alignment horizontal="right"/>
    </xf>
    <xf numFmtId="2" fontId="0" fillId="0" borderId="2" xfId="0" applyNumberFormat="1" applyBorder="1"/>
    <xf numFmtId="2" fontId="0" fillId="0" borderId="6" xfId="0" applyNumberFormat="1" applyBorder="1"/>
    <xf numFmtId="2" fontId="0" fillId="0" borderId="0" xfId="0" applyNumberFormat="1" applyFont="1"/>
    <xf numFmtId="164" fontId="0" fillId="0" borderId="0" xfId="0" applyNumberFormat="1" applyFill="1" applyBorder="1"/>
    <xf numFmtId="164" fontId="0" fillId="0" borderId="0" xfId="0" applyNumberFormat="1" applyFill="1"/>
    <xf numFmtId="164" fontId="0" fillId="0" borderId="0" xfId="0" applyNumberFormat="1" applyBorder="1"/>
    <xf numFmtId="2" fontId="1" fillId="0" borderId="0" xfId="0" applyNumberFormat="1" applyFont="1"/>
    <xf numFmtId="164" fontId="1" fillId="0" borderId="0" xfId="0" applyNumberFormat="1" applyFont="1"/>
    <xf numFmtId="2" fontId="2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2" fontId="0" fillId="0" borderId="3" xfId="0" applyNumberFormat="1" applyBorder="1"/>
    <xf numFmtId="2" fontId="0" fillId="0" borderId="9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6" fillId="0" borderId="0" xfId="0" applyNumberFormat="1" applyFont="1" applyFill="1"/>
    <xf numFmtId="2" fontId="6" fillId="0" borderId="0" xfId="0" applyNumberFormat="1" applyFont="1"/>
  </cellXfs>
  <cellStyles count="2">
    <cellStyle name="Millares" xfId="1" builtinId="3"/>
    <cellStyle name="Normal" xfId="0" builtinId="0"/>
  </cellStyles>
  <dxfs count="94"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sm/Dropbox/TESIS/10%20ANEXOS%20INVESTIGACION/Calculadora%20de%20pr&#195;&#169;stamo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dora de préstamos"/>
      <sheetName val="simplificacion Luis"/>
    </sheetNames>
    <sheetDataSet>
      <sheetData sheetId="0">
        <row r="1">
          <cell r="B1" t="str">
            <v>Calculadora de préstamos simple</v>
          </cell>
        </row>
        <row r="3">
          <cell r="B3" t="str">
            <v>Valores del préstamo</v>
          </cell>
        </row>
        <row r="4">
          <cell r="B4" t="str">
            <v>Importe del préstamo</v>
          </cell>
        </row>
        <row r="5">
          <cell r="B5" t="str">
            <v>Tasa de interés anual</v>
          </cell>
        </row>
        <row r="6">
          <cell r="B6" t="str">
            <v>Periodo del préstamo en años</v>
          </cell>
        </row>
        <row r="7">
          <cell r="B7" t="str">
            <v>Fecha de inicio del préstamo</v>
          </cell>
        </row>
        <row r="9">
          <cell r="B9" t="str">
            <v>N.° de pago</v>
          </cell>
        </row>
        <row r="10">
          <cell r="B10">
            <v>1</v>
          </cell>
        </row>
        <row r="11">
          <cell r="B11">
            <v>2</v>
          </cell>
        </row>
        <row r="12">
          <cell r="B12">
            <v>3</v>
          </cell>
        </row>
        <row r="13">
          <cell r="B13">
            <v>4</v>
          </cell>
        </row>
        <row r="14">
          <cell r="B14">
            <v>5</v>
          </cell>
        </row>
        <row r="15">
          <cell r="B15">
            <v>6</v>
          </cell>
        </row>
        <row r="16">
          <cell r="B16">
            <v>7</v>
          </cell>
        </row>
        <row r="17">
          <cell r="B17">
            <v>8</v>
          </cell>
        </row>
        <row r="18">
          <cell r="B18">
            <v>9</v>
          </cell>
        </row>
        <row r="19">
          <cell r="B19">
            <v>10</v>
          </cell>
        </row>
        <row r="20">
          <cell r="B20">
            <v>11</v>
          </cell>
        </row>
        <row r="21">
          <cell r="B21">
            <v>12</v>
          </cell>
        </row>
        <row r="22">
          <cell r="B22">
            <v>13</v>
          </cell>
        </row>
        <row r="23">
          <cell r="B23">
            <v>14</v>
          </cell>
        </row>
        <row r="24">
          <cell r="B24">
            <v>15</v>
          </cell>
        </row>
        <row r="25">
          <cell r="B25">
            <v>16</v>
          </cell>
        </row>
        <row r="26">
          <cell r="B26">
            <v>17</v>
          </cell>
        </row>
        <row r="27">
          <cell r="B27">
            <v>18</v>
          </cell>
        </row>
        <row r="28">
          <cell r="B28">
            <v>19</v>
          </cell>
        </row>
        <row r="29">
          <cell r="B29">
            <v>20</v>
          </cell>
        </row>
        <row r="30">
          <cell r="B30">
            <v>21</v>
          </cell>
        </row>
        <row r="31">
          <cell r="B31">
            <v>22</v>
          </cell>
        </row>
        <row r="32">
          <cell r="B32">
            <v>23</v>
          </cell>
        </row>
        <row r="33">
          <cell r="B33">
            <v>24</v>
          </cell>
        </row>
        <row r="34">
          <cell r="B34">
            <v>25</v>
          </cell>
        </row>
        <row r="35">
          <cell r="B35">
            <v>26</v>
          </cell>
        </row>
        <row r="36">
          <cell r="B36">
            <v>27</v>
          </cell>
        </row>
        <row r="37">
          <cell r="B37">
            <v>28</v>
          </cell>
        </row>
        <row r="38">
          <cell r="B38">
            <v>29</v>
          </cell>
        </row>
        <row r="39">
          <cell r="B39">
            <v>30</v>
          </cell>
        </row>
        <row r="40">
          <cell r="B40">
            <v>31</v>
          </cell>
        </row>
        <row r="41">
          <cell r="B41">
            <v>32</v>
          </cell>
        </row>
        <row r="42">
          <cell r="B42">
            <v>33</v>
          </cell>
        </row>
        <row r="43">
          <cell r="B43">
            <v>34</v>
          </cell>
        </row>
        <row r="44">
          <cell r="B44">
            <v>35</v>
          </cell>
        </row>
        <row r="45">
          <cell r="B45">
            <v>36</v>
          </cell>
        </row>
        <row r="46">
          <cell r="B46">
            <v>37</v>
          </cell>
        </row>
        <row r="47">
          <cell r="B47">
            <v>38</v>
          </cell>
        </row>
        <row r="48">
          <cell r="B48">
            <v>39</v>
          </cell>
        </row>
        <row r="49">
          <cell r="B49">
            <v>40</v>
          </cell>
        </row>
        <row r="50">
          <cell r="B50">
            <v>41</v>
          </cell>
        </row>
        <row r="51">
          <cell r="B51">
            <v>42</v>
          </cell>
        </row>
        <row r="52">
          <cell r="B52">
            <v>43</v>
          </cell>
        </row>
        <row r="53">
          <cell r="B53">
            <v>44</v>
          </cell>
        </row>
        <row r="54">
          <cell r="B54">
            <v>45</v>
          </cell>
        </row>
        <row r="55">
          <cell r="B55">
            <v>46</v>
          </cell>
        </row>
        <row r="56">
          <cell r="B56">
            <v>47</v>
          </cell>
        </row>
        <row r="57">
          <cell r="B57">
            <v>48</v>
          </cell>
        </row>
        <row r="58">
          <cell r="B58">
            <v>49</v>
          </cell>
        </row>
        <row r="59">
          <cell r="B59">
            <v>50</v>
          </cell>
        </row>
        <row r="60">
          <cell r="B60">
            <v>51</v>
          </cell>
        </row>
        <row r="61">
          <cell r="B61">
            <v>52</v>
          </cell>
        </row>
        <row r="62">
          <cell r="B62">
            <v>53</v>
          </cell>
        </row>
        <row r="63">
          <cell r="B63">
            <v>54</v>
          </cell>
        </row>
        <row r="64">
          <cell r="B64">
            <v>55</v>
          </cell>
        </row>
        <row r="65">
          <cell r="B65">
            <v>56</v>
          </cell>
        </row>
        <row r="66">
          <cell r="B66">
            <v>57</v>
          </cell>
        </row>
        <row r="67">
          <cell r="B67">
            <v>58</v>
          </cell>
        </row>
        <row r="68">
          <cell r="B68">
            <v>59</v>
          </cell>
        </row>
        <row r="69">
          <cell r="B69">
            <v>60</v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  <row r="117">
          <cell r="B117" t="str">
            <v/>
          </cell>
        </row>
        <row r="118">
          <cell r="B118" t="str">
            <v/>
          </cell>
        </row>
        <row r="119">
          <cell r="B119" t="str">
            <v/>
          </cell>
        </row>
        <row r="120">
          <cell r="B120" t="str">
            <v/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  <row r="126">
          <cell r="B126" t="str">
            <v/>
          </cell>
        </row>
        <row r="127">
          <cell r="B127" t="str">
            <v/>
          </cell>
        </row>
        <row r="128">
          <cell r="B128" t="str">
            <v/>
          </cell>
        </row>
        <row r="129">
          <cell r="B129" t="str">
            <v/>
          </cell>
        </row>
        <row r="130">
          <cell r="B130" t="str">
            <v/>
          </cell>
        </row>
        <row r="131">
          <cell r="B131" t="str">
            <v/>
          </cell>
        </row>
        <row r="132">
          <cell r="B132" t="str">
            <v/>
          </cell>
        </row>
        <row r="133">
          <cell r="B133" t="str">
            <v/>
          </cell>
        </row>
        <row r="134">
          <cell r="B134" t="str">
            <v/>
          </cell>
        </row>
        <row r="135">
          <cell r="B135" t="str">
            <v/>
          </cell>
        </row>
        <row r="136">
          <cell r="B136" t="str">
            <v/>
          </cell>
        </row>
        <row r="137">
          <cell r="B137" t="str">
            <v/>
          </cell>
        </row>
        <row r="138">
          <cell r="B138" t="str">
            <v/>
          </cell>
        </row>
        <row r="139">
          <cell r="B139" t="str">
            <v/>
          </cell>
        </row>
        <row r="140">
          <cell r="B140" t="str">
            <v/>
          </cell>
        </row>
        <row r="141">
          <cell r="B141" t="str">
            <v/>
          </cell>
        </row>
        <row r="142">
          <cell r="B142" t="str">
            <v/>
          </cell>
        </row>
        <row r="143">
          <cell r="B143" t="str">
            <v/>
          </cell>
        </row>
        <row r="144">
          <cell r="B144" t="str">
            <v/>
          </cell>
        </row>
        <row r="145">
          <cell r="B145" t="str">
            <v/>
          </cell>
        </row>
        <row r="146">
          <cell r="B146" t="str">
            <v/>
          </cell>
        </row>
        <row r="147">
          <cell r="B147" t="str">
            <v/>
          </cell>
        </row>
        <row r="148">
          <cell r="B148" t="str">
            <v/>
          </cell>
        </row>
        <row r="149">
          <cell r="B149" t="str">
            <v/>
          </cell>
        </row>
        <row r="150">
          <cell r="B150" t="str">
            <v/>
          </cell>
        </row>
        <row r="151">
          <cell r="B151" t="str">
            <v/>
          </cell>
        </row>
        <row r="152">
          <cell r="B152" t="str">
            <v/>
          </cell>
        </row>
        <row r="153">
          <cell r="B153" t="str">
            <v/>
          </cell>
        </row>
        <row r="154">
          <cell r="B154" t="str">
            <v/>
          </cell>
        </row>
        <row r="155">
          <cell r="B155" t="str">
            <v/>
          </cell>
        </row>
        <row r="156">
          <cell r="B156" t="str">
            <v/>
          </cell>
        </row>
        <row r="157">
          <cell r="B157" t="str">
            <v/>
          </cell>
        </row>
        <row r="158">
          <cell r="B158" t="str">
            <v/>
          </cell>
        </row>
        <row r="159">
          <cell r="B159" t="str">
            <v/>
          </cell>
        </row>
        <row r="160">
          <cell r="B160" t="str">
            <v/>
          </cell>
        </row>
        <row r="161">
          <cell r="B161" t="str">
            <v/>
          </cell>
        </row>
        <row r="162">
          <cell r="B162" t="str">
            <v/>
          </cell>
        </row>
        <row r="163">
          <cell r="B163" t="str">
            <v/>
          </cell>
        </row>
        <row r="164">
          <cell r="B164" t="str">
            <v/>
          </cell>
        </row>
        <row r="165">
          <cell r="B165" t="str">
            <v/>
          </cell>
        </row>
        <row r="166">
          <cell r="B166" t="str">
            <v/>
          </cell>
        </row>
        <row r="167">
          <cell r="B167" t="str">
            <v/>
          </cell>
        </row>
        <row r="168">
          <cell r="B168" t="str">
            <v/>
          </cell>
        </row>
        <row r="169">
          <cell r="B169" t="str">
            <v/>
          </cell>
        </row>
        <row r="170">
          <cell r="B170" t="str">
            <v/>
          </cell>
        </row>
        <row r="171">
          <cell r="B171" t="str">
            <v/>
          </cell>
        </row>
        <row r="172">
          <cell r="B172" t="str">
            <v/>
          </cell>
        </row>
        <row r="173">
          <cell r="B173" t="str">
            <v/>
          </cell>
        </row>
        <row r="174">
          <cell r="B174" t="str">
            <v/>
          </cell>
        </row>
        <row r="175">
          <cell r="B175" t="str">
            <v/>
          </cell>
        </row>
        <row r="176">
          <cell r="B176" t="str">
            <v/>
          </cell>
        </row>
        <row r="177">
          <cell r="B177" t="str">
            <v/>
          </cell>
        </row>
        <row r="178">
          <cell r="B178" t="str">
            <v/>
          </cell>
        </row>
        <row r="179">
          <cell r="B179" t="str">
            <v/>
          </cell>
        </row>
        <row r="180">
          <cell r="B180" t="str">
            <v/>
          </cell>
        </row>
        <row r="181">
          <cell r="B181" t="str">
            <v/>
          </cell>
        </row>
        <row r="182">
          <cell r="B182" t="str">
            <v/>
          </cell>
        </row>
        <row r="183">
          <cell r="B183" t="str">
            <v/>
          </cell>
        </row>
        <row r="184">
          <cell r="B184" t="str">
            <v/>
          </cell>
        </row>
        <row r="185">
          <cell r="B185" t="str">
            <v/>
          </cell>
        </row>
        <row r="186">
          <cell r="B186" t="str">
            <v/>
          </cell>
        </row>
        <row r="187">
          <cell r="B187" t="str">
            <v/>
          </cell>
        </row>
        <row r="188">
          <cell r="B188" t="str">
            <v/>
          </cell>
        </row>
        <row r="189">
          <cell r="B189" t="str">
            <v/>
          </cell>
        </row>
        <row r="190">
          <cell r="B190" t="str">
            <v/>
          </cell>
        </row>
        <row r="191">
          <cell r="B191" t="str">
            <v/>
          </cell>
        </row>
        <row r="192">
          <cell r="B192" t="str">
            <v/>
          </cell>
        </row>
        <row r="193">
          <cell r="B193" t="str">
            <v/>
          </cell>
        </row>
        <row r="194">
          <cell r="B194" t="str">
            <v/>
          </cell>
        </row>
        <row r="195">
          <cell r="B195" t="str">
            <v/>
          </cell>
        </row>
        <row r="196">
          <cell r="B196" t="str">
            <v/>
          </cell>
        </row>
        <row r="197">
          <cell r="B197" t="str">
            <v/>
          </cell>
        </row>
        <row r="198">
          <cell r="B198" t="str">
            <v/>
          </cell>
        </row>
        <row r="199">
          <cell r="B199" t="str">
            <v/>
          </cell>
        </row>
        <row r="200">
          <cell r="B200" t="str">
            <v/>
          </cell>
        </row>
        <row r="201">
          <cell r="B201" t="str">
            <v/>
          </cell>
        </row>
        <row r="202">
          <cell r="B202" t="str">
            <v/>
          </cell>
        </row>
        <row r="203">
          <cell r="B203" t="str">
            <v/>
          </cell>
        </row>
        <row r="204">
          <cell r="B204" t="str">
            <v/>
          </cell>
        </row>
        <row r="205">
          <cell r="B205" t="str">
            <v/>
          </cell>
        </row>
        <row r="206">
          <cell r="B206" t="str">
            <v/>
          </cell>
        </row>
        <row r="207">
          <cell r="B207" t="str">
            <v/>
          </cell>
        </row>
        <row r="208">
          <cell r="B208" t="str">
            <v/>
          </cell>
        </row>
        <row r="209">
          <cell r="B209" t="str">
            <v/>
          </cell>
        </row>
        <row r="210">
          <cell r="B210" t="str">
            <v/>
          </cell>
        </row>
        <row r="211">
          <cell r="B211" t="str">
            <v/>
          </cell>
        </row>
        <row r="212">
          <cell r="B212" t="str">
            <v/>
          </cell>
        </row>
        <row r="213">
          <cell r="B213" t="str">
            <v/>
          </cell>
        </row>
        <row r="214">
          <cell r="B214" t="str">
            <v/>
          </cell>
        </row>
        <row r="215">
          <cell r="B215" t="str">
            <v/>
          </cell>
        </row>
        <row r="216">
          <cell r="B216" t="str">
            <v/>
          </cell>
        </row>
        <row r="217">
          <cell r="B217" t="str">
            <v/>
          </cell>
        </row>
        <row r="218">
          <cell r="B218" t="str">
            <v/>
          </cell>
        </row>
        <row r="219">
          <cell r="B219" t="str">
            <v/>
          </cell>
        </row>
        <row r="220">
          <cell r="B220" t="str">
            <v/>
          </cell>
        </row>
        <row r="221">
          <cell r="B221" t="str">
            <v/>
          </cell>
        </row>
        <row r="222">
          <cell r="B222" t="str">
            <v/>
          </cell>
        </row>
        <row r="223">
          <cell r="B223" t="str">
            <v/>
          </cell>
        </row>
        <row r="224">
          <cell r="B224" t="str">
            <v/>
          </cell>
        </row>
        <row r="225">
          <cell r="B225" t="str">
            <v/>
          </cell>
        </row>
        <row r="226">
          <cell r="B226" t="str">
            <v/>
          </cell>
        </row>
        <row r="227">
          <cell r="B227" t="str">
            <v/>
          </cell>
        </row>
        <row r="228">
          <cell r="B228" t="str">
            <v/>
          </cell>
        </row>
        <row r="229">
          <cell r="B229" t="str">
            <v/>
          </cell>
        </row>
        <row r="230">
          <cell r="B230" t="str">
            <v/>
          </cell>
        </row>
        <row r="231">
          <cell r="B231" t="str">
            <v/>
          </cell>
        </row>
        <row r="232">
          <cell r="B232" t="str">
            <v/>
          </cell>
        </row>
        <row r="233">
          <cell r="B233" t="str">
            <v/>
          </cell>
        </row>
        <row r="234">
          <cell r="B234" t="str">
            <v/>
          </cell>
        </row>
        <row r="235">
          <cell r="B235" t="str">
            <v/>
          </cell>
        </row>
        <row r="236">
          <cell r="B236" t="str">
            <v/>
          </cell>
        </row>
        <row r="237">
          <cell r="B237" t="str">
            <v/>
          </cell>
        </row>
        <row r="238">
          <cell r="B238" t="str">
            <v/>
          </cell>
        </row>
        <row r="239">
          <cell r="B239" t="str">
            <v/>
          </cell>
        </row>
        <row r="240">
          <cell r="B240" t="str">
            <v/>
          </cell>
        </row>
        <row r="241">
          <cell r="B241" t="str">
            <v/>
          </cell>
        </row>
        <row r="242">
          <cell r="B242" t="str">
            <v/>
          </cell>
        </row>
        <row r="243">
          <cell r="B243" t="str">
            <v/>
          </cell>
        </row>
        <row r="244">
          <cell r="B244" t="str">
            <v/>
          </cell>
        </row>
        <row r="245">
          <cell r="B245" t="str">
            <v/>
          </cell>
        </row>
        <row r="246">
          <cell r="B246" t="str">
            <v/>
          </cell>
        </row>
        <row r="247">
          <cell r="B247" t="str">
            <v/>
          </cell>
        </row>
        <row r="248">
          <cell r="B248" t="str">
            <v/>
          </cell>
        </row>
        <row r="249">
          <cell r="B249" t="str">
            <v/>
          </cell>
        </row>
        <row r="250">
          <cell r="B250" t="str">
            <v/>
          </cell>
        </row>
        <row r="251">
          <cell r="B251" t="str">
            <v/>
          </cell>
        </row>
        <row r="252">
          <cell r="B252" t="str">
            <v/>
          </cell>
        </row>
        <row r="253">
          <cell r="B253" t="str">
            <v/>
          </cell>
        </row>
        <row r="254">
          <cell r="B254" t="str">
            <v/>
          </cell>
        </row>
        <row r="255">
          <cell r="B255" t="str">
            <v/>
          </cell>
        </row>
        <row r="256">
          <cell r="B256" t="str">
            <v/>
          </cell>
        </row>
        <row r="257">
          <cell r="B257" t="str">
            <v/>
          </cell>
        </row>
        <row r="258">
          <cell r="B258" t="str">
            <v/>
          </cell>
        </row>
        <row r="259">
          <cell r="B259" t="str">
            <v/>
          </cell>
        </row>
        <row r="260">
          <cell r="B260" t="str">
            <v/>
          </cell>
        </row>
        <row r="261">
          <cell r="B261" t="str">
            <v/>
          </cell>
        </row>
        <row r="262">
          <cell r="B262" t="str">
            <v/>
          </cell>
        </row>
        <row r="263">
          <cell r="B263" t="str">
            <v/>
          </cell>
        </row>
        <row r="264">
          <cell r="B264" t="str">
            <v/>
          </cell>
        </row>
        <row r="265">
          <cell r="B265" t="str">
            <v/>
          </cell>
        </row>
        <row r="266">
          <cell r="B266" t="str">
            <v/>
          </cell>
        </row>
        <row r="267">
          <cell r="B267" t="str">
            <v/>
          </cell>
        </row>
        <row r="268">
          <cell r="B268" t="str">
            <v/>
          </cell>
        </row>
        <row r="269">
          <cell r="B269" t="str">
            <v/>
          </cell>
        </row>
        <row r="270">
          <cell r="B270" t="str">
            <v/>
          </cell>
        </row>
        <row r="271">
          <cell r="B271" t="str">
            <v/>
          </cell>
        </row>
        <row r="272">
          <cell r="B272" t="str">
            <v/>
          </cell>
        </row>
        <row r="273">
          <cell r="B273" t="str">
            <v/>
          </cell>
        </row>
        <row r="274">
          <cell r="B274" t="str">
            <v/>
          </cell>
        </row>
        <row r="275">
          <cell r="B275" t="str">
            <v/>
          </cell>
        </row>
        <row r="276">
          <cell r="B276" t="str">
            <v/>
          </cell>
        </row>
        <row r="277">
          <cell r="B277" t="str">
            <v/>
          </cell>
        </row>
        <row r="278">
          <cell r="B278" t="str">
            <v/>
          </cell>
        </row>
        <row r="279">
          <cell r="B279" t="str">
            <v/>
          </cell>
        </row>
        <row r="280">
          <cell r="B280" t="str">
            <v/>
          </cell>
        </row>
        <row r="281">
          <cell r="B281" t="str">
            <v/>
          </cell>
        </row>
        <row r="282">
          <cell r="B282" t="str">
            <v/>
          </cell>
        </row>
        <row r="283">
          <cell r="B283" t="str">
            <v/>
          </cell>
        </row>
        <row r="284">
          <cell r="B284" t="str">
            <v/>
          </cell>
        </row>
        <row r="285">
          <cell r="B285" t="str">
            <v/>
          </cell>
        </row>
        <row r="286">
          <cell r="B286" t="str">
            <v/>
          </cell>
        </row>
        <row r="287">
          <cell r="B287" t="str">
            <v/>
          </cell>
        </row>
        <row r="288">
          <cell r="B288" t="str">
            <v/>
          </cell>
        </row>
        <row r="289">
          <cell r="B289" t="str">
            <v/>
          </cell>
        </row>
        <row r="290">
          <cell r="B290" t="str">
            <v/>
          </cell>
        </row>
        <row r="291">
          <cell r="B291" t="str">
            <v/>
          </cell>
        </row>
        <row r="292">
          <cell r="B292" t="str">
            <v/>
          </cell>
        </row>
        <row r="293">
          <cell r="B293" t="str">
            <v/>
          </cell>
        </row>
        <row r="294">
          <cell r="B294" t="str">
            <v/>
          </cell>
        </row>
        <row r="295">
          <cell r="B295" t="str">
            <v/>
          </cell>
        </row>
        <row r="296">
          <cell r="B296" t="str">
            <v/>
          </cell>
        </row>
        <row r="297">
          <cell r="B297" t="str">
            <v/>
          </cell>
        </row>
        <row r="298">
          <cell r="B298" t="str">
            <v/>
          </cell>
        </row>
        <row r="299">
          <cell r="B299" t="str">
            <v/>
          </cell>
        </row>
        <row r="300">
          <cell r="B300" t="str">
            <v/>
          </cell>
        </row>
        <row r="301">
          <cell r="B301" t="str">
            <v/>
          </cell>
        </row>
        <row r="302">
          <cell r="B302" t="str">
            <v/>
          </cell>
        </row>
        <row r="303">
          <cell r="B303" t="str">
            <v/>
          </cell>
        </row>
        <row r="304">
          <cell r="B304" t="str">
            <v/>
          </cell>
        </row>
        <row r="305">
          <cell r="B305" t="str">
            <v/>
          </cell>
        </row>
        <row r="306">
          <cell r="B306" t="str">
            <v/>
          </cell>
        </row>
        <row r="307">
          <cell r="B307" t="str">
            <v/>
          </cell>
        </row>
        <row r="308">
          <cell r="B308" t="str">
            <v/>
          </cell>
        </row>
        <row r="309">
          <cell r="B309" t="str">
            <v/>
          </cell>
        </row>
        <row r="310">
          <cell r="B310" t="str">
            <v/>
          </cell>
        </row>
        <row r="311">
          <cell r="B311" t="str">
            <v/>
          </cell>
        </row>
        <row r="312">
          <cell r="B312" t="str">
            <v/>
          </cell>
        </row>
        <row r="313">
          <cell r="B313" t="str">
            <v/>
          </cell>
        </row>
        <row r="314">
          <cell r="B314" t="str">
            <v/>
          </cell>
        </row>
        <row r="315">
          <cell r="B315" t="str">
            <v/>
          </cell>
        </row>
        <row r="316">
          <cell r="B316" t="str">
            <v/>
          </cell>
        </row>
        <row r="317">
          <cell r="B317" t="str">
            <v/>
          </cell>
        </row>
        <row r="318">
          <cell r="B318" t="str">
            <v/>
          </cell>
        </row>
        <row r="319">
          <cell r="B319" t="str">
            <v/>
          </cell>
        </row>
        <row r="320">
          <cell r="B320" t="str">
            <v/>
          </cell>
        </row>
        <row r="321">
          <cell r="B321" t="str">
            <v/>
          </cell>
        </row>
        <row r="322">
          <cell r="B322" t="str">
            <v/>
          </cell>
        </row>
        <row r="323">
          <cell r="B323" t="str">
            <v/>
          </cell>
        </row>
        <row r="324">
          <cell r="B324" t="str">
            <v/>
          </cell>
        </row>
        <row r="325">
          <cell r="B325" t="str">
            <v/>
          </cell>
        </row>
        <row r="326">
          <cell r="B326" t="str">
            <v/>
          </cell>
        </row>
        <row r="327">
          <cell r="B327" t="str">
            <v/>
          </cell>
        </row>
        <row r="328">
          <cell r="B328" t="str">
            <v/>
          </cell>
        </row>
        <row r="329">
          <cell r="B329" t="str">
            <v/>
          </cell>
        </row>
        <row r="330">
          <cell r="B330" t="str">
            <v/>
          </cell>
        </row>
        <row r="331">
          <cell r="B331" t="str">
            <v/>
          </cell>
        </row>
        <row r="332">
          <cell r="B332" t="str">
            <v/>
          </cell>
        </row>
        <row r="333">
          <cell r="B333" t="str">
            <v/>
          </cell>
        </row>
        <row r="334">
          <cell r="B334" t="str">
            <v/>
          </cell>
        </row>
        <row r="335">
          <cell r="B335" t="str">
            <v/>
          </cell>
        </row>
        <row r="336">
          <cell r="B336" t="str">
            <v/>
          </cell>
        </row>
        <row r="337">
          <cell r="B337" t="str">
            <v/>
          </cell>
        </row>
        <row r="338">
          <cell r="B338" t="str">
            <v/>
          </cell>
        </row>
        <row r="339">
          <cell r="B339" t="str">
            <v/>
          </cell>
        </row>
        <row r="340">
          <cell r="B340" t="str">
            <v/>
          </cell>
        </row>
        <row r="341">
          <cell r="B341" t="str">
            <v/>
          </cell>
        </row>
        <row r="342">
          <cell r="B342" t="str">
            <v/>
          </cell>
        </row>
        <row r="343">
          <cell r="B343" t="str">
            <v/>
          </cell>
        </row>
        <row r="344">
          <cell r="B344" t="str">
            <v/>
          </cell>
        </row>
        <row r="345">
          <cell r="B345" t="str">
            <v/>
          </cell>
        </row>
        <row r="346">
          <cell r="B346" t="str">
            <v/>
          </cell>
        </row>
        <row r="347">
          <cell r="B347" t="str">
            <v/>
          </cell>
        </row>
        <row r="348">
          <cell r="B348" t="str">
            <v/>
          </cell>
        </row>
        <row r="349">
          <cell r="B349" t="str">
            <v/>
          </cell>
        </row>
        <row r="350">
          <cell r="B350" t="str">
            <v/>
          </cell>
        </row>
        <row r="351">
          <cell r="B351" t="str">
            <v/>
          </cell>
        </row>
        <row r="352">
          <cell r="B352" t="str">
            <v/>
          </cell>
        </row>
        <row r="353">
          <cell r="B353" t="str">
            <v/>
          </cell>
        </row>
        <row r="354">
          <cell r="B354" t="str">
            <v/>
          </cell>
        </row>
        <row r="355">
          <cell r="B355" t="str">
            <v/>
          </cell>
        </row>
        <row r="356">
          <cell r="B356" t="str">
            <v/>
          </cell>
        </row>
        <row r="357">
          <cell r="B357" t="str">
            <v/>
          </cell>
        </row>
        <row r="358">
          <cell r="B358" t="str">
            <v/>
          </cell>
        </row>
        <row r="359">
          <cell r="B359" t="str">
            <v/>
          </cell>
        </row>
        <row r="360">
          <cell r="B360" t="str">
            <v/>
          </cell>
        </row>
        <row r="361">
          <cell r="B361" t="str">
            <v/>
          </cell>
        </row>
        <row r="362">
          <cell r="B362" t="str">
            <v/>
          </cell>
        </row>
        <row r="363">
          <cell r="B363" t="str">
            <v/>
          </cell>
        </row>
        <row r="364">
          <cell r="B364" t="str">
            <v/>
          </cell>
        </row>
        <row r="365">
          <cell r="B365" t="str">
            <v/>
          </cell>
        </row>
        <row r="366">
          <cell r="B366" t="str">
            <v/>
          </cell>
        </row>
        <row r="367">
          <cell r="B367" t="str">
            <v/>
          </cell>
        </row>
        <row r="368">
          <cell r="B368" t="str">
            <v/>
          </cell>
        </row>
        <row r="369">
          <cell r="B369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1"/>
  <dimension ref="A1:CU59"/>
  <sheetViews>
    <sheetView tabSelected="1" zoomScale="85" zoomScaleNormal="85" workbookViewId="0">
      <pane xSplit="7" ySplit="1" topLeftCell="H2" activePane="bottomRight" state="frozen"/>
      <selection pane="topRight" activeCell="J1" sqref="J1"/>
      <selection pane="bottomLeft" activeCell="A9" sqref="A9"/>
      <selection pane="bottomRight" activeCell="C48" sqref="C48"/>
    </sheetView>
  </sheetViews>
  <sheetFormatPr baseColWidth="10" defaultColWidth="10.7109375" defaultRowHeight="15" x14ac:dyDescent="0.25"/>
  <cols>
    <col min="1" max="1" width="10.7109375" style="11"/>
    <col min="2" max="2" width="24.140625" style="11" bestFit="1" customWidth="1"/>
    <col min="3" max="3" width="57.85546875" style="11" bestFit="1" customWidth="1"/>
    <col min="4" max="4" width="10.7109375" style="12"/>
    <col min="5" max="5" width="14" style="11" customWidth="1"/>
    <col min="6" max="6" width="18" style="11" customWidth="1"/>
    <col min="7" max="7" width="18.28515625" style="39" bestFit="1" customWidth="1"/>
    <col min="8" max="10" width="10.7109375" style="39"/>
    <col min="11" max="11" width="11.42578125" style="39" bestFit="1" customWidth="1"/>
    <col min="12" max="15" width="10.7109375" style="39"/>
    <col min="16" max="16" width="11.42578125" style="39" bestFit="1" customWidth="1"/>
    <col min="17" max="17" width="10.7109375" style="39"/>
    <col min="18" max="18" width="11.42578125" style="39" bestFit="1" customWidth="1"/>
    <col min="19" max="19" width="10.7109375" style="39"/>
    <col min="20" max="20" width="11.42578125" style="39" bestFit="1" customWidth="1"/>
    <col min="21" max="27" width="10.7109375" style="39"/>
    <col min="28" max="39" width="11.42578125" style="39" bestFit="1" customWidth="1"/>
    <col min="40" max="40" width="12.28515625" style="39" bestFit="1" customWidth="1"/>
    <col min="41" max="55" width="10.7109375" style="39"/>
    <col min="56" max="98" width="10.7109375" style="11"/>
    <col min="99" max="99" width="12.28515625" style="11" bestFit="1" customWidth="1"/>
    <col min="100" max="100" width="12.85546875" style="11" bestFit="1" customWidth="1"/>
    <col min="101" max="16384" width="10.7109375" style="11"/>
  </cols>
  <sheetData>
    <row r="1" spans="1:99" x14ac:dyDescent="0.25">
      <c r="A1" s="43" t="s">
        <v>191</v>
      </c>
      <c r="B1" s="43" t="s">
        <v>192</v>
      </c>
      <c r="C1" s="43" t="s">
        <v>193</v>
      </c>
      <c r="D1" s="44" t="s">
        <v>184</v>
      </c>
      <c r="E1" s="16" t="s">
        <v>194</v>
      </c>
      <c r="F1" s="16" t="s">
        <v>195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46</v>
      </c>
      <c r="M1" s="17" t="s">
        <v>47</v>
      </c>
      <c r="N1" s="17" t="s">
        <v>48</v>
      </c>
      <c r="O1" s="17" t="s">
        <v>49</v>
      </c>
      <c r="P1" s="17" t="s">
        <v>50</v>
      </c>
      <c r="Q1" s="17" t="s">
        <v>51</v>
      </c>
      <c r="R1" s="17" t="s">
        <v>52</v>
      </c>
      <c r="S1" s="17" t="s">
        <v>53</v>
      </c>
      <c r="T1" s="17" t="s">
        <v>54</v>
      </c>
      <c r="U1" s="17" t="s">
        <v>55</v>
      </c>
      <c r="V1" s="17" t="s">
        <v>56</v>
      </c>
      <c r="W1" s="17" t="s">
        <v>57</v>
      </c>
      <c r="X1" s="17" t="s">
        <v>58</v>
      </c>
      <c r="Y1" s="17" t="s">
        <v>59</v>
      </c>
      <c r="Z1" s="17" t="s">
        <v>60</v>
      </c>
      <c r="AA1" s="17" t="s">
        <v>61</v>
      </c>
      <c r="AB1" s="17" t="s">
        <v>62</v>
      </c>
      <c r="AC1" s="17" t="s">
        <v>63</v>
      </c>
      <c r="AD1" s="17" t="s">
        <v>64</v>
      </c>
      <c r="AE1" s="17" t="s">
        <v>65</v>
      </c>
      <c r="AF1" s="17" t="s">
        <v>66</v>
      </c>
      <c r="AG1" s="17" t="s">
        <v>67</v>
      </c>
      <c r="AH1" s="17" t="s">
        <v>68</v>
      </c>
      <c r="AI1" s="17" t="s">
        <v>69</v>
      </c>
      <c r="AJ1" s="17" t="s">
        <v>70</v>
      </c>
      <c r="AK1" s="17" t="s">
        <v>71</v>
      </c>
      <c r="AL1" s="17" t="s">
        <v>72</v>
      </c>
      <c r="AM1" s="17" t="s">
        <v>73</v>
      </c>
      <c r="AN1" s="17" t="s">
        <v>74</v>
      </c>
      <c r="AO1" s="17" t="s">
        <v>75</v>
      </c>
      <c r="AP1" s="17" t="s">
        <v>76</v>
      </c>
      <c r="AQ1" s="17" t="s">
        <v>77</v>
      </c>
      <c r="AR1" s="17" t="s">
        <v>78</v>
      </c>
      <c r="AS1" s="17" t="s">
        <v>79</v>
      </c>
      <c r="AT1" s="17" t="s">
        <v>80</v>
      </c>
      <c r="AU1" s="17" t="s">
        <v>81</v>
      </c>
      <c r="AV1" s="17" t="s">
        <v>82</v>
      </c>
      <c r="AW1" s="17" t="s">
        <v>83</v>
      </c>
      <c r="AX1" s="17" t="s">
        <v>84</v>
      </c>
      <c r="AY1" s="17" t="s">
        <v>85</v>
      </c>
      <c r="AZ1" s="17" t="s">
        <v>86</v>
      </c>
      <c r="BA1" s="17" t="s">
        <v>87</v>
      </c>
      <c r="BB1" s="17" t="s">
        <v>88</v>
      </c>
      <c r="BC1" s="17" t="s">
        <v>89</v>
      </c>
      <c r="BD1" s="17" t="s">
        <v>96</v>
      </c>
      <c r="BE1" s="17" t="s">
        <v>97</v>
      </c>
      <c r="BF1" s="17" t="s">
        <v>98</v>
      </c>
      <c r="BG1" s="17" t="s">
        <v>99</v>
      </c>
      <c r="BH1" s="17" t="s">
        <v>100</v>
      </c>
      <c r="BI1" s="17" t="s">
        <v>101</v>
      </c>
      <c r="BJ1" s="17" t="s">
        <v>102</v>
      </c>
      <c r="BK1" s="17" t="s">
        <v>103</v>
      </c>
      <c r="BL1" s="17" t="s">
        <v>104</v>
      </c>
      <c r="BM1" s="17" t="s">
        <v>105</v>
      </c>
      <c r="BN1" s="17" t="s">
        <v>106</v>
      </c>
      <c r="BO1" s="17" t="s">
        <v>107</v>
      </c>
      <c r="BP1" s="17" t="s">
        <v>108</v>
      </c>
      <c r="BQ1" s="17" t="s">
        <v>109</v>
      </c>
      <c r="BR1" s="17" t="s">
        <v>110</v>
      </c>
      <c r="BS1" s="17" t="s">
        <v>111</v>
      </c>
      <c r="BT1" s="17" t="s">
        <v>112</v>
      </c>
      <c r="BU1" s="17" t="s">
        <v>113</v>
      </c>
      <c r="BV1" s="17" t="s">
        <v>114</v>
      </c>
      <c r="BW1" s="17" t="s">
        <v>115</v>
      </c>
      <c r="BX1" s="17" t="s">
        <v>116</v>
      </c>
      <c r="BY1" s="17" t="s">
        <v>117</v>
      </c>
      <c r="BZ1" s="17" t="s">
        <v>118</v>
      </c>
      <c r="CA1" s="17" t="s">
        <v>119</v>
      </c>
      <c r="CB1" s="17" t="s">
        <v>120</v>
      </c>
      <c r="CC1" s="17" t="s">
        <v>121</v>
      </c>
      <c r="CD1" s="17" t="s">
        <v>122</v>
      </c>
      <c r="CE1" s="17" t="s">
        <v>123</v>
      </c>
      <c r="CF1" s="17" t="s">
        <v>124</v>
      </c>
      <c r="CG1" s="17" t="s">
        <v>125</v>
      </c>
      <c r="CH1" s="17" t="s">
        <v>126</v>
      </c>
      <c r="CI1" s="17" t="s">
        <v>127</v>
      </c>
      <c r="CJ1" s="17" t="s">
        <v>128</v>
      </c>
      <c r="CK1" s="17" t="s">
        <v>129</v>
      </c>
      <c r="CL1" s="17" t="s">
        <v>130</v>
      </c>
      <c r="CM1" s="17" t="s">
        <v>131</v>
      </c>
      <c r="CN1" s="17" t="s">
        <v>132</v>
      </c>
      <c r="CO1" s="17" t="s">
        <v>133</v>
      </c>
      <c r="CP1" s="17" t="s">
        <v>134</v>
      </c>
      <c r="CQ1" s="17" t="s">
        <v>135</v>
      </c>
      <c r="CR1" s="17" t="s">
        <v>136</v>
      </c>
      <c r="CS1" s="17" t="s">
        <v>137</v>
      </c>
      <c r="CT1" s="17" t="s">
        <v>138</v>
      </c>
      <c r="CU1" s="17" t="s">
        <v>139</v>
      </c>
    </row>
    <row r="2" spans="1:99" x14ac:dyDescent="0.25">
      <c r="A2" s="11" t="s">
        <v>4</v>
      </c>
      <c r="B2" s="11" t="s">
        <v>159</v>
      </c>
      <c r="C2" s="11" t="s">
        <v>31</v>
      </c>
      <c r="D2" s="40">
        <v>1</v>
      </c>
      <c r="E2" s="18">
        <v>5800</v>
      </c>
      <c r="F2" s="19">
        <f>D2*E2</f>
        <v>5800</v>
      </c>
      <c r="G2" s="20">
        <v>-5800</v>
      </c>
      <c r="H2" s="21">
        <v>0</v>
      </c>
      <c r="I2" s="21">
        <f>G2</f>
        <v>-5800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1">
        <v>0</v>
      </c>
      <c r="AG2" s="21">
        <v>0</v>
      </c>
      <c r="AH2" s="21">
        <v>0</v>
      </c>
      <c r="AI2" s="21">
        <v>0</v>
      </c>
      <c r="AJ2" s="21">
        <v>0</v>
      </c>
      <c r="AK2" s="21">
        <v>0</v>
      </c>
      <c r="AL2" s="21">
        <v>0</v>
      </c>
      <c r="AM2" s="21">
        <v>0</v>
      </c>
      <c r="AN2" s="21">
        <v>0</v>
      </c>
      <c r="AO2" s="21">
        <v>0</v>
      </c>
      <c r="AP2" s="21">
        <v>0</v>
      </c>
      <c r="AQ2" s="21">
        <v>0</v>
      </c>
      <c r="AR2" s="21">
        <v>0</v>
      </c>
      <c r="AS2" s="21">
        <v>0</v>
      </c>
      <c r="AT2" s="21">
        <v>0</v>
      </c>
      <c r="AU2" s="21">
        <v>0</v>
      </c>
      <c r="AV2" s="21">
        <v>0</v>
      </c>
      <c r="AW2" s="21">
        <v>0</v>
      </c>
      <c r="AX2" s="21">
        <v>0</v>
      </c>
      <c r="AY2" s="21">
        <v>0</v>
      </c>
      <c r="AZ2" s="21">
        <v>0</v>
      </c>
      <c r="BA2" s="21">
        <v>0</v>
      </c>
      <c r="BB2" s="21">
        <v>0</v>
      </c>
      <c r="BC2" s="21">
        <v>0</v>
      </c>
      <c r="BD2" s="21">
        <v>0</v>
      </c>
      <c r="BE2" s="21">
        <v>0</v>
      </c>
      <c r="BF2" s="21">
        <v>0</v>
      </c>
      <c r="BG2" s="21">
        <v>0</v>
      </c>
      <c r="BH2" s="21">
        <v>0</v>
      </c>
      <c r="BI2" s="21">
        <v>0</v>
      </c>
      <c r="BJ2" s="21">
        <v>0</v>
      </c>
      <c r="BK2" s="21">
        <v>0</v>
      </c>
      <c r="BL2" s="21">
        <v>0</v>
      </c>
      <c r="BM2" s="21">
        <v>0</v>
      </c>
      <c r="BN2" s="21">
        <v>0</v>
      </c>
      <c r="BO2" s="21">
        <v>0</v>
      </c>
      <c r="BP2" s="21">
        <v>0</v>
      </c>
      <c r="BQ2" s="21">
        <v>0</v>
      </c>
      <c r="BR2" s="21">
        <v>0</v>
      </c>
      <c r="BS2" s="21">
        <v>0</v>
      </c>
      <c r="BT2" s="21">
        <v>0</v>
      </c>
      <c r="BU2" s="21">
        <v>0</v>
      </c>
      <c r="BV2" s="21">
        <v>0</v>
      </c>
      <c r="BW2" s="21">
        <v>0</v>
      </c>
      <c r="BX2" s="21">
        <v>0</v>
      </c>
      <c r="BY2" s="21">
        <v>0</v>
      </c>
      <c r="BZ2" s="21">
        <v>0</v>
      </c>
      <c r="CA2" s="21">
        <v>0</v>
      </c>
      <c r="CB2" s="21">
        <v>0</v>
      </c>
      <c r="CC2" s="21">
        <v>0</v>
      </c>
      <c r="CD2" s="21">
        <v>0</v>
      </c>
      <c r="CE2" s="21">
        <v>0</v>
      </c>
      <c r="CF2" s="21">
        <v>0</v>
      </c>
      <c r="CG2" s="21">
        <v>0</v>
      </c>
      <c r="CH2" s="21">
        <v>0</v>
      </c>
      <c r="CI2" s="21">
        <v>0</v>
      </c>
      <c r="CJ2" s="21">
        <v>0</v>
      </c>
      <c r="CK2" s="21">
        <v>0</v>
      </c>
      <c r="CL2" s="21">
        <v>0</v>
      </c>
      <c r="CM2" s="21">
        <v>0</v>
      </c>
      <c r="CN2" s="21">
        <v>0</v>
      </c>
      <c r="CO2" s="21">
        <v>0</v>
      </c>
      <c r="CP2" s="21">
        <v>0</v>
      </c>
      <c r="CQ2" s="21">
        <v>0</v>
      </c>
      <c r="CR2" s="21">
        <v>0</v>
      </c>
      <c r="CS2" s="21">
        <v>0</v>
      </c>
      <c r="CT2" s="21">
        <v>0</v>
      </c>
      <c r="CU2" s="21">
        <v>0</v>
      </c>
    </row>
    <row r="3" spans="1:99" x14ac:dyDescent="0.25">
      <c r="A3" s="11" t="s">
        <v>4</v>
      </c>
      <c r="B3" s="11" t="s">
        <v>159</v>
      </c>
      <c r="C3" s="11" t="s">
        <v>18</v>
      </c>
      <c r="D3" s="41">
        <v>1</v>
      </c>
      <c r="E3" s="19">
        <v>1200</v>
      </c>
      <c r="F3" s="19">
        <f>D3*E3</f>
        <v>1200</v>
      </c>
      <c r="G3" s="13">
        <v>-1200</v>
      </c>
      <c r="H3" s="14">
        <v>0</v>
      </c>
      <c r="I3" s="14">
        <v>0</v>
      </c>
      <c r="J3" s="14">
        <v>0</v>
      </c>
      <c r="K3" s="14">
        <f>G3</f>
        <v>-1200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14">
        <v>0</v>
      </c>
      <c r="BU3" s="14">
        <v>0</v>
      </c>
      <c r="BV3" s="14">
        <v>0</v>
      </c>
      <c r="BW3" s="14">
        <v>0</v>
      </c>
      <c r="BX3" s="14">
        <v>0</v>
      </c>
      <c r="BY3" s="14">
        <v>0</v>
      </c>
      <c r="BZ3" s="14">
        <v>0</v>
      </c>
      <c r="CA3" s="14">
        <v>0</v>
      </c>
      <c r="CB3" s="14">
        <v>0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H3" s="14">
        <v>0</v>
      </c>
      <c r="CI3" s="14">
        <v>0</v>
      </c>
      <c r="CJ3" s="14">
        <v>0</v>
      </c>
      <c r="CK3" s="14">
        <v>0</v>
      </c>
      <c r="CL3" s="14">
        <v>0</v>
      </c>
      <c r="CM3" s="14">
        <v>0</v>
      </c>
      <c r="CN3" s="14">
        <v>0</v>
      </c>
      <c r="CO3" s="14">
        <v>0</v>
      </c>
      <c r="CP3" s="14">
        <v>0</v>
      </c>
      <c r="CQ3" s="14">
        <v>0</v>
      </c>
      <c r="CR3" s="14">
        <v>0</v>
      </c>
      <c r="CS3" s="14">
        <v>0</v>
      </c>
      <c r="CT3" s="14">
        <v>0</v>
      </c>
      <c r="CU3" s="14">
        <v>0</v>
      </c>
    </row>
    <row r="4" spans="1:99" x14ac:dyDescent="0.25">
      <c r="A4" s="11" t="s">
        <v>4</v>
      </c>
      <c r="B4" s="11" t="s">
        <v>159</v>
      </c>
      <c r="C4" s="11" t="s">
        <v>19</v>
      </c>
      <c r="D4" s="41">
        <v>1</v>
      </c>
      <c r="E4" s="19">
        <v>4500</v>
      </c>
      <c r="F4" s="19">
        <f>E4*D4</f>
        <v>4500</v>
      </c>
      <c r="G4" s="13">
        <v>-4500</v>
      </c>
      <c r="H4" s="14">
        <v>0</v>
      </c>
      <c r="I4" s="14">
        <v>0</v>
      </c>
      <c r="J4" s="14">
        <v>0</v>
      </c>
      <c r="K4" s="14">
        <f>G4</f>
        <v>-4500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14">
        <v>0</v>
      </c>
      <c r="BV4" s="14">
        <v>0</v>
      </c>
      <c r="BW4" s="14">
        <v>0</v>
      </c>
      <c r="BX4" s="14">
        <v>0</v>
      </c>
      <c r="BY4" s="14">
        <v>0</v>
      </c>
      <c r="BZ4" s="14">
        <v>0</v>
      </c>
      <c r="CA4" s="14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  <c r="CN4" s="14">
        <v>0</v>
      </c>
      <c r="CO4" s="14">
        <v>0</v>
      </c>
      <c r="CP4" s="14">
        <v>0</v>
      </c>
      <c r="CQ4" s="14">
        <v>0</v>
      </c>
      <c r="CR4" s="14">
        <v>0</v>
      </c>
      <c r="CS4" s="14">
        <v>0</v>
      </c>
      <c r="CT4" s="14">
        <v>0</v>
      </c>
      <c r="CU4" s="14">
        <v>0</v>
      </c>
    </row>
    <row r="5" spans="1:99" x14ac:dyDescent="0.25">
      <c r="A5" s="11" t="s">
        <v>4</v>
      </c>
      <c r="B5" s="11" t="s">
        <v>159</v>
      </c>
      <c r="C5" s="11" t="s">
        <v>9</v>
      </c>
      <c r="D5" s="41">
        <v>0.21</v>
      </c>
      <c r="E5" s="19">
        <f>F3+F4+F2</f>
        <v>11500</v>
      </c>
      <c r="F5" s="19">
        <f>D5*E5</f>
        <v>2415</v>
      </c>
      <c r="G5" s="13">
        <f>(G2+G3+G4)*0.21</f>
        <v>-2415</v>
      </c>
      <c r="H5" s="14">
        <f>(H2+H3+H4)*0.21</f>
        <v>0</v>
      </c>
      <c r="I5" s="14">
        <f>(I2+I3+I4)*0.21</f>
        <v>-1218</v>
      </c>
      <c r="J5" s="14">
        <v>0</v>
      </c>
      <c r="K5" s="14">
        <f>(K2+K3+K4)*0.21</f>
        <v>-1197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</row>
    <row r="6" spans="1:99" x14ac:dyDescent="0.25">
      <c r="A6" s="11" t="s">
        <v>4</v>
      </c>
      <c r="B6" s="11" t="s">
        <v>160</v>
      </c>
      <c r="C6" s="11" t="s">
        <v>15</v>
      </c>
      <c r="D6" s="12">
        <v>0</v>
      </c>
      <c r="E6" s="11">
        <f>F16</f>
        <v>0</v>
      </c>
      <c r="F6" s="11">
        <f>E6*D6</f>
        <v>0</v>
      </c>
      <c r="G6" s="20">
        <f t="shared" ref="G6:G37" si="0">-F6</f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f>G6</f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1">
        <v>0</v>
      </c>
      <c r="BA6" s="21">
        <v>0</v>
      </c>
      <c r="BB6" s="21">
        <v>0</v>
      </c>
      <c r="BC6" s="21">
        <v>0</v>
      </c>
      <c r="BD6" s="21">
        <v>0</v>
      </c>
      <c r="BE6" s="21">
        <v>0</v>
      </c>
      <c r="BF6" s="21">
        <v>0</v>
      </c>
      <c r="BG6" s="21">
        <v>0</v>
      </c>
      <c r="BH6" s="21">
        <v>0</v>
      </c>
      <c r="BI6" s="21">
        <v>0</v>
      </c>
      <c r="BJ6" s="21">
        <v>0</v>
      </c>
      <c r="BK6" s="21">
        <v>0</v>
      </c>
      <c r="BL6" s="21">
        <v>0</v>
      </c>
      <c r="BM6" s="21">
        <v>0</v>
      </c>
      <c r="BN6" s="21">
        <v>0</v>
      </c>
      <c r="BO6" s="21">
        <v>0</v>
      </c>
      <c r="BP6" s="21">
        <v>0</v>
      </c>
      <c r="BQ6" s="21">
        <v>0</v>
      </c>
      <c r="BR6" s="21">
        <v>0</v>
      </c>
      <c r="BS6" s="21">
        <v>0</v>
      </c>
      <c r="BT6" s="21">
        <v>0</v>
      </c>
      <c r="BU6" s="21">
        <v>0</v>
      </c>
      <c r="BV6" s="21">
        <v>0</v>
      </c>
      <c r="BW6" s="21">
        <v>0</v>
      </c>
      <c r="BX6" s="21">
        <v>0</v>
      </c>
      <c r="BY6" s="21">
        <v>0</v>
      </c>
      <c r="BZ6" s="21">
        <v>0</v>
      </c>
      <c r="CA6" s="21">
        <v>0</v>
      </c>
      <c r="CB6" s="21">
        <v>0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0</v>
      </c>
      <c r="CI6" s="21">
        <v>0</v>
      </c>
      <c r="CJ6" s="21">
        <v>0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</row>
    <row r="7" spans="1:99" x14ac:dyDescent="0.25">
      <c r="A7" s="11" t="s">
        <v>4</v>
      </c>
      <c r="B7" s="11" t="s">
        <v>160</v>
      </c>
      <c r="C7" s="11" t="s">
        <v>16</v>
      </c>
      <c r="D7" s="12">
        <v>0</v>
      </c>
      <c r="E7" s="11">
        <f>F16</f>
        <v>0</v>
      </c>
      <c r="F7" s="11">
        <f>E7*D7</f>
        <v>0</v>
      </c>
      <c r="G7" s="13">
        <f t="shared" si="0"/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f>G7*0.3</f>
        <v>0</v>
      </c>
      <c r="Y7" s="14">
        <f>0.7*G7</f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</row>
    <row r="8" spans="1:99" x14ac:dyDescent="0.25">
      <c r="A8" s="11" t="s">
        <v>4</v>
      </c>
      <c r="B8" s="11" t="s">
        <v>160</v>
      </c>
      <c r="C8" s="11" t="s">
        <v>161</v>
      </c>
      <c r="D8" s="12">
        <v>0</v>
      </c>
      <c r="E8" s="11">
        <f>F16</f>
        <v>0</v>
      </c>
      <c r="F8" s="11">
        <f t="shared" ref="F8:F19" si="1">D8*E8</f>
        <v>0</v>
      </c>
      <c r="G8" s="13">
        <f t="shared" si="0"/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f>G8*0.5</f>
        <v>0</v>
      </c>
      <c r="Y8" s="14">
        <f>G8*0.5</f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</row>
    <row r="9" spans="1:99" x14ac:dyDescent="0.25">
      <c r="A9" s="11" t="s">
        <v>4</v>
      </c>
      <c r="B9" s="11" t="s">
        <v>160</v>
      </c>
      <c r="C9" s="11" t="s">
        <v>13</v>
      </c>
      <c r="D9" s="12">
        <v>5.6099999999999997E-2</v>
      </c>
      <c r="E9" s="11">
        <f>F18+F19</f>
        <v>1608120</v>
      </c>
      <c r="F9" s="11">
        <f t="shared" si="1"/>
        <v>90215.531999999992</v>
      </c>
      <c r="G9" s="13">
        <f t="shared" si="0"/>
        <v>-90215.531999999992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f>G9*0.4</f>
        <v>-36086.212800000001</v>
      </c>
      <c r="N9" s="14">
        <v>0</v>
      </c>
      <c r="O9" s="14">
        <v>0</v>
      </c>
      <c r="P9" s="14">
        <f>G9*0.6</f>
        <v>-54129.319199999991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</row>
    <row r="10" spans="1:99" x14ac:dyDescent="0.25">
      <c r="A10" s="11" t="s">
        <v>4</v>
      </c>
      <c r="B10" s="11" t="s">
        <v>160</v>
      </c>
      <c r="C10" s="11" t="s">
        <v>14</v>
      </c>
      <c r="D10" s="12">
        <v>4.7699999999999999E-2</v>
      </c>
      <c r="E10" s="11">
        <f>F18+F19</f>
        <v>1608120</v>
      </c>
      <c r="F10" s="11">
        <f t="shared" si="1"/>
        <v>76707.323999999993</v>
      </c>
      <c r="G10" s="13">
        <f t="shared" si="0"/>
        <v>-76707.323999999993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f>$G10/14</f>
        <v>-5479.0945714285708</v>
      </c>
      <c r="AA10" s="14">
        <f t="shared" ref="AA10:AM10" si="2">$G10/14</f>
        <v>-5479.0945714285708</v>
      </c>
      <c r="AB10" s="14">
        <f t="shared" si="2"/>
        <v>-5479.0945714285708</v>
      </c>
      <c r="AC10" s="14">
        <f t="shared" si="2"/>
        <v>-5479.0945714285708</v>
      </c>
      <c r="AD10" s="14">
        <f t="shared" si="2"/>
        <v>-5479.0945714285708</v>
      </c>
      <c r="AE10" s="14">
        <f t="shared" si="2"/>
        <v>-5479.0945714285708</v>
      </c>
      <c r="AF10" s="14">
        <f t="shared" si="2"/>
        <v>-5479.0945714285708</v>
      </c>
      <c r="AG10" s="14">
        <f t="shared" si="2"/>
        <v>-5479.0945714285708</v>
      </c>
      <c r="AH10" s="14">
        <f t="shared" si="2"/>
        <v>-5479.0945714285708</v>
      </c>
      <c r="AI10" s="14">
        <f t="shared" si="2"/>
        <v>-5479.0945714285708</v>
      </c>
      <c r="AJ10" s="14">
        <f t="shared" si="2"/>
        <v>-5479.0945714285708</v>
      </c>
      <c r="AK10" s="14">
        <f t="shared" si="2"/>
        <v>-5479.0945714285708</v>
      </c>
      <c r="AL10" s="14">
        <f t="shared" si="2"/>
        <v>-5479.0945714285708</v>
      </c>
      <c r="AM10" s="14">
        <f t="shared" si="2"/>
        <v>-5479.0945714285708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</row>
    <row r="11" spans="1:99" x14ac:dyDescent="0.25">
      <c r="A11" s="11" t="s">
        <v>4</v>
      </c>
      <c r="B11" s="11" t="s">
        <v>160</v>
      </c>
      <c r="C11" s="11" t="s">
        <v>162</v>
      </c>
      <c r="D11" s="12">
        <v>7.0000000000000001E-3</v>
      </c>
      <c r="E11" s="11">
        <f>F18+F19</f>
        <v>1608120</v>
      </c>
      <c r="F11" s="11">
        <f t="shared" si="1"/>
        <v>11256.84</v>
      </c>
      <c r="G11" s="13">
        <f t="shared" si="0"/>
        <v>-11256.84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f>$G$11/14</f>
        <v>-804.06000000000006</v>
      </c>
      <c r="AA11" s="14">
        <f t="shared" ref="AA11:AM11" si="3">$G$11/14</f>
        <v>-804.06000000000006</v>
      </c>
      <c r="AB11" s="14">
        <f t="shared" si="3"/>
        <v>-804.06000000000006</v>
      </c>
      <c r="AC11" s="14">
        <f t="shared" si="3"/>
        <v>-804.06000000000006</v>
      </c>
      <c r="AD11" s="14">
        <f t="shared" si="3"/>
        <v>-804.06000000000006</v>
      </c>
      <c r="AE11" s="14">
        <f t="shared" si="3"/>
        <v>-804.06000000000006</v>
      </c>
      <c r="AF11" s="14">
        <f t="shared" si="3"/>
        <v>-804.06000000000006</v>
      </c>
      <c r="AG11" s="14">
        <f t="shared" si="3"/>
        <v>-804.06000000000006</v>
      </c>
      <c r="AH11" s="14">
        <f t="shared" si="3"/>
        <v>-804.06000000000006</v>
      </c>
      <c r="AI11" s="14">
        <f t="shared" si="3"/>
        <v>-804.06000000000006</v>
      </c>
      <c r="AJ11" s="14">
        <f t="shared" si="3"/>
        <v>-804.06000000000006</v>
      </c>
      <c r="AK11" s="14">
        <f t="shared" si="3"/>
        <v>-804.06000000000006</v>
      </c>
      <c r="AL11" s="14">
        <f t="shared" si="3"/>
        <v>-804.06000000000006</v>
      </c>
      <c r="AM11" s="14">
        <f t="shared" si="3"/>
        <v>-804.06000000000006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</row>
    <row r="12" spans="1:99" x14ac:dyDescent="0.25">
      <c r="A12" s="11" t="s">
        <v>4</v>
      </c>
      <c r="B12" s="11" t="s">
        <v>160</v>
      </c>
      <c r="C12" s="11" t="s">
        <v>140</v>
      </c>
      <c r="D12" s="12">
        <v>0.02</v>
      </c>
      <c r="E12" s="11">
        <f>F19+F18+F16</f>
        <v>1608120</v>
      </c>
      <c r="F12" s="11">
        <f t="shared" si="1"/>
        <v>32162.400000000001</v>
      </c>
      <c r="G12" s="13">
        <f t="shared" si="0"/>
        <v>-32162.400000000001</v>
      </c>
      <c r="H12" s="14">
        <v>0</v>
      </c>
      <c r="I12" s="14">
        <v>0</v>
      </c>
      <c r="J12" s="14">
        <v>0</v>
      </c>
      <c r="K12" s="14">
        <f>G12*0.05</f>
        <v>-1608.1200000000001</v>
      </c>
      <c r="L12" s="14">
        <v>0</v>
      </c>
      <c r="M12" s="14">
        <v>0</v>
      </c>
      <c r="N12" s="14">
        <v>0</v>
      </c>
      <c r="O12" s="14">
        <v>0</v>
      </c>
      <c r="P12" s="14">
        <f>G12*0.15</f>
        <v>-4824.3599999999997</v>
      </c>
      <c r="Q12" s="14">
        <v>0</v>
      </c>
      <c r="R12" s="14">
        <f>G12*0.05</f>
        <v>-1608.1200000000001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f t="shared" ref="X12:AL12" si="4">$G$12*0.04</f>
        <v>-1286.4960000000001</v>
      </c>
      <c r="Y12" s="14">
        <f t="shared" si="4"/>
        <v>-1286.4960000000001</v>
      </c>
      <c r="Z12" s="14">
        <f t="shared" si="4"/>
        <v>-1286.4960000000001</v>
      </c>
      <c r="AA12" s="14">
        <f t="shared" si="4"/>
        <v>-1286.4960000000001</v>
      </c>
      <c r="AB12" s="14">
        <f t="shared" si="4"/>
        <v>-1286.4960000000001</v>
      </c>
      <c r="AC12" s="14">
        <f t="shared" si="4"/>
        <v>-1286.4960000000001</v>
      </c>
      <c r="AD12" s="14">
        <f t="shared" si="4"/>
        <v>-1286.4960000000001</v>
      </c>
      <c r="AE12" s="14">
        <f t="shared" si="4"/>
        <v>-1286.4960000000001</v>
      </c>
      <c r="AF12" s="14">
        <f t="shared" si="4"/>
        <v>-1286.4960000000001</v>
      </c>
      <c r="AG12" s="14">
        <f t="shared" si="4"/>
        <v>-1286.4960000000001</v>
      </c>
      <c r="AH12" s="14">
        <f t="shared" si="4"/>
        <v>-1286.4960000000001</v>
      </c>
      <c r="AI12" s="14">
        <f t="shared" si="4"/>
        <v>-1286.4960000000001</v>
      </c>
      <c r="AJ12" s="14">
        <f t="shared" si="4"/>
        <v>-1286.4960000000001</v>
      </c>
      <c r="AK12" s="14">
        <f t="shared" si="4"/>
        <v>-1286.4960000000001</v>
      </c>
      <c r="AL12" s="14">
        <f t="shared" si="4"/>
        <v>-1286.4960000000001</v>
      </c>
      <c r="AM12" s="14">
        <f>$G$12*0.04</f>
        <v>-1286.4960000000001</v>
      </c>
      <c r="AN12" s="14">
        <f>G12*0.11</f>
        <v>-3537.864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</row>
    <row r="13" spans="1:99" x14ac:dyDescent="0.25">
      <c r="A13" s="11" t="s">
        <v>4</v>
      </c>
      <c r="B13" s="11" t="s">
        <v>160</v>
      </c>
      <c r="C13" s="11" t="s">
        <v>163</v>
      </c>
      <c r="D13" s="12">
        <v>0.21</v>
      </c>
      <c r="E13" s="11">
        <f>F6+F7+F8</f>
        <v>0</v>
      </c>
      <c r="F13" s="11">
        <f t="shared" si="1"/>
        <v>0</v>
      </c>
      <c r="G13" s="13">
        <f t="shared" si="0"/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f>SUM(M6:M8)*0.21</f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f>(X7+X8)*0.21</f>
        <v>0</v>
      </c>
      <c r="Y13" s="14">
        <f>(Y7+Y8)*0.21</f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</row>
    <row r="14" spans="1:99" x14ac:dyDescent="0.25">
      <c r="A14" s="11" t="s">
        <v>4</v>
      </c>
      <c r="B14" s="11" t="s">
        <v>160</v>
      </c>
      <c r="C14" s="11" t="s">
        <v>164</v>
      </c>
      <c r="D14" s="12">
        <v>0.21</v>
      </c>
      <c r="E14" s="11">
        <f>F9+F10+F11+F12</f>
        <v>210342.09599999996</v>
      </c>
      <c r="F14" s="11">
        <f t="shared" si="1"/>
        <v>44171.840159999992</v>
      </c>
      <c r="G14" s="13">
        <f t="shared" si="0"/>
        <v>-44171.840159999992</v>
      </c>
      <c r="H14" s="14">
        <v>0</v>
      </c>
      <c r="I14" s="14">
        <v>0</v>
      </c>
      <c r="J14" s="14">
        <v>0</v>
      </c>
      <c r="K14" s="14">
        <f>SUM(K9:K12)*0.21</f>
        <v>-337.70519999999999</v>
      </c>
      <c r="L14" s="14">
        <v>0</v>
      </c>
      <c r="M14" s="14">
        <f>SUM(M9:M12)*0.21</f>
        <v>-7578.1046880000004</v>
      </c>
      <c r="N14" s="14">
        <v>0</v>
      </c>
      <c r="O14" s="14">
        <v>0</v>
      </c>
      <c r="P14" s="14">
        <f>SUM(P9:P12)*0.21</f>
        <v>-12380.272631999998</v>
      </c>
      <c r="Q14" s="14">
        <v>0</v>
      </c>
      <c r="R14" s="14">
        <f>SUM(R9:R12)*0.21</f>
        <v>-337.70519999999999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f t="shared" ref="X14:AN14" si="5">SUM(X9:X12)*0.21</f>
        <v>-270.16416000000004</v>
      </c>
      <c r="Y14" s="14">
        <f t="shared" si="5"/>
        <v>-270.16416000000004</v>
      </c>
      <c r="Z14" s="14">
        <f t="shared" si="5"/>
        <v>-1589.62662</v>
      </c>
      <c r="AA14" s="14">
        <f t="shared" si="5"/>
        <v>-1589.62662</v>
      </c>
      <c r="AB14" s="14">
        <f t="shared" si="5"/>
        <v>-1589.62662</v>
      </c>
      <c r="AC14" s="14">
        <f t="shared" si="5"/>
        <v>-1589.62662</v>
      </c>
      <c r="AD14" s="14">
        <f t="shared" si="5"/>
        <v>-1589.62662</v>
      </c>
      <c r="AE14" s="14">
        <f t="shared" si="5"/>
        <v>-1589.62662</v>
      </c>
      <c r="AF14" s="14">
        <f t="shared" si="5"/>
        <v>-1589.62662</v>
      </c>
      <c r="AG14" s="14">
        <f t="shared" si="5"/>
        <v>-1589.62662</v>
      </c>
      <c r="AH14" s="14">
        <f t="shared" si="5"/>
        <v>-1589.62662</v>
      </c>
      <c r="AI14" s="14">
        <f t="shared" si="5"/>
        <v>-1589.62662</v>
      </c>
      <c r="AJ14" s="14">
        <f t="shared" si="5"/>
        <v>-1589.62662</v>
      </c>
      <c r="AK14" s="14">
        <f t="shared" si="5"/>
        <v>-1589.62662</v>
      </c>
      <c r="AL14" s="14">
        <f t="shared" si="5"/>
        <v>-1589.62662</v>
      </c>
      <c r="AM14" s="14">
        <f t="shared" si="5"/>
        <v>-1589.62662</v>
      </c>
      <c r="AN14" s="14">
        <f t="shared" si="5"/>
        <v>-742.95143999999993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</row>
    <row r="15" spans="1:99" x14ac:dyDescent="0.25">
      <c r="A15" s="11" t="s">
        <v>4</v>
      </c>
      <c r="B15" s="11" t="s">
        <v>160</v>
      </c>
      <c r="C15" s="11" t="s">
        <v>20</v>
      </c>
      <c r="D15" s="12">
        <v>3.0000000000000001E-3</v>
      </c>
      <c r="E15" s="11">
        <f>F18+F19</f>
        <v>1608120</v>
      </c>
      <c r="F15" s="11">
        <f t="shared" si="1"/>
        <v>4824.3599999999997</v>
      </c>
      <c r="G15" s="13">
        <f t="shared" si="0"/>
        <v>-4824.3599999999997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f>$G$15/14</f>
        <v>-344.59714285714284</v>
      </c>
      <c r="AA15" s="14">
        <f t="shared" ref="AA15:AM15" si="6">$G$15/14</f>
        <v>-344.59714285714284</v>
      </c>
      <c r="AB15" s="14">
        <f t="shared" si="6"/>
        <v>-344.59714285714284</v>
      </c>
      <c r="AC15" s="14">
        <f t="shared" si="6"/>
        <v>-344.59714285714284</v>
      </c>
      <c r="AD15" s="14">
        <f t="shared" si="6"/>
        <v>-344.59714285714284</v>
      </c>
      <c r="AE15" s="14">
        <f t="shared" si="6"/>
        <v>-344.59714285714284</v>
      </c>
      <c r="AF15" s="14">
        <f t="shared" si="6"/>
        <v>-344.59714285714284</v>
      </c>
      <c r="AG15" s="14">
        <f t="shared" si="6"/>
        <v>-344.59714285714284</v>
      </c>
      <c r="AH15" s="14">
        <f t="shared" si="6"/>
        <v>-344.59714285714284</v>
      </c>
      <c r="AI15" s="14">
        <f t="shared" si="6"/>
        <v>-344.59714285714284</v>
      </c>
      <c r="AJ15" s="14">
        <f t="shared" si="6"/>
        <v>-344.59714285714284</v>
      </c>
      <c r="AK15" s="14">
        <f t="shared" si="6"/>
        <v>-344.59714285714284</v>
      </c>
      <c r="AL15" s="14">
        <f t="shared" si="6"/>
        <v>-344.59714285714284</v>
      </c>
      <c r="AM15" s="14">
        <f t="shared" si="6"/>
        <v>-344.59714285714284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</row>
    <row r="16" spans="1:99" x14ac:dyDescent="0.25">
      <c r="A16" s="11" t="s">
        <v>4</v>
      </c>
      <c r="B16" s="11" t="s">
        <v>165</v>
      </c>
      <c r="C16" s="11" t="s">
        <v>8</v>
      </c>
      <c r="D16" s="12">
        <v>0</v>
      </c>
      <c r="E16" s="11">
        <v>21</v>
      </c>
      <c r="F16" s="11">
        <f t="shared" si="1"/>
        <v>0</v>
      </c>
      <c r="G16" s="13">
        <f t="shared" si="0"/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f>G16*0.4</f>
        <v>0</v>
      </c>
      <c r="Y16" s="14">
        <f>G16*0.6</f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</row>
    <row r="17" spans="1:99" x14ac:dyDescent="0.25">
      <c r="A17" s="11" t="s">
        <v>4</v>
      </c>
      <c r="B17" s="11" t="s">
        <v>165</v>
      </c>
      <c r="C17" s="11" t="s">
        <v>12</v>
      </c>
      <c r="D17" s="41">
        <v>0</v>
      </c>
      <c r="E17" s="11">
        <v>5.75</v>
      </c>
      <c r="F17" s="11">
        <f t="shared" si="1"/>
        <v>0</v>
      </c>
      <c r="G17" s="13">
        <f t="shared" si="0"/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f>G17*0.4</f>
        <v>0</v>
      </c>
      <c r="Y17" s="14">
        <f>G17*0.6</f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</row>
    <row r="18" spans="1:99" x14ac:dyDescent="0.25">
      <c r="A18" s="11" t="s">
        <v>4</v>
      </c>
      <c r="B18" s="11" t="s">
        <v>165</v>
      </c>
      <c r="C18" s="11" t="s">
        <v>2</v>
      </c>
      <c r="D18" s="12">
        <v>0</v>
      </c>
      <c r="E18" s="11">
        <v>725.71</v>
      </c>
      <c r="F18" s="11">
        <f t="shared" si="1"/>
        <v>0</v>
      </c>
      <c r="G18" s="13">
        <f t="shared" si="0"/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f>G18*0.4</f>
        <v>0</v>
      </c>
      <c r="Y18" s="14">
        <f>G18*0.6</f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</row>
    <row r="19" spans="1:99" x14ac:dyDescent="0.25">
      <c r="A19" s="11" t="s">
        <v>4</v>
      </c>
      <c r="B19" s="11" t="s">
        <v>165</v>
      </c>
      <c r="C19" s="11" t="s">
        <v>40</v>
      </c>
      <c r="D19" s="12">
        <v>1</v>
      </c>
      <c r="E19" s="11">
        <v>1608120</v>
      </c>
      <c r="F19" s="11">
        <f t="shared" si="1"/>
        <v>1608120</v>
      </c>
      <c r="G19" s="13">
        <f t="shared" si="0"/>
        <v>-1608120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f>'evolucion certificaciones nuevo'!E28</f>
        <v>-9648.7199999999993</v>
      </c>
      <c r="AA19" s="14">
        <f>'evolucion certificaciones nuevo'!F28</f>
        <v>-25729.920000000002</v>
      </c>
      <c r="AB19" s="14">
        <f>'evolucion certificaciones nuevo'!G28</f>
        <v>-64324.800000000003</v>
      </c>
      <c r="AC19" s="14">
        <f>'evolucion certificaciones nuevo'!H28</f>
        <v>-60304.5</v>
      </c>
      <c r="AD19" s="14">
        <f>'evolucion certificaciones nuevo'!I28</f>
        <v>-72365.399999999994</v>
      </c>
      <c r="AE19" s="14">
        <f>'evolucion certificaciones nuevo'!J28</f>
        <v>-151967.34</v>
      </c>
      <c r="AF19" s="14">
        <f>'evolucion certificaciones nuevo'!K28</f>
        <v>-188954.09999999998</v>
      </c>
      <c r="AG19" s="14">
        <f>'evolucion certificaciones nuevo'!L28</f>
        <v>-128649.60000000001</v>
      </c>
      <c r="AH19" s="14">
        <f>'evolucion certificaciones nuevo'!M28</f>
        <v>-213879.96000000002</v>
      </c>
      <c r="AI19" s="14">
        <f>'evolucion certificaciones nuevo'!N28</f>
        <v>-191366.28</v>
      </c>
      <c r="AJ19" s="14">
        <f>'evolucion certificaciones nuevo'!O28</f>
        <v>-238805.81999999998</v>
      </c>
      <c r="AK19" s="14">
        <f>'evolucion certificaciones nuevo'!P28</f>
        <v>-94075.02</v>
      </c>
      <c r="AL19" s="14">
        <f>'evolucion certificaciones nuevo'!Q28</f>
        <v>-168048.53999999998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</row>
    <row r="20" spans="1:99" x14ac:dyDescent="0.25">
      <c r="A20" s="11" t="s">
        <v>4</v>
      </c>
      <c r="B20" s="11" t="s">
        <v>165</v>
      </c>
      <c r="C20" s="11" t="s">
        <v>11</v>
      </c>
      <c r="D20" s="12">
        <v>0.21</v>
      </c>
      <c r="E20" s="11">
        <f>F16</f>
        <v>0</v>
      </c>
      <c r="F20" s="11">
        <f>E20*D20</f>
        <v>0</v>
      </c>
      <c r="G20" s="13">
        <f t="shared" si="0"/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f>X16*0.21</f>
        <v>0</v>
      </c>
      <c r="Y20" s="14">
        <f>Y16*0.21</f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</row>
    <row r="21" spans="1:99" x14ac:dyDescent="0.25">
      <c r="A21" s="11" t="s">
        <v>4</v>
      </c>
      <c r="B21" s="11" t="s">
        <v>165</v>
      </c>
      <c r="C21" s="11" t="s">
        <v>10</v>
      </c>
      <c r="D21" s="12">
        <v>0.1</v>
      </c>
      <c r="E21" s="11">
        <f>F18+F19</f>
        <v>1608120</v>
      </c>
      <c r="F21" s="11">
        <f>E21*D21</f>
        <v>160812</v>
      </c>
      <c r="G21" s="13">
        <f t="shared" si="0"/>
        <v>-160812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f t="shared" ref="Z21:AM21" si="7">(Z18+Z19)*0.1</f>
        <v>-964.87199999999996</v>
      </c>
      <c r="AA21" s="14">
        <f t="shared" si="7"/>
        <v>-2572.9920000000002</v>
      </c>
      <c r="AB21" s="14">
        <f t="shared" si="7"/>
        <v>-6432.4800000000005</v>
      </c>
      <c r="AC21" s="14">
        <f t="shared" si="7"/>
        <v>-6030.4500000000007</v>
      </c>
      <c r="AD21" s="14">
        <f t="shared" si="7"/>
        <v>-7236.54</v>
      </c>
      <c r="AE21" s="14">
        <f t="shared" si="7"/>
        <v>-15196.734</v>
      </c>
      <c r="AF21" s="14">
        <f t="shared" si="7"/>
        <v>-18895.41</v>
      </c>
      <c r="AG21" s="14">
        <f t="shared" si="7"/>
        <v>-12864.960000000001</v>
      </c>
      <c r="AH21" s="14">
        <f t="shared" si="7"/>
        <v>-21387.996000000003</v>
      </c>
      <c r="AI21" s="14">
        <f t="shared" si="7"/>
        <v>-19136.628000000001</v>
      </c>
      <c r="AJ21" s="14">
        <f t="shared" si="7"/>
        <v>-23880.581999999999</v>
      </c>
      <c r="AK21" s="14">
        <f t="shared" si="7"/>
        <v>-9407.5020000000004</v>
      </c>
      <c r="AL21" s="14">
        <f t="shared" si="7"/>
        <v>-16804.853999999999</v>
      </c>
      <c r="AM21" s="14">
        <f t="shared" si="7"/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</row>
    <row r="22" spans="1:99" x14ac:dyDescent="0.25">
      <c r="A22" s="11" t="s">
        <v>4</v>
      </c>
      <c r="B22" s="11" t="s">
        <v>165</v>
      </c>
      <c r="C22" s="11" t="s">
        <v>21</v>
      </c>
      <c r="D22" s="12">
        <v>1</v>
      </c>
      <c r="E22" s="11">
        <v>700</v>
      </c>
      <c r="F22" s="11">
        <f t="shared" ref="F22:F37" si="8">D22*E22</f>
        <v>700</v>
      </c>
      <c r="G22" s="13">
        <f t="shared" si="0"/>
        <v>-700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f>G22</f>
        <v>-700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</row>
    <row r="23" spans="1:99" x14ac:dyDescent="0.25">
      <c r="A23" s="11" t="s">
        <v>4</v>
      </c>
      <c r="B23" s="11" t="s">
        <v>0</v>
      </c>
      <c r="C23" s="11" t="s">
        <v>7</v>
      </c>
      <c r="D23" s="12">
        <f>5%</f>
        <v>0.05</v>
      </c>
      <c r="E23" s="11">
        <f>(F18+F19)</f>
        <v>1608120</v>
      </c>
      <c r="F23" s="11">
        <f t="shared" si="8"/>
        <v>80406</v>
      </c>
      <c r="G23" s="20">
        <f t="shared" si="0"/>
        <v>-80406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f>G23*0.2</f>
        <v>-16081.2</v>
      </c>
      <c r="R23" s="21">
        <v>0</v>
      </c>
      <c r="S23" s="21">
        <v>0</v>
      </c>
      <c r="T23" s="21">
        <f>G23*0.8</f>
        <v>-64324.800000000003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</row>
    <row r="24" spans="1:99" x14ac:dyDescent="0.25">
      <c r="A24" s="11" t="s">
        <v>4</v>
      </c>
      <c r="B24" s="11" t="s">
        <v>0</v>
      </c>
      <c r="C24" s="11" t="s">
        <v>6</v>
      </c>
      <c r="D24" s="12">
        <f>5%</f>
        <v>0.05</v>
      </c>
      <c r="E24" s="11">
        <f>F16</f>
        <v>0</v>
      </c>
      <c r="F24" s="11">
        <f t="shared" si="8"/>
        <v>0</v>
      </c>
      <c r="G24" s="13">
        <f t="shared" si="0"/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f>G24*0.2</f>
        <v>0</v>
      </c>
      <c r="O24" s="14">
        <v>0</v>
      </c>
      <c r="P24" s="14">
        <f>G24*0.8</f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</row>
    <row r="25" spans="1:99" x14ac:dyDescent="0.25">
      <c r="A25" s="11" t="s">
        <v>4</v>
      </c>
      <c r="B25" s="11" t="s">
        <v>0</v>
      </c>
      <c r="C25" s="11" t="s">
        <v>166</v>
      </c>
      <c r="D25" s="12">
        <v>2.9999999999999997E-4</v>
      </c>
      <c r="E25" s="11">
        <v>0</v>
      </c>
      <c r="F25" s="11">
        <f t="shared" si="8"/>
        <v>0</v>
      </c>
      <c r="G25" s="13">
        <f t="shared" si="0"/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f>G25</f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</row>
    <row r="26" spans="1:99" x14ac:dyDescent="0.25">
      <c r="A26" s="11" t="s">
        <v>4</v>
      </c>
      <c r="B26" s="11" t="s">
        <v>0</v>
      </c>
      <c r="C26" s="11" t="s">
        <v>167</v>
      </c>
      <c r="D26" s="12">
        <v>2.0000000000000001E-4</v>
      </c>
      <c r="E26" s="11">
        <v>0</v>
      </c>
      <c r="F26" s="11">
        <f t="shared" si="8"/>
        <v>0</v>
      </c>
      <c r="G26" s="13">
        <f t="shared" si="0"/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f>G26</f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</row>
    <row r="27" spans="1:99" x14ac:dyDescent="0.25">
      <c r="A27" s="11" t="s">
        <v>4</v>
      </c>
      <c r="B27" s="11" t="s">
        <v>0</v>
      </c>
      <c r="C27" s="11" t="s">
        <v>168</v>
      </c>
      <c r="D27" s="12">
        <v>1</v>
      </c>
      <c r="E27" s="11">
        <v>250</v>
      </c>
      <c r="F27" s="11">
        <f t="shared" si="8"/>
        <v>250</v>
      </c>
      <c r="G27" s="13">
        <f t="shared" si="0"/>
        <v>-250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f>G27</f>
        <v>-250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</row>
    <row r="28" spans="1:99" x14ac:dyDescent="0.25">
      <c r="A28" s="11" t="s">
        <v>4</v>
      </c>
      <c r="B28" s="11" t="s">
        <v>0</v>
      </c>
      <c r="C28" s="11" t="s">
        <v>169</v>
      </c>
      <c r="D28" s="12">
        <v>2.9999999999999997E-4</v>
      </c>
      <c r="E28" s="11">
        <v>0</v>
      </c>
      <c r="F28" s="11">
        <f t="shared" si="8"/>
        <v>0</v>
      </c>
      <c r="G28" s="13">
        <f t="shared" si="0"/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f>G28</f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</row>
    <row r="29" spans="1:99" x14ac:dyDescent="0.25">
      <c r="A29" s="11" t="s">
        <v>4</v>
      </c>
      <c r="B29" s="11" t="s">
        <v>0</v>
      </c>
      <c r="C29" s="11" t="s">
        <v>170</v>
      </c>
      <c r="D29" s="12">
        <v>2.0000000000000001E-4</v>
      </c>
      <c r="E29" s="11">
        <v>0</v>
      </c>
      <c r="F29" s="11">
        <f t="shared" si="8"/>
        <v>0</v>
      </c>
      <c r="G29" s="13">
        <f t="shared" si="0"/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f t="shared" ref="AN29:AN32" si="9">G29</f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</row>
    <row r="30" spans="1:99" x14ac:dyDescent="0.25">
      <c r="A30" s="11" t="s">
        <v>4</v>
      </c>
      <c r="B30" s="11" t="s">
        <v>0</v>
      </c>
      <c r="C30" s="11" t="s">
        <v>171</v>
      </c>
      <c r="D30" s="12">
        <v>1</v>
      </c>
      <c r="E30" s="11">
        <v>250</v>
      </c>
      <c r="F30" s="11">
        <f t="shared" si="8"/>
        <v>250</v>
      </c>
      <c r="G30" s="13">
        <f t="shared" si="0"/>
        <v>-250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f t="shared" si="9"/>
        <v>-250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</row>
    <row r="31" spans="1:99" x14ac:dyDescent="0.25">
      <c r="A31" s="11" t="s">
        <v>4</v>
      </c>
      <c r="B31" s="11" t="s">
        <v>0</v>
      </c>
      <c r="C31" s="11" t="s">
        <v>23</v>
      </c>
      <c r="D31" s="12">
        <v>8.9999999999999993E-3</v>
      </c>
      <c r="E31" s="11">
        <f>F18+F19</f>
        <v>1608120</v>
      </c>
      <c r="F31" s="11">
        <f t="shared" si="8"/>
        <v>14473.079999999998</v>
      </c>
      <c r="G31" s="13">
        <f t="shared" si="0"/>
        <v>-14473.079999999998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f>$G$31/16</f>
        <v>-904.56749999999988</v>
      </c>
      <c r="Y31" s="14">
        <f t="shared" ref="Y31:AM31" si="10">$G$31/16</f>
        <v>-904.56749999999988</v>
      </c>
      <c r="Z31" s="14">
        <f t="shared" si="10"/>
        <v>-904.56749999999988</v>
      </c>
      <c r="AA31" s="14">
        <f t="shared" si="10"/>
        <v>-904.56749999999988</v>
      </c>
      <c r="AB31" s="14">
        <f t="shared" si="10"/>
        <v>-904.56749999999988</v>
      </c>
      <c r="AC31" s="14">
        <f t="shared" si="10"/>
        <v>-904.56749999999988</v>
      </c>
      <c r="AD31" s="14">
        <f t="shared" si="10"/>
        <v>-904.56749999999988</v>
      </c>
      <c r="AE31" s="14">
        <f t="shared" si="10"/>
        <v>-904.56749999999988</v>
      </c>
      <c r="AF31" s="14">
        <f t="shared" si="10"/>
        <v>-904.56749999999988</v>
      </c>
      <c r="AG31" s="14">
        <f t="shared" si="10"/>
        <v>-904.56749999999988</v>
      </c>
      <c r="AH31" s="14">
        <f t="shared" si="10"/>
        <v>-904.56749999999988</v>
      </c>
      <c r="AI31" s="14">
        <f t="shared" si="10"/>
        <v>-904.56749999999988</v>
      </c>
      <c r="AJ31" s="14">
        <f t="shared" si="10"/>
        <v>-904.56749999999988</v>
      </c>
      <c r="AK31" s="14">
        <f t="shared" si="10"/>
        <v>-904.56749999999988</v>
      </c>
      <c r="AL31" s="14">
        <f t="shared" si="10"/>
        <v>-904.56749999999988</v>
      </c>
      <c r="AM31" s="14">
        <f t="shared" si="10"/>
        <v>-904.56749999999988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</row>
    <row r="32" spans="1:99" x14ac:dyDescent="0.25">
      <c r="A32" s="11" t="s">
        <v>4</v>
      </c>
      <c r="B32" s="11" t="s">
        <v>0</v>
      </c>
      <c r="C32" s="11" t="s">
        <v>172</v>
      </c>
      <c r="D32" s="12">
        <v>2.5000000000000001E-3</v>
      </c>
      <c r="E32" s="11">
        <v>0</v>
      </c>
      <c r="F32" s="11">
        <f t="shared" si="8"/>
        <v>0</v>
      </c>
      <c r="G32" s="13">
        <f t="shared" si="0"/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f t="shared" si="9"/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</row>
    <row r="33" spans="1:99" x14ac:dyDescent="0.25">
      <c r="A33" s="11" t="s">
        <v>4</v>
      </c>
      <c r="B33" s="11" t="s">
        <v>24</v>
      </c>
      <c r="C33" s="11" t="s">
        <v>27</v>
      </c>
      <c r="D33" s="40">
        <v>1</v>
      </c>
      <c r="E33" s="22">
        <v>2500</v>
      </c>
      <c r="F33" s="22">
        <f t="shared" si="8"/>
        <v>2500</v>
      </c>
      <c r="G33" s="23">
        <f t="shared" si="0"/>
        <v>-2500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5">
        <v>0</v>
      </c>
      <c r="W33" s="25">
        <f>G33</f>
        <v>-2500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>
        <v>0</v>
      </c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  <c r="BO33" s="25">
        <v>0</v>
      </c>
      <c r="BP33" s="25">
        <v>0</v>
      </c>
      <c r="BQ33" s="25">
        <v>0</v>
      </c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</v>
      </c>
      <c r="CD33" s="25">
        <v>0</v>
      </c>
      <c r="CE33" s="25">
        <v>0</v>
      </c>
      <c r="CF33" s="25">
        <v>0</v>
      </c>
      <c r="CG33" s="25">
        <v>0</v>
      </c>
      <c r="CH33" s="25">
        <v>0</v>
      </c>
      <c r="CI33" s="25">
        <v>0</v>
      </c>
      <c r="CJ33" s="25">
        <v>0</v>
      </c>
      <c r="CK33" s="25">
        <v>0</v>
      </c>
      <c r="CL33" s="25">
        <v>0</v>
      </c>
      <c r="CM33" s="25">
        <v>0</v>
      </c>
      <c r="CN33" s="25">
        <v>0</v>
      </c>
      <c r="CO33" s="25">
        <v>0</v>
      </c>
      <c r="CP33" s="25">
        <v>0</v>
      </c>
      <c r="CQ33" s="25">
        <v>0</v>
      </c>
      <c r="CR33" s="25">
        <v>0</v>
      </c>
      <c r="CS33" s="25">
        <v>0</v>
      </c>
      <c r="CT33" s="25">
        <v>0</v>
      </c>
      <c r="CU33" s="25">
        <v>0</v>
      </c>
    </row>
    <row r="34" spans="1:99" x14ac:dyDescent="0.25">
      <c r="A34" s="11" t="s">
        <v>4</v>
      </c>
      <c r="B34" s="11" t="s">
        <v>24</v>
      </c>
      <c r="C34" s="11" t="s">
        <v>173</v>
      </c>
      <c r="D34" s="42">
        <v>2.5000000000000001E-3</v>
      </c>
      <c r="E34" s="22">
        <f>-0.8*SUM(G2:G32,G41:G42)</f>
        <v>1710611.5009280001</v>
      </c>
      <c r="F34" s="22">
        <f t="shared" si="8"/>
        <v>4276.5287523200004</v>
      </c>
      <c r="G34" s="13">
        <f t="shared" si="0"/>
        <v>-4276.5287523200004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f>G34</f>
        <v>-4276.5287523200004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</row>
    <row r="35" spans="1:99" x14ac:dyDescent="0.25">
      <c r="A35" s="11" t="s">
        <v>4</v>
      </c>
      <c r="B35" s="11" t="s">
        <v>24</v>
      </c>
      <c r="C35" s="11" t="s">
        <v>28</v>
      </c>
      <c r="D35" s="40">
        <v>1</v>
      </c>
      <c r="E35" s="22">
        <v>250</v>
      </c>
      <c r="F35" s="22">
        <f t="shared" si="8"/>
        <v>250</v>
      </c>
      <c r="G35" s="13">
        <f t="shared" si="0"/>
        <v>-250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f>G35</f>
        <v>-250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</row>
    <row r="36" spans="1:99" x14ac:dyDescent="0.25">
      <c r="A36" s="11" t="s">
        <v>4</v>
      </c>
      <c r="B36" s="11" t="s">
        <v>24</v>
      </c>
      <c r="C36" s="11" t="s">
        <v>29</v>
      </c>
      <c r="D36" s="42">
        <v>2.5000000000000001E-3</v>
      </c>
      <c r="E36" s="22">
        <f>-0.8*SUM(G2:G32,G41:G42)</f>
        <v>1710611.5009280001</v>
      </c>
      <c r="F36" s="22">
        <f t="shared" si="8"/>
        <v>4276.5287523200004</v>
      </c>
      <c r="G36" s="13">
        <f t="shared" si="0"/>
        <v>-4276.5287523200004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f>G36</f>
        <v>-4276.5287523200004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</row>
    <row r="37" spans="1:99" x14ac:dyDescent="0.25">
      <c r="A37" s="11" t="s">
        <v>4</v>
      </c>
      <c r="B37" s="11" t="s">
        <v>24</v>
      </c>
      <c r="C37" s="11" t="s">
        <v>25</v>
      </c>
      <c r="D37" s="42">
        <v>1E-3</v>
      </c>
      <c r="E37" s="22">
        <f>-0.8*SUM(G2:G32,G41:G42)</f>
        <v>1710611.5009280001</v>
      </c>
      <c r="F37" s="22">
        <f t="shared" si="8"/>
        <v>1710.6115009280002</v>
      </c>
      <c r="G37" s="13">
        <f t="shared" si="0"/>
        <v>-1710.6115009280002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f>G37</f>
        <v>-1710.6115009280002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</row>
    <row r="38" spans="1:99" x14ac:dyDescent="0.25">
      <c r="A38" s="11" t="s">
        <v>4</v>
      </c>
      <c r="B38" s="11" t="s">
        <v>24</v>
      </c>
      <c r="C38" s="11" t="s">
        <v>95</v>
      </c>
      <c r="D38" s="42">
        <f>intereses!C5</f>
        <v>3.5000000000000003E-2</v>
      </c>
      <c r="E38" s="22">
        <f>0.8*(SUM(F2:F42)-F44-F45)</f>
        <v>872449.33913431061</v>
      </c>
      <c r="F38" s="22">
        <v>79833.23</v>
      </c>
      <c r="G38" s="13"/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-2544.6439083333339</v>
      </c>
      <c r="AO38" s="14">
        <v>-2505.7742733787895</v>
      </c>
      <c r="AP38" s="14">
        <v>-2466.7912686556278</v>
      </c>
      <c r="AQ38" s="14">
        <v>-2427.6945635020234</v>
      </c>
      <c r="AR38" s="14">
        <v>-2388.483826291721</v>
      </c>
      <c r="AS38" s="14">
        <v>-2349.1587244312223</v>
      </c>
      <c r="AT38" s="14">
        <v>-2309.7189243569637</v>
      </c>
      <c r="AU38" s="14">
        <v>-2270.1640915324879</v>
      </c>
      <c r="AV38" s="14">
        <v>-2230.493890445608</v>
      </c>
      <c r="AW38" s="14">
        <v>-2190.7079846055581</v>
      </c>
      <c r="AX38" s="14">
        <v>-2150.8060365401407</v>
      </c>
      <c r="AY38" s="14">
        <v>-2110.7877077928665</v>
      </c>
      <c r="AZ38" s="14">
        <v>-2070.6526589200789</v>
      </c>
      <c r="BA38" s="14">
        <v>-2030.4005494880796</v>
      </c>
      <c r="BB38" s="14">
        <v>-1990.0310380702367</v>
      </c>
      <c r="BC38" s="14">
        <v>-1949.5437822440913</v>
      </c>
      <c r="BD38" s="26">
        <v>-1908.9384385884537</v>
      </c>
      <c r="BE38" s="26">
        <v>-1868.214662680487</v>
      </c>
      <c r="BF38" s="26">
        <v>-1827.3721090927882</v>
      </c>
      <c r="BG38" s="26">
        <v>-1786.4104313904591</v>
      </c>
      <c r="BH38" s="26">
        <v>-1745.3292821281646</v>
      </c>
      <c r="BI38" s="26">
        <v>-1704.1283128471882</v>
      </c>
      <c r="BJ38" s="26">
        <v>-1662.8071740724763</v>
      </c>
      <c r="BK38" s="26">
        <v>-1621.3655153096711</v>
      </c>
      <c r="BL38" s="26">
        <v>-1579.8029850421412</v>
      </c>
      <c r="BM38" s="26">
        <v>-1538.1192307279978</v>
      </c>
      <c r="BN38" s="26">
        <v>-1496.3138987971045</v>
      </c>
      <c r="BO38" s="26">
        <v>-1454.3866346480795</v>
      </c>
      <c r="BP38" s="26">
        <v>-1412.337082645287</v>
      </c>
      <c r="BQ38" s="26">
        <v>-1370.1648861158189</v>
      </c>
      <c r="BR38" s="26">
        <v>-1327.8696873464733</v>
      </c>
      <c r="BS38" s="26">
        <v>-1285.4511275807176</v>
      </c>
      <c r="BT38" s="26">
        <v>-1242.9088470156448</v>
      </c>
      <c r="BU38" s="26">
        <v>-1200.2424847989239</v>
      </c>
      <c r="BV38" s="26">
        <v>-1157.4516790257376</v>
      </c>
      <c r="BW38" s="26">
        <v>-1114.5360667357129</v>
      </c>
      <c r="BX38" s="26">
        <v>-1071.4952839098421</v>
      </c>
      <c r="BY38" s="26">
        <v>-1028.3289654673961</v>
      </c>
      <c r="BZ38" s="26">
        <v>-985.036745262826</v>
      </c>
      <c r="CA38" s="26">
        <v>-941.61825608265929</v>
      </c>
      <c r="CB38" s="26">
        <v>-898.07312964238395</v>
      </c>
      <c r="CC38" s="26">
        <v>-854.4009965833244</v>
      </c>
      <c r="CD38" s="26">
        <v>-810.60148646950927</v>
      </c>
      <c r="CE38" s="26">
        <v>-766.67422778452874</v>
      </c>
      <c r="CF38" s="26">
        <v>-722.61884792838384</v>
      </c>
      <c r="CG38" s="26">
        <v>-678.43497321432505</v>
      </c>
      <c r="CH38" s="26">
        <v>-634.12222886568372</v>
      </c>
      <c r="CI38" s="26">
        <v>-589.68023901269203</v>
      </c>
      <c r="CJ38" s="26">
        <v>-545.10862668929599</v>
      </c>
      <c r="CK38" s="26">
        <v>-500.40701382995655</v>
      </c>
      <c r="CL38" s="26">
        <v>-455.57502126644414</v>
      </c>
      <c r="CM38" s="26">
        <v>-410.6122687246214</v>
      </c>
      <c r="CN38" s="26">
        <v>-365.51837482121834</v>
      </c>
      <c r="CO38" s="26">
        <v>-320.29295706059708</v>
      </c>
      <c r="CP38" s="26">
        <v>-274.93563183150729</v>
      </c>
      <c r="CQ38" s="26">
        <v>-229.44601440383266</v>
      </c>
      <c r="CR38" s="26">
        <v>-183.82371892532734</v>
      </c>
      <c r="CS38" s="26">
        <v>-138.06835841834305</v>
      </c>
      <c r="CT38" s="26">
        <v>-92.179544776546706</v>
      </c>
      <c r="CU38" s="26">
        <v>-46.15688876162843</v>
      </c>
    </row>
    <row r="39" spans="1:99" x14ac:dyDescent="0.25">
      <c r="A39" s="11" t="s">
        <v>4</v>
      </c>
      <c r="B39" s="11" t="s">
        <v>24</v>
      </c>
      <c r="C39" s="11" t="s">
        <v>39</v>
      </c>
      <c r="D39" s="42">
        <f>intereses!E5</f>
        <v>0.05</v>
      </c>
      <c r="E39" s="22">
        <f>-0.8*SUM(G2:G32,G41:G42)</f>
        <v>1710611.5009280001</v>
      </c>
      <c r="F39" s="22">
        <v>61213.87</v>
      </c>
      <c r="G39" s="13"/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-7127.5479166666664</v>
      </c>
      <c r="Y39" s="14">
        <v>-6695.8331724363716</v>
      </c>
      <c r="Z39" s="14">
        <v>-6262.3196167717842</v>
      </c>
      <c r="AA39" s="14">
        <v>-5826.9997546252607</v>
      </c>
      <c r="AB39" s="14">
        <v>-5389.8660597197932</v>
      </c>
      <c r="AC39" s="14">
        <v>-4950.9109744188872</v>
      </c>
      <c r="AD39" s="14">
        <v>-4510.1269095958914</v>
      </c>
      <c r="AE39" s="14">
        <v>-4067.5062445028029</v>
      </c>
      <c r="AF39" s="14">
        <v>-3623.0413266384921</v>
      </c>
      <c r="AG39" s="14">
        <v>-3176.7244716164137</v>
      </c>
      <c r="AH39" s="14">
        <v>-2728.5479630317427</v>
      </c>
      <c r="AI39" s="14">
        <v>-2278.5040523279686</v>
      </c>
      <c r="AJ39" s="14">
        <v>-1826.5849586629295</v>
      </c>
      <c r="AK39" s="14">
        <v>-1372.7828687742858</v>
      </c>
      <c r="AL39" s="14">
        <v>-917.08993684443953</v>
      </c>
      <c r="AM39" s="14">
        <v>-459.49828436488548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</row>
    <row r="40" spans="1:99" x14ac:dyDescent="0.25">
      <c r="A40" s="11" t="s">
        <v>4</v>
      </c>
      <c r="B40" s="11" t="s">
        <v>24</v>
      </c>
      <c r="C40" s="11" t="s">
        <v>26</v>
      </c>
      <c r="D40" s="42">
        <v>2.5000000000000001E-3</v>
      </c>
      <c r="E40" s="22">
        <f>-0.8*SUM(G2:G32,G41:G42)</f>
        <v>1710611.5009280001</v>
      </c>
      <c r="F40" s="22">
        <f t="shared" ref="F40:F47" si="11">D40*E40</f>
        <v>4276.5287523200004</v>
      </c>
      <c r="G40" s="13">
        <f>-F40</f>
        <v>-4276.5287523200004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0</v>
      </c>
      <c r="CU40" s="14">
        <f>G40</f>
        <v>-4276.5287523200004</v>
      </c>
    </row>
    <row r="41" spans="1:99" x14ac:dyDescent="0.25">
      <c r="A41" s="11" t="s">
        <v>4</v>
      </c>
      <c r="B41" s="11" t="s">
        <v>1</v>
      </c>
      <c r="C41" s="11" t="s">
        <v>22</v>
      </c>
      <c r="D41" s="12">
        <f>0</f>
        <v>0</v>
      </c>
      <c r="E41" s="11">
        <v>700</v>
      </c>
      <c r="F41" s="22">
        <f t="shared" si="11"/>
        <v>0</v>
      </c>
      <c r="G41" s="20">
        <f>-F41</f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f>$G$41/16</f>
        <v>0</v>
      </c>
      <c r="Y41" s="21">
        <f t="shared" ref="Y41:AM41" si="12">$G$41/16</f>
        <v>0</v>
      </c>
      <c r="Z41" s="21">
        <f t="shared" si="12"/>
        <v>0</v>
      </c>
      <c r="AA41" s="21">
        <f t="shared" si="12"/>
        <v>0</v>
      </c>
      <c r="AB41" s="21">
        <f t="shared" si="12"/>
        <v>0</v>
      </c>
      <c r="AC41" s="21">
        <f t="shared" si="12"/>
        <v>0</v>
      </c>
      <c r="AD41" s="21">
        <f t="shared" si="12"/>
        <v>0</v>
      </c>
      <c r="AE41" s="21">
        <f t="shared" si="12"/>
        <v>0</v>
      </c>
      <c r="AF41" s="21">
        <f t="shared" si="12"/>
        <v>0</v>
      </c>
      <c r="AG41" s="21">
        <f t="shared" si="12"/>
        <v>0</v>
      </c>
      <c r="AH41" s="21">
        <f t="shared" si="12"/>
        <v>0</v>
      </c>
      <c r="AI41" s="21">
        <f t="shared" si="12"/>
        <v>0</v>
      </c>
      <c r="AJ41" s="21">
        <f t="shared" si="12"/>
        <v>0</v>
      </c>
      <c r="AK41" s="21">
        <f t="shared" si="12"/>
        <v>0</v>
      </c>
      <c r="AL41" s="21">
        <f t="shared" si="12"/>
        <v>0</v>
      </c>
      <c r="AM41" s="21">
        <f t="shared" si="12"/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21">
        <v>0</v>
      </c>
      <c r="AZ41" s="21">
        <v>0</v>
      </c>
      <c r="BA41" s="21">
        <v>0</v>
      </c>
      <c r="BB41" s="21">
        <v>0</v>
      </c>
      <c r="BC41" s="21">
        <v>0</v>
      </c>
      <c r="BD41" s="21">
        <v>0</v>
      </c>
      <c r="BE41" s="21">
        <v>0</v>
      </c>
      <c r="BF41" s="21">
        <v>0</v>
      </c>
      <c r="BG41" s="21">
        <v>0</v>
      </c>
      <c r="BH41" s="21">
        <v>0</v>
      </c>
      <c r="BI41" s="21">
        <v>0</v>
      </c>
      <c r="BJ41" s="21">
        <v>0</v>
      </c>
      <c r="BK41" s="21">
        <v>0</v>
      </c>
      <c r="BL41" s="21">
        <v>0</v>
      </c>
      <c r="BM41" s="21">
        <v>0</v>
      </c>
      <c r="BN41" s="21">
        <v>0</v>
      </c>
      <c r="BO41" s="21">
        <v>0</v>
      </c>
      <c r="BP41" s="21">
        <v>0</v>
      </c>
      <c r="BQ41" s="21">
        <v>0</v>
      </c>
      <c r="BR41" s="21">
        <v>0</v>
      </c>
      <c r="BS41" s="21">
        <v>0</v>
      </c>
      <c r="BT41" s="21">
        <v>0</v>
      </c>
      <c r="BU41" s="21">
        <v>0</v>
      </c>
      <c r="BV41" s="21">
        <v>0</v>
      </c>
      <c r="BW41" s="21">
        <v>0</v>
      </c>
      <c r="BX41" s="21">
        <v>0</v>
      </c>
      <c r="BY41" s="21">
        <v>0</v>
      </c>
      <c r="BZ41" s="21">
        <v>0</v>
      </c>
      <c r="CA41" s="21">
        <v>0</v>
      </c>
      <c r="CB41" s="21">
        <v>0</v>
      </c>
      <c r="CC41" s="21">
        <v>0</v>
      </c>
      <c r="CD41" s="21">
        <v>0</v>
      </c>
      <c r="CE41" s="21">
        <v>0</v>
      </c>
      <c r="CF41" s="21">
        <v>0</v>
      </c>
      <c r="CG41" s="21">
        <v>0</v>
      </c>
      <c r="CH41" s="21">
        <v>0</v>
      </c>
      <c r="CI41" s="21">
        <v>0</v>
      </c>
      <c r="CJ41" s="21">
        <v>0</v>
      </c>
      <c r="CK41" s="21">
        <v>0</v>
      </c>
      <c r="CL41" s="21">
        <v>0</v>
      </c>
      <c r="CM41" s="21">
        <v>0</v>
      </c>
      <c r="CN41" s="21">
        <v>0</v>
      </c>
      <c r="CO41" s="21">
        <v>0</v>
      </c>
      <c r="CP41" s="21">
        <v>0</v>
      </c>
      <c r="CQ41" s="21">
        <v>0</v>
      </c>
      <c r="CR41" s="21">
        <v>0</v>
      </c>
      <c r="CS41" s="21">
        <v>0</v>
      </c>
      <c r="CT41" s="21">
        <v>0</v>
      </c>
      <c r="CU41" s="21">
        <v>0</v>
      </c>
    </row>
    <row r="42" spans="1:99" x14ac:dyDescent="0.25">
      <c r="A42" s="11" t="s">
        <v>4</v>
      </c>
      <c r="B42" s="11" t="s">
        <v>1</v>
      </c>
      <c r="C42" s="11" t="s">
        <v>17</v>
      </c>
      <c r="D42" s="12">
        <v>0</v>
      </c>
      <c r="E42" s="11">
        <v>200</v>
      </c>
      <c r="F42" s="22">
        <f t="shared" si="11"/>
        <v>0</v>
      </c>
      <c r="G42" s="13">
        <f>-$F$42</f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f>$G$42/16</f>
        <v>0</v>
      </c>
      <c r="Y42" s="14">
        <f t="shared" ref="Y42:AM42" si="13">$G$42/16</f>
        <v>0</v>
      </c>
      <c r="Z42" s="14">
        <f t="shared" si="13"/>
        <v>0</v>
      </c>
      <c r="AA42" s="14">
        <f t="shared" si="13"/>
        <v>0</v>
      </c>
      <c r="AB42" s="14">
        <f t="shared" si="13"/>
        <v>0</v>
      </c>
      <c r="AC42" s="14">
        <f t="shared" si="13"/>
        <v>0</v>
      </c>
      <c r="AD42" s="14">
        <f t="shared" si="13"/>
        <v>0</v>
      </c>
      <c r="AE42" s="14">
        <f t="shared" si="13"/>
        <v>0</v>
      </c>
      <c r="AF42" s="14">
        <f t="shared" si="13"/>
        <v>0</v>
      </c>
      <c r="AG42" s="14">
        <f t="shared" si="13"/>
        <v>0</v>
      </c>
      <c r="AH42" s="14">
        <f t="shared" si="13"/>
        <v>0</v>
      </c>
      <c r="AI42" s="14">
        <f t="shared" si="13"/>
        <v>0</v>
      </c>
      <c r="AJ42" s="14">
        <f t="shared" si="13"/>
        <v>0</v>
      </c>
      <c r="AK42" s="14">
        <f t="shared" si="13"/>
        <v>0</v>
      </c>
      <c r="AL42" s="14">
        <f t="shared" si="13"/>
        <v>0</v>
      </c>
      <c r="AM42" s="14">
        <f t="shared" si="13"/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</row>
    <row r="43" spans="1:99" x14ac:dyDescent="0.25">
      <c r="A43" s="11" t="s">
        <v>5</v>
      </c>
      <c r="B43" s="11" t="s">
        <v>174</v>
      </c>
      <c r="C43" s="11" t="s">
        <v>143</v>
      </c>
      <c r="D43" s="12">
        <v>0</v>
      </c>
      <c r="E43" s="11">
        <f>65*2183.04</f>
        <v>141897.60000000001</v>
      </c>
      <c r="F43" s="22">
        <f t="shared" si="11"/>
        <v>0</v>
      </c>
      <c r="G43" s="13">
        <f>F43</f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f>G43</f>
        <v>0</v>
      </c>
    </row>
    <row r="44" spans="1:99" x14ac:dyDescent="0.25">
      <c r="A44" s="11" t="s">
        <v>5</v>
      </c>
      <c r="B44" s="11" t="s">
        <v>175</v>
      </c>
      <c r="C44" s="11" t="s">
        <v>176</v>
      </c>
      <c r="D44" s="12">
        <v>88</v>
      </c>
      <c r="E44" s="19">
        <v>2705</v>
      </c>
      <c r="F44" s="11">
        <f t="shared" si="11"/>
        <v>238040</v>
      </c>
      <c r="G44" s="13">
        <f>F44</f>
        <v>238040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f>G44</f>
        <v>238040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R44" s="14">
        <v>0</v>
      </c>
      <c r="CS44" s="14">
        <v>0</v>
      </c>
      <c r="CT44" s="14">
        <v>0</v>
      </c>
      <c r="CU44" s="14">
        <v>0</v>
      </c>
    </row>
    <row r="45" spans="1:99" x14ac:dyDescent="0.25">
      <c r="A45" s="11" t="s">
        <v>5</v>
      </c>
      <c r="B45" s="11" t="s">
        <v>175</v>
      </c>
      <c r="C45" s="11" t="s">
        <v>177</v>
      </c>
      <c r="D45" s="12">
        <v>88</v>
      </c>
      <c r="E45" s="11">
        <v>11000</v>
      </c>
      <c r="F45" s="11">
        <f t="shared" si="11"/>
        <v>968000</v>
      </c>
      <c r="G45" s="13">
        <f>F45</f>
        <v>968000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f>G45</f>
        <v>968000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</row>
    <row r="46" spans="1:99" x14ac:dyDescent="0.25">
      <c r="A46" s="11" t="s">
        <v>5</v>
      </c>
      <c r="B46" s="11" t="s">
        <v>178</v>
      </c>
      <c r="C46" s="11" t="s">
        <v>179</v>
      </c>
      <c r="D46" s="12">
        <v>0</v>
      </c>
      <c r="E46" s="11">
        <v>450</v>
      </c>
      <c r="F46" s="22">
        <f t="shared" si="11"/>
        <v>0</v>
      </c>
      <c r="G46" s="13">
        <f>F46</f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f>($D$46*$E$46)/60</f>
        <v>0</v>
      </c>
      <c r="AO46" s="14">
        <f t="shared" ref="AO46:CU46" si="14">($D$46*$E$46)/60</f>
        <v>0</v>
      </c>
      <c r="AP46" s="14">
        <f t="shared" si="14"/>
        <v>0</v>
      </c>
      <c r="AQ46" s="14">
        <f t="shared" si="14"/>
        <v>0</v>
      </c>
      <c r="AR46" s="14">
        <f t="shared" si="14"/>
        <v>0</v>
      </c>
      <c r="AS46" s="14">
        <f t="shared" si="14"/>
        <v>0</v>
      </c>
      <c r="AT46" s="14">
        <f t="shared" si="14"/>
        <v>0</v>
      </c>
      <c r="AU46" s="14">
        <f t="shared" si="14"/>
        <v>0</v>
      </c>
      <c r="AV46" s="14">
        <f t="shared" si="14"/>
        <v>0</v>
      </c>
      <c r="AW46" s="14">
        <f t="shared" si="14"/>
        <v>0</v>
      </c>
      <c r="AX46" s="14">
        <f t="shared" si="14"/>
        <v>0</v>
      </c>
      <c r="AY46" s="14">
        <f t="shared" si="14"/>
        <v>0</v>
      </c>
      <c r="AZ46" s="14">
        <f t="shared" si="14"/>
        <v>0</v>
      </c>
      <c r="BA46" s="14">
        <f t="shared" si="14"/>
        <v>0</v>
      </c>
      <c r="BB46" s="14">
        <f t="shared" si="14"/>
        <v>0</v>
      </c>
      <c r="BC46" s="14">
        <f t="shared" si="14"/>
        <v>0</v>
      </c>
      <c r="BD46" s="14">
        <f t="shared" si="14"/>
        <v>0</v>
      </c>
      <c r="BE46" s="14">
        <f t="shared" si="14"/>
        <v>0</v>
      </c>
      <c r="BF46" s="14">
        <f t="shared" si="14"/>
        <v>0</v>
      </c>
      <c r="BG46" s="14">
        <f t="shared" si="14"/>
        <v>0</v>
      </c>
      <c r="BH46" s="14">
        <f t="shared" si="14"/>
        <v>0</v>
      </c>
      <c r="BI46" s="14">
        <f t="shared" si="14"/>
        <v>0</v>
      </c>
      <c r="BJ46" s="14">
        <f t="shared" si="14"/>
        <v>0</v>
      </c>
      <c r="BK46" s="14">
        <f t="shared" si="14"/>
        <v>0</v>
      </c>
      <c r="BL46" s="14">
        <f t="shared" si="14"/>
        <v>0</v>
      </c>
      <c r="BM46" s="14">
        <f t="shared" si="14"/>
        <v>0</v>
      </c>
      <c r="BN46" s="14">
        <f t="shared" si="14"/>
        <v>0</v>
      </c>
      <c r="BO46" s="14">
        <f t="shared" si="14"/>
        <v>0</v>
      </c>
      <c r="BP46" s="14">
        <f t="shared" si="14"/>
        <v>0</v>
      </c>
      <c r="BQ46" s="14">
        <f t="shared" si="14"/>
        <v>0</v>
      </c>
      <c r="BR46" s="14">
        <f t="shared" si="14"/>
        <v>0</v>
      </c>
      <c r="BS46" s="14">
        <f t="shared" si="14"/>
        <v>0</v>
      </c>
      <c r="BT46" s="14">
        <f t="shared" si="14"/>
        <v>0</v>
      </c>
      <c r="BU46" s="14">
        <f t="shared" si="14"/>
        <v>0</v>
      </c>
      <c r="BV46" s="14">
        <f t="shared" si="14"/>
        <v>0</v>
      </c>
      <c r="BW46" s="14">
        <f t="shared" si="14"/>
        <v>0</v>
      </c>
      <c r="BX46" s="14">
        <f t="shared" si="14"/>
        <v>0</v>
      </c>
      <c r="BY46" s="14">
        <f t="shared" si="14"/>
        <v>0</v>
      </c>
      <c r="BZ46" s="14">
        <f t="shared" si="14"/>
        <v>0</v>
      </c>
      <c r="CA46" s="14">
        <f t="shared" si="14"/>
        <v>0</v>
      </c>
      <c r="CB46" s="14">
        <f t="shared" si="14"/>
        <v>0</v>
      </c>
      <c r="CC46" s="14">
        <f t="shared" si="14"/>
        <v>0</v>
      </c>
      <c r="CD46" s="14">
        <f t="shared" si="14"/>
        <v>0</v>
      </c>
      <c r="CE46" s="14">
        <f t="shared" si="14"/>
        <v>0</v>
      </c>
      <c r="CF46" s="14">
        <f t="shared" si="14"/>
        <v>0</v>
      </c>
      <c r="CG46" s="14">
        <f t="shared" si="14"/>
        <v>0</v>
      </c>
      <c r="CH46" s="14">
        <f t="shared" si="14"/>
        <v>0</v>
      </c>
      <c r="CI46" s="14">
        <f t="shared" si="14"/>
        <v>0</v>
      </c>
      <c r="CJ46" s="14">
        <f t="shared" si="14"/>
        <v>0</v>
      </c>
      <c r="CK46" s="14">
        <f t="shared" si="14"/>
        <v>0</v>
      </c>
      <c r="CL46" s="14">
        <f t="shared" si="14"/>
        <v>0</v>
      </c>
      <c r="CM46" s="14">
        <f t="shared" si="14"/>
        <v>0</v>
      </c>
      <c r="CN46" s="14">
        <f t="shared" si="14"/>
        <v>0</v>
      </c>
      <c r="CO46" s="14">
        <f t="shared" si="14"/>
        <v>0</v>
      </c>
      <c r="CP46" s="14">
        <f t="shared" si="14"/>
        <v>0</v>
      </c>
      <c r="CQ46" s="14">
        <f t="shared" si="14"/>
        <v>0</v>
      </c>
      <c r="CR46" s="14">
        <f t="shared" si="14"/>
        <v>0</v>
      </c>
      <c r="CS46" s="14">
        <f t="shared" si="14"/>
        <v>0</v>
      </c>
      <c r="CT46" s="14">
        <f t="shared" si="14"/>
        <v>0</v>
      </c>
      <c r="CU46" s="14">
        <f t="shared" si="14"/>
        <v>0</v>
      </c>
    </row>
    <row r="47" spans="1:99" x14ac:dyDescent="0.25">
      <c r="A47" s="11" t="s">
        <v>5</v>
      </c>
      <c r="B47" s="11" t="s">
        <v>180</v>
      </c>
      <c r="C47" s="11" t="s">
        <v>152</v>
      </c>
      <c r="D47" s="12">
        <f>88*60</f>
        <v>5280</v>
      </c>
      <c r="E47" s="11">
        <v>50</v>
      </c>
      <c r="F47" s="22">
        <f t="shared" si="11"/>
        <v>264000</v>
      </c>
      <c r="G47" s="15">
        <f>F47</f>
        <v>264000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f>($D$47*$E$47)/60</f>
        <v>4400</v>
      </c>
      <c r="AO47" s="14">
        <f t="shared" ref="AO47:CU47" si="15">($D$47*$E$47)/60</f>
        <v>4400</v>
      </c>
      <c r="AP47" s="14">
        <f t="shared" si="15"/>
        <v>4400</v>
      </c>
      <c r="AQ47" s="14">
        <f t="shared" si="15"/>
        <v>4400</v>
      </c>
      <c r="AR47" s="14">
        <f t="shared" si="15"/>
        <v>4400</v>
      </c>
      <c r="AS47" s="14">
        <f t="shared" si="15"/>
        <v>4400</v>
      </c>
      <c r="AT47" s="14">
        <f t="shared" si="15"/>
        <v>4400</v>
      </c>
      <c r="AU47" s="14">
        <f t="shared" si="15"/>
        <v>4400</v>
      </c>
      <c r="AV47" s="14">
        <f t="shared" si="15"/>
        <v>4400</v>
      </c>
      <c r="AW47" s="14">
        <f t="shared" si="15"/>
        <v>4400</v>
      </c>
      <c r="AX47" s="14">
        <f t="shared" si="15"/>
        <v>4400</v>
      </c>
      <c r="AY47" s="14">
        <f t="shared" si="15"/>
        <v>4400</v>
      </c>
      <c r="AZ47" s="14">
        <f t="shared" si="15"/>
        <v>4400</v>
      </c>
      <c r="BA47" s="14">
        <f t="shared" si="15"/>
        <v>4400</v>
      </c>
      <c r="BB47" s="14">
        <f t="shared" si="15"/>
        <v>4400</v>
      </c>
      <c r="BC47" s="14">
        <f t="shared" si="15"/>
        <v>4400</v>
      </c>
      <c r="BD47" s="14">
        <f t="shared" si="15"/>
        <v>4400</v>
      </c>
      <c r="BE47" s="14">
        <f t="shared" si="15"/>
        <v>4400</v>
      </c>
      <c r="BF47" s="14">
        <f t="shared" si="15"/>
        <v>4400</v>
      </c>
      <c r="BG47" s="14">
        <f t="shared" si="15"/>
        <v>4400</v>
      </c>
      <c r="BH47" s="14">
        <f t="shared" si="15"/>
        <v>4400</v>
      </c>
      <c r="BI47" s="14">
        <f t="shared" si="15"/>
        <v>4400</v>
      </c>
      <c r="BJ47" s="14">
        <f t="shared" si="15"/>
        <v>4400</v>
      </c>
      <c r="BK47" s="14">
        <f t="shared" si="15"/>
        <v>4400</v>
      </c>
      <c r="BL47" s="14">
        <f t="shared" si="15"/>
        <v>4400</v>
      </c>
      <c r="BM47" s="14">
        <f t="shared" si="15"/>
        <v>4400</v>
      </c>
      <c r="BN47" s="14">
        <f t="shared" si="15"/>
        <v>4400</v>
      </c>
      <c r="BO47" s="14">
        <f t="shared" si="15"/>
        <v>4400</v>
      </c>
      <c r="BP47" s="14">
        <f t="shared" si="15"/>
        <v>4400</v>
      </c>
      <c r="BQ47" s="14">
        <f t="shared" si="15"/>
        <v>4400</v>
      </c>
      <c r="BR47" s="14">
        <f t="shared" si="15"/>
        <v>4400</v>
      </c>
      <c r="BS47" s="14">
        <f t="shared" si="15"/>
        <v>4400</v>
      </c>
      <c r="BT47" s="14">
        <f t="shared" si="15"/>
        <v>4400</v>
      </c>
      <c r="BU47" s="14">
        <f t="shared" si="15"/>
        <v>4400</v>
      </c>
      <c r="BV47" s="14">
        <f t="shared" si="15"/>
        <v>4400</v>
      </c>
      <c r="BW47" s="14">
        <f t="shared" si="15"/>
        <v>4400</v>
      </c>
      <c r="BX47" s="14">
        <f t="shared" si="15"/>
        <v>4400</v>
      </c>
      <c r="BY47" s="14">
        <f t="shared" si="15"/>
        <v>4400</v>
      </c>
      <c r="BZ47" s="14">
        <f t="shared" si="15"/>
        <v>4400</v>
      </c>
      <c r="CA47" s="14">
        <f t="shared" si="15"/>
        <v>4400</v>
      </c>
      <c r="CB47" s="14">
        <f t="shared" si="15"/>
        <v>4400</v>
      </c>
      <c r="CC47" s="14">
        <f t="shared" si="15"/>
        <v>4400</v>
      </c>
      <c r="CD47" s="14">
        <f t="shared" si="15"/>
        <v>4400</v>
      </c>
      <c r="CE47" s="14">
        <f t="shared" si="15"/>
        <v>4400</v>
      </c>
      <c r="CF47" s="14">
        <f t="shared" si="15"/>
        <v>4400</v>
      </c>
      <c r="CG47" s="14">
        <f t="shared" si="15"/>
        <v>4400</v>
      </c>
      <c r="CH47" s="14">
        <f t="shared" si="15"/>
        <v>4400</v>
      </c>
      <c r="CI47" s="14">
        <f t="shared" si="15"/>
        <v>4400</v>
      </c>
      <c r="CJ47" s="14">
        <f t="shared" si="15"/>
        <v>4400</v>
      </c>
      <c r="CK47" s="14">
        <f t="shared" si="15"/>
        <v>4400</v>
      </c>
      <c r="CL47" s="14">
        <f t="shared" si="15"/>
        <v>4400</v>
      </c>
      <c r="CM47" s="14">
        <f t="shared" si="15"/>
        <v>4400</v>
      </c>
      <c r="CN47" s="14">
        <f t="shared" si="15"/>
        <v>4400</v>
      </c>
      <c r="CO47" s="14">
        <f t="shared" si="15"/>
        <v>4400</v>
      </c>
      <c r="CP47" s="14">
        <f t="shared" si="15"/>
        <v>4400</v>
      </c>
      <c r="CQ47" s="14">
        <f t="shared" si="15"/>
        <v>4400</v>
      </c>
      <c r="CR47" s="14">
        <f t="shared" si="15"/>
        <v>4400</v>
      </c>
      <c r="CS47" s="14">
        <f t="shared" si="15"/>
        <v>4400</v>
      </c>
      <c r="CT47" s="14">
        <f t="shared" si="15"/>
        <v>4400</v>
      </c>
      <c r="CU47" s="14">
        <f t="shared" si="15"/>
        <v>4400</v>
      </c>
    </row>
    <row r="48" spans="1:99" x14ac:dyDescent="0.25">
      <c r="A48" s="11" t="s">
        <v>181</v>
      </c>
      <c r="B48" s="11" t="s">
        <v>182</v>
      </c>
      <c r="C48" s="11" t="s">
        <v>5</v>
      </c>
      <c r="F48" s="27"/>
      <c r="G48" s="45">
        <f>SUM(F43:F47)</f>
        <v>1470040</v>
      </c>
      <c r="H48" s="29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</row>
    <row r="49" spans="1:99" x14ac:dyDescent="0.25">
      <c r="A49" s="11" t="s">
        <v>181</v>
      </c>
      <c r="B49" s="11" t="s">
        <v>182</v>
      </c>
      <c r="C49" s="11" t="s">
        <v>90</v>
      </c>
      <c r="F49" s="27"/>
      <c r="G49" s="45">
        <f>-SUM(F2:F42)</f>
        <v>-2296601.6739178882</v>
      </c>
      <c r="H49" s="29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</row>
    <row r="50" spans="1:99" x14ac:dyDescent="0.25">
      <c r="A50" s="11" t="s">
        <v>181</v>
      </c>
      <c r="B50" s="11" t="s">
        <v>182</v>
      </c>
      <c r="C50" s="11" t="s">
        <v>183</v>
      </c>
      <c r="F50" s="27"/>
      <c r="G50" s="45">
        <f>SUM(G48:G49)</f>
        <v>-826561.6739178882</v>
      </c>
      <c r="H50" s="29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</row>
    <row r="51" spans="1:99" x14ac:dyDescent="0.25">
      <c r="A51" s="11" t="s">
        <v>181</v>
      </c>
      <c r="B51" s="11" t="s">
        <v>182</v>
      </c>
      <c r="C51" s="11" t="s">
        <v>184</v>
      </c>
      <c r="F51" s="27"/>
      <c r="G51" s="46">
        <f>G50/-G49</f>
        <v>-0.35990641446664762</v>
      </c>
      <c r="H51" s="29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</row>
    <row r="52" spans="1:99" x14ac:dyDescent="0.25">
      <c r="A52" s="11" t="s">
        <v>181</v>
      </c>
      <c r="B52" s="11" t="s">
        <v>185</v>
      </c>
      <c r="C52" s="11" t="s">
        <v>186</v>
      </c>
      <c r="F52" s="31"/>
      <c r="G52" s="47"/>
      <c r="H52" s="32">
        <f t="shared" ref="H52:AM52" si="16">SUM(H2:H47)</f>
        <v>0</v>
      </c>
      <c r="I52" s="26">
        <f t="shared" si="16"/>
        <v>-7018</v>
      </c>
      <c r="J52" s="26">
        <f t="shared" si="16"/>
        <v>0</v>
      </c>
      <c r="K52" s="26">
        <f t="shared" si="16"/>
        <v>-8842.8252000000011</v>
      </c>
      <c r="L52" s="26">
        <f t="shared" si="16"/>
        <v>0</v>
      </c>
      <c r="M52" s="26">
        <f t="shared" si="16"/>
        <v>-43664.317488000001</v>
      </c>
      <c r="N52" s="26">
        <f t="shared" si="16"/>
        <v>0</v>
      </c>
      <c r="O52" s="26">
        <f t="shared" si="16"/>
        <v>0</v>
      </c>
      <c r="P52" s="26">
        <f t="shared" si="16"/>
        <v>-71333.951831999992</v>
      </c>
      <c r="Q52" s="26">
        <f t="shared" si="16"/>
        <v>-16081.2</v>
      </c>
      <c r="R52" s="26">
        <f t="shared" si="16"/>
        <v>-1945.8252000000002</v>
      </c>
      <c r="S52" s="26">
        <f t="shared" si="16"/>
        <v>0</v>
      </c>
      <c r="T52" s="26">
        <f t="shared" si="16"/>
        <v>-64324.800000000003</v>
      </c>
      <c r="U52" s="26">
        <f t="shared" si="16"/>
        <v>0</v>
      </c>
      <c r="V52" s="26">
        <f t="shared" si="16"/>
        <v>0</v>
      </c>
      <c r="W52" s="26">
        <f t="shared" si="16"/>
        <v>-13013.669005568001</v>
      </c>
      <c r="X52" s="26">
        <f t="shared" si="16"/>
        <v>-9588.7755766666669</v>
      </c>
      <c r="Y52" s="26">
        <f t="shared" si="16"/>
        <v>-9157.0608324363711</v>
      </c>
      <c r="Z52" s="26">
        <f t="shared" si="16"/>
        <v>-27284.353451057497</v>
      </c>
      <c r="AA52" s="26">
        <f t="shared" si="16"/>
        <v>-44538.353588910977</v>
      </c>
      <c r="AB52" s="26">
        <f t="shared" si="16"/>
        <v>-86555.587894005512</v>
      </c>
      <c r="AC52" s="26">
        <f t="shared" si="16"/>
        <v>-81694.302808704611</v>
      </c>
      <c r="AD52" s="26">
        <f t="shared" si="16"/>
        <v>-94520.508743881597</v>
      </c>
      <c r="AE52" s="26">
        <f t="shared" si="16"/>
        <v>-181640.02207878852</v>
      </c>
      <c r="AF52" s="26">
        <f t="shared" si="16"/>
        <v>-221880.99316092418</v>
      </c>
      <c r="AG52" s="26">
        <f t="shared" si="16"/>
        <v>-155099.72630590212</v>
      </c>
      <c r="AH52" s="26">
        <f t="shared" si="16"/>
        <v>-248404.94579731749</v>
      </c>
      <c r="AI52" s="26">
        <f t="shared" si="16"/>
        <v>-223189.85388661368</v>
      </c>
      <c r="AJ52" s="26">
        <f t="shared" si="16"/>
        <v>-274921.4287929486</v>
      </c>
      <c r="AK52" s="26">
        <f t="shared" si="16"/>
        <v>-115263.74670306002</v>
      </c>
      <c r="AL52" s="26">
        <f t="shared" si="16"/>
        <v>-196178.92577113013</v>
      </c>
      <c r="AM52" s="26">
        <f t="shared" si="16"/>
        <v>-11567.940118650598</v>
      </c>
      <c r="AN52" s="26">
        <f t="shared" ref="AN52:BS52" si="17">SUM(AN2:AN47)</f>
        <v>1203114.5406516667</v>
      </c>
      <c r="AO52" s="26">
        <f t="shared" si="17"/>
        <v>1894.2257266212105</v>
      </c>
      <c r="AP52" s="26">
        <f t="shared" si="17"/>
        <v>1933.2087313443722</v>
      </c>
      <c r="AQ52" s="26">
        <f t="shared" si="17"/>
        <v>1972.3054364979766</v>
      </c>
      <c r="AR52" s="26">
        <f t="shared" si="17"/>
        <v>2011.516173708279</v>
      </c>
      <c r="AS52" s="26">
        <f t="shared" si="17"/>
        <v>2050.8412755687777</v>
      </c>
      <c r="AT52" s="26">
        <f t="shared" si="17"/>
        <v>2090.2810756430363</v>
      </c>
      <c r="AU52" s="26">
        <f t="shared" si="17"/>
        <v>2129.8359084675121</v>
      </c>
      <c r="AV52" s="26">
        <f t="shared" si="17"/>
        <v>2169.506109554392</v>
      </c>
      <c r="AW52" s="26">
        <f t="shared" si="17"/>
        <v>2209.2920153944419</v>
      </c>
      <c r="AX52" s="26">
        <f t="shared" si="17"/>
        <v>2249.1939634598593</v>
      </c>
      <c r="AY52" s="26">
        <f t="shared" si="17"/>
        <v>2289.2122922071335</v>
      </c>
      <c r="AZ52" s="26">
        <f t="shared" si="17"/>
        <v>2329.3473410799211</v>
      </c>
      <c r="BA52" s="26">
        <f t="shared" si="17"/>
        <v>2369.5994505119206</v>
      </c>
      <c r="BB52" s="26">
        <f t="shared" si="17"/>
        <v>2409.9689619297633</v>
      </c>
      <c r="BC52" s="26">
        <f t="shared" si="17"/>
        <v>2450.4562177559087</v>
      </c>
      <c r="BD52" s="26">
        <f t="shared" si="17"/>
        <v>2491.0615614115463</v>
      </c>
      <c r="BE52" s="26">
        <f t="shared" si="17"/>
        <v>2531.785337319513</v>
      </c>
      <c r="BF52" s="26">
        <f t="shared" si="17"/>
        <v>2572.6278909072116</v>
      </c>
      <c r="BG52" s="26">
        <f t="shared" si="17"/>
        <v>2613.5895686095409</v>
      </c>
      <c r="BH52" s="26">
        <f t="shared" si="17"/>
        <v>2654.6707178718352</v>
      </c>
      <c r="BI52" s="26">
        <f t="shared" si="17"/>
        <v>2695.8716871528118</v>
      </c>
      <c r="BJ52" s="26">
        <f t="shared" si="17"/>
        <v>2737.1928259275237</v>
      </c>
      <c r="BK52" s="26">
        <f t="shared" si="17"/>
        <v>2778.6344846903289</v>
      </c>
      <c r="BL52" s="26">
        <f t="shared" si="17"/>
        <v>2820.1970149578588</v>
      </c>
      <c r="BM52" s="26">
        <f t="shared" si="17"/>
        <v>2861.880769272002</v>
      </c>
      <c r="BN52" s="26">
        <f t="shared" si="17"/>
        <v>2903.6861012028958</v>
      </c>
      <c r="BO52" s="26">
        <f t="shared" si="17"/>
        <v>2945.6133653519205</v>
      </c>
      <c r="BP52" s="26">
        <f t="shared" si="17"/>
        <v>2987.662917354713</v>
      </c>
      <c r="BQ52" s="26">
        <f t="shared" si="17"/>
        <v>3029.8351138841808</v>
      </c>
      <c r="BR52" s="26">
        <f t="shared" si="17"/>
        <v>3072.1303126535267</v>
      </c>
      <c r="BS52" s="26">
        <f t="shared" si="17"/>
        <v>3114.5488724192824</v>
      </c>
      <c r="BT52" s="26">
        <f t="shared" ref="BT52:CU52" si="18">SUM(BT2:BT47)</f>
        <v>3157.0911529843552</v>
      </c>
      <c r="BU52" s="26">
        <f t="shared" si="18"/>
        <v>3199.7575152010759</v>
      </c>
      <c r="BV52" s="26">
        <f t="shared" si="18"/>
        <v>3242.5483209742624</v>
      </c>
      <c r="BW52" s="26">
        <f t="shared" si="18"/>
        <v>3285.4639332642873</v>
      </c>
      <c r="BX52" s="26">
        <f t="shared" si="18"/>
        <v>3328.5047160901577</v>
      </c>
      <c r="BY52" s="26">
        <f t="shared" si="18"/>
        <v>3371.6710345326037</v>
      </c>
      <c r="BZ52" s="26">
        <f t="shared" si="18"/>
        <v>3414.9632547371739</v>
      </c>
      <c r="CA52" s="26">
        <f t="shared" si="18"/>
        <v>3458.3817439173408</v>
      </c>
      <c r="CB52" s="26">
        <f t="shared" si="18"/>
        <v>3501.9268703576163</v>
      </c>
      <c r="CC52" s="26">
        <f t="shared" si="18"/>
        <v>3545.5990034166757</v>
      </c>
      <c r="CD52" s="26">
        <f t="shared" si="18"/>
        <v>3589.3985135304906</v>
      </c>
      <c r="CE52" s="26">
        <f t="shared" si="18"/>
        <v>3633.3257722154713</v>
      </c>
      <c r="CF52" s="26">
        <f t="shared" si="18"/>
        <v>3677.3811520716163</v>
      </c>
      <c r="CG52" s="26">
        <f t="shared" si="18"/>
        <v>3721.5650267856749</v>
      </c>
      <c r="CH52" s="26">
        <f t="shared" si="18"/>
        <v>3765.8777711343164</v>
      </c>
      <c r="CI52" s="26">
        <f t="shared" si="18"/>
        <v>3810.3197609873077</v>
      </c>
      <c r="CJ52" s="26">
        <f t="shared" si="18"/>
        <v>3854.8913733107038</v>
      </c>
      <c r="CK52" s="26">
        <f t="shared" si="18"/>
        <v>3899.5929861700433</v>
      </c>
      <c r="CL52" s="26">
        <f t="shared" si="18"/>
        <v>3944.4249787335557</v>
      </c>
      <c r="CM52" s="26">
        <f t="shared" si="18"/>
        <v>3989.3877312753784</v>
      </c>
      <c r="CN52" s="26">
        <f t="shared" si="18"/>
        <v>4034.4816251787815</v>
      </c>
      <c r="CO52" s="26">
        <f t="shared" si="18"/>
        <v>4079.707042939403</v>
      </c>
      <c r="CP52" s="26">
        <f t="shared" si="18"/>
        <v>4125.0643681684924</v>
      </c>
      <c r="CQ52" s="26">
        <f t="shared" si="18"/>
        <v>4170.553985596167</v>
      </c>
      <c r="CR52" s="26">
        <f t="shared" si="18"/>
        <v>4216.1762810746723</v>
      </c>
      <c r="CS52" s="26">
        <f t="shared" si="18"/>
        <v>4261.9316415816565</v>
      </c>
      <c r="CT52" s="26">
        <f t="shared" si="18"/>
        <v>4307.8204552234529</v>
      </c>
      <c r="CU52" s="26">
        <f t="shared" si="18"/>
        <v>77.314358918370999</v>
      </c>
    </row>
    <row r="53" spans="1:99" x14ac:dyDescent="0.25">
      <c r="A53" s="11" t="s">
        <v>181</v>
      </c>
      <c r="B53" s="11" t="s">
        <v>185</v>
      </c>
      <c r="C53" s="11" t="s">
        <v>187</v>
      </c>
      <c r="F53" s="27"/>
      <c r="G53" s="46">
        <f>SUM(H52:CU52)</f>
        <v>-826561.67199379695</v>
      </c>
      <c r="H53" s="49">
        <f>SUM(H52:R52)</f>
        <v>-148886.11971999999</v>
      </c>
      <c r="I53" s="49"/>
      <c r="J53" s="49"/>
      <c r="K53" s="49"/>
      <c r="L53" s="49"/>
      <c r="M53" s="49"/>
      <c r="N53" s="49"/>
      <c r="O53" s="49"/>
      <c r="P53" s="49"/>
      <c r="Q53" s="49"/>
      <c r="R53" s="50"/>
      <c r="S53" s="51">
        <f>SUM(S52:AD52)</f>
        <v>-430677.41190123127</v>
      </c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50"/>
      <c r="AE53" s="51">
        <f>SUM(AE52:AP52)</f>
        <v>-421205.60750570294</v>
      </c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50"/>
      <c r="AQ53" s="51">
        <f>SUM(AQ52:BB52)</f>
        <v>26280.900004023009</v>
      </c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50"/>
      <c r="BC53" s="51">
        <f>SUM(BC52:BN52)</f>
        <v>32111.654177078977</v>
      </c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50"/>
      <c r="BO53" s="51">
        <f>SUM(BO52:BZ52)</f>
        <v>38149.790509447543</v>
      </c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50"/>
      <c r="CA53" s="51">
        <f>SUM(CA52:CL52)</f>
        <v>44402.684952630814</v>
      </c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50"/>
      <c r="CM53" s="51">
        <f>SUM(CM52:CU52)</f>
        <v>33262.437489956385</v>
      </c>
      <c r="CN53" s="49"/>
      <c r="CO53" s="49"/>
      <c r="CP53" s="49"/>
      <c r="CQ53" s="49"/>
      <c r="CR53" s="49"/>
      <c r="CS53" s="49"/>
      <c r="CT53" s="49"/>
      <c r="CU53" s="50"/>
    </row>
    <row r="54" spans="1:99" x14ac:dyDescent="0.25">
      <c r="A54" s="11" t="s">
        <v>181</v>
      </c>
      <c r="B54" s="11" t="s">
        <v>188</v>
      </c>
      <c r="C54" s="11" t="s">
        <v>189</v>
      </c>
      <c r="F54" s="27"/>
      <c r="G54" s="45">
        <v>0.06</v>
      </c>
      <c r="H54" s="29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</row>
    <row r="55" spans="1:99" x14ac:dyDescent="0.25">
      <c r="A55" s="11" t="s">
        <v>181</v>
      </c>
      <c r="B55" s="11" t="s">
        <v>188</v>
      </c>
      <c r="C55" s="11" t="s">
        <v>91</v>
      </c>
      <c r="F55" s="27"/>
      <c r="G55" s="45">
        <f xml:space="preserve"> (1+G54)^(1/12)-1</f>
        <v>4.8675505653430484E-3</v>
      </c>
      <c r="H55" s="29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</row>
    <row r="56" spans="1:99" x14ac:dyDescent="0.25">
      <c r="A56" s="11" t="s">
        <v>181</v>
      </c>
      <c r="B56" s="11" t="s">
        <v>188</v>
      </c>
      <c r="C56" s="11" t="s">
        <v>92</v>
      </c>
      <c r="F56" s="27"/>
      <c r="G56" s="45">
        <v>5.0000000000000001E-4</v>
      </c>
      <c r="H56" s="29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spans="1:99" x14ac:dyDescent="0.25">
      <c r="A57" s="11" t="s">
        <v>181</v>
      </c>
      <c r="B57" s="11" t="s">
        <v>190</v>
      </c>
      <c r="C57" s="11" t="s">
        <v>93</v>
      </c>
      <c r="F57" s="27"/>
      <c r="G57" s="45">
        <f>NPV(G55,Q52:CU52)+SUM(H52:P52)</f>
        <v>-839718.07406841568</v>
      </c>
      <c r="H57" s="33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</row>
    <row r="58" spans="1:99" x14ac:dyDescent="0.25">
      <c r="A58" s="11" t="s">
        <v>181</v>
      </c>
      <c r="B58" s="11" t="s">
        <v>190</v>
      </c>
      <c r="C58" s="11" t="s">
        <v>94</v>
      </c>
      <c r="F58" s="27"/>
      <c r="G58" s="45">
        <f>CU58</f>
        <v>-2.0839788283183447E-3</v>
      </c>
      <c r="H58" s="32"/>
      <c r="I58" s="26">
        <f>MIRR(H52:I52,G56,G55)</f>
        <v>-1</v>
      </c>
      <c r="J58" s="26">
        <f>MIRR($H$52:J52,$G$56,$G$55)</f>
        <v>-1</v>
      </c>
      <c r="K58" s="26">
        <f>MIRR($H$52:K52,$G$56,$G$55)</f>
        <v>-1</v>
      </c>
      <c r="L58" s="26">
        <f>MIRR($H$52:L52,$G$56,$G$55)</f>
        <v>-1</v>
      </c>
      <c r="M58" s="26">
        <f>MIRR($H$52:M52,$G$56,$G$55)</f>
        <v>-1</v>
      </c>
      <c r="N58" s="26">
        <f>MIRR($H$52:N52,$G$56,$G$55)</f>
        <v>-1</v>
      </c>
      <c r="O58" s="26">
        <f>MIRR($H$52:O52,$G$56,$G$55)</f>
        <v>-1</v>
      </c>
      <c r="P58" s="26">
        <f>MIRR($H$52:P52,$G$56,$G$55)</f>
        <v>-1</v>
      </c>
      <c r="Q58" s="26">
        <f>MIRR($H$52:Q52,$G$56,$G$55)</f>
        <v>-1</v>
      </c>
      <c r="R58" s="26">
        <f>MIRR($H$52:R52,$G$56,$G$55)</f>
        <v>-1</v>
      </c>
      <c r="S58" s="26">
        <f>MIRR($H$52:S52,$G$56,$G$55)</f>
        <v>-1</v>
      </c>
      <c r="T58" s="26">
        <f>MIRR($H$52:T52,$G$56,$G$55)</f>
        <v>-1</v>
      </c>
      <c r="U58" s="26">
        <f>MIRR($H$52:U52,$G$56,$G$55)</f>
        <v>-1</v>
      </c>
      <c r="V58" s="26">
        <f>MIRR($H$52:V52,$G$56,$G$55)</f>
        <v>-1</v>
      </c>
      <c r="W58" s="26">
        <f>MIRR($H$52:W52,$G$56,$G$55)</f>
        <v>-1</v>
      </c>
      <c r="X58" s="26">
        <f>MIRR($H$52:X52,$G$56,$G$55)</f>
        <v>-1</v>
      </c>
      <c r="Y58" s="26">
        <f>MIRR($H$52:Y52,$G$56,$G$55)</f>
        <v>-1</v>
      </c>
      <c r="Z58" s="26">
        <f>MIRR($H$52:Z52,$G$56,$G$55)</f>
        <v>-1</v>
      </c>
      <c r="AA58" s="26">
        <f>MIRR($H$52:AA52,$G$56,$G$55)</f>
        <v>-1</v>
      </c>
      <c r="AB58" s="26">
        <f>MIRR($H$52:AB52,$G$56,$G$55)</f>
        <v>-1</v>
      </c>
      <c r="AC58" s="26">
        <f>MIRR($H$52:AC52,$G$56,$G$55)</f>
        <v>-1</v>
      </c>
      <c r="AD58" s="26">
        <f>MIRR($H$52:AD52,$G$56,$G$55)</f>
        <v>-1</v>
      </c>
      <c r="AE58" s="26">
        <f>MIRR($H$52:AE52,$G$56,$G$55)</f>
        <v>-1</v>
      </c>
      <c r="AF58" s="26">
        <f>MIRR($H$52:AF52,$G$56,$G$55)</f>
        <v>-1</v>
      </c>
      <c r="AG58" s="26">
        <f>MIRR($H$52:AG52,$G$56,$G$55)</f>
        <v>-1</v>
      </c>
      <c r="AH58" s="26">
        <f>MIRR($H$52:AH52,$G$56,$G$55)</f>
        <v>-1</v>
      </c>
      <c r="AI58" s="26">
        <f>MIRR($H$52:AI52,$G$56,$G$55)</f>
        <v>-1</v>
      </c>
      <c r="AJ58" s="26">
        <f>MIRR($H$52:AJ52,$G$56,$G$55)</f>
        <v>-1</v>
      </c>
      <c r="AK58" s="26">
        <f>MIRR($H$52:AK52,$G$56,$G$55)</f>
        <v>-1</v>
      </c>
      <c r="AL58" s="26">
        <f>MIRR($H$52:AL52,$G$56,$G$55)</f>
        <v>-1</v>
      </c>
      <c r="AM58" s="26">
        <f>MIRR($H$52:AM52,$G$56,$G$55)</f>
        <v>-1</v>
      </c>
      <c r="AN58" s="26">
        <f>MIRR($H$52:AN52,$G$56,$G$55)</f>
        <v>-1.8428416797304781E-2</v>
      </c>
      <c r="AO58" s="26">
        <f>MIRR($H$52:AO52,$G$56,$G$55)</f>
        <v>-1.7683875455719478E-2</v>
      </c>
      <c r="AP58" s="26">
        <f>MIRR($H$52:AP52,$G$56,$G$55)</f>
        <v>-1.6981979429185334E-2</v>
      </c>
      <c r="AQ58" s="26">
        <f>MIRR($H$52:AQ52,$G$56,$G$55)</f>
        <v>-1.6319122894131066E-2</v>
      </c>
      <c r="AR58" s="26">
        <f>MIRR($H$52:AR52,$G$56,$G$55)</f>
        <v>-1.5692096225976226E-2</v>
      </c>
      <c r="AS58" s="26">
        <f>MIRR($H$52:AS52,$G$56,$G$55)</f>
        <v>-1.5098033034335767E-2</v>
      </c>
      <c r="AT58" s="26">
        <f>MIRR($H$52:AT52,$G$56,$G$55)</f>
        <v>-1.453436547305953E-2</v>
      </c>
      <c r="AU58" s="26">
        <f>MIRR($H$52:AU52,$G$56,$G$55)</f>
        <v>-1.3998786355174264E-2</v>
      </c>
      <c r="AV58" s="26">
        <f>MIRR($H$52:AV52,$G$56,$G$55)</f>
        <v>-1.3489216893822098E-2</v>
      </c>
      <c r="AW58" s="26">
        <f>MIRR($H$52:AW52,$G$56,$G$55)</f>
        <v>-1.3003779118055836E-2</v>
      </c>
      <c r="AX58" s="26">
        <f>MIRR($H$52:AX52,$G$56,$G$55)</f>
        <v>-1.2540772191789396E-2</v>
      </c>
      <c r="AY58" s="26">
        <f>MIRR($H$52:AY52,$G$56,$G$55)</f>
        <v>-1.2098652006426236E-2</v>
      </c>
      <c r="AZ58" s="26">
        <f>MIRR($H$52:AZ52,$G$56,$G$55)</f>
        <v>-1.1676013531094265E-2</v>
      </c>
      <c r="BA58" s="26">
        <f>MIRR($H$52:BA52,$G$56,$G$55)</f>
        <v>-1.1271575495344521E-2</v>
      </c>
      <c r="BB58" s="26">
        <f>MIRR($H$52:BB52,$G$56,$G$55)</f>
        <v>-1.0884167052460536E-2</v>
      </c>
      <c r="BC58" s="26">
        <f>MIRR($H$52:BC52,$G$56,$G$55)</f>
        <v>-1.0512716130903987E-2</v>
      </c>
      <c r="BD58" s="26">
        <f>MIRR($H$52:BD52,$G$56,$G$55)</f>
        <v>-1.0156239229762387E-2</v>
      </c>
      <c r="BE58" s="26">
        <f>MIRR($H$52:BE52,$G$56,$G$55)</f>
        <v>-9.8138324535942401E-3</v>
      </c>
      <c r="BF58" s="26">
        <f>MIRR($H$52:BF52,$G$56,$G$55)</f>
        <v>-9.4846636145433649E-3</v>
      </c>
      <c r="BG58" s="26">
        <f>MIRR($H$52:BG52,$G$56,$G$55)</f>
        <v>-9.1679652563811942E-3</v>
      </c>
      <c r="BH58" s="26">
        <f>MIRR($H$52:BH52,$G$56,$G$55)</f>
        <v>-8.863028477325563E-3</v>
      </c>
      <c r="BI58" s="26">
        <f>MIRR($H$52:BI52,$G$56,$G$55)</f>
        <v>-8.5691974469290777E-3</v>
      </c>
      <c r="BJ58" s="26">
        <f>MIRR($H$52:BJ52,$G$56,$G$55)</f>
        <v>-8.2858645277327225E-3</v>
      </c>
      <c r="BK58" s="26">
        <f>MIRR($H$52:BK52,$G$56,$G$55)</f>
        <v>-8.0124659252708286E-3</v>
      </c>
      <c r="BL58" s="26">
        <f>MIRR($H$52:BL52,$G$56,$G$55)</f>
        <v>-7.7484778008546362E-3</v>
      </c>
      <c r="BM58" s="26">
        <f>MIRR($H$52:BM52,$G$56,$G$55)</f>
        <v>-7.4934127906981507E-3</v>
      </c>
      <c r="BN58" s="26">
        <f>MIRR($H$52:BN52,$G$56,$G$55)</f>
        <v>-7.2468168826841373E-3</v>
      </c>
      <c r="BO58" s="26">
        <f>MIRR($H$52:BO52,$G$56,$G$55)</f>
        <v>-7.0082666086221934E-3</v>
      </c>
      <c r="BP58" s="26">
        <f>MIRR($H$52:BP52,$G$56,$G$55)</f>
        <v>-6.7773665154370333E-3</v>
      </c>
      <c r="BQ58" s="26">
        <f>MIRR($H$52:BQ52,$G$56,$G$55)</f>
        <v>-6.5537468834881984E-3</v>
      </c>
      <c r="BR58" s="26">
        <f>MIRR($H$52:BR52,$G$56,$G$55)</f>
        <v>-6.3370616642959288E-3</v>
      </c>
      <c r="BS58" s="26">
        <f>MIRR($H$52:BS52,$G$56,$G$55)</f>
        <v>-6.1269866134511242E-3</v>
      </c>
      <c r="BT58" s="26">
        <f>MIRR($H$52:BT52,$G$56,$G$55)</f>
        <v>-5.9232175974920365E-3</v>
      </c>
      <c r="BU58" s="26">
        <f>MIRR($H$52:BU52,$G$56,$G$55)</f>
        <v>-5.7254690561279187E-3</v>
      </c>
      <c r="BV58" s="26">
        <f>MIRR($H$52:BV52,$G$56,$G$55)</f>
        <v>-5.533472603433176E-3</v>
      </c>
      <c r="BW58" s="26">
        <f>MIRR($H$52:BW52,$G$56,$G$55)</f>
        <v>-5.3469757535767881E-3</v>
      </c>
      <c r="BX58" s="26">
        <f>MIRR($H$52:BX52,$G$56,$G$55)</f>
        <v>-5.165740758344195E-3</v>
      </c>
      <c r="BY58" s="26">
        <f>MIRR($H$52:BY52,$G$56,$G$55)</f>
        <v>-4.9895435451744463E-3</v>
      </c>
      <c r="BZ58" s="26">
        <f>MIRR($H$52:BZ52,$G$56,$G$55)</f>
        <v>-4.8181727457177193E-3</v>
      </c>
      <c r="CA58" s="26">
        <f>MIRR($H$52:CA52,$G$56,$G$55)</f>
        <v>-4.6514288060390818E-3</v>
      </c>
      <c r="CB58" s="26">
        <f>MIRR($H$52:CB52,$G$56,$G$55)</f>
        <v>-4.4891231705742607E-3</v>
      </c>
      <c r="CC58" s="26">
        <f>MIRR($H$52:CC52,$G$56,$G$55)</f>
        <v>-4.3310775328024853E-3</v>
      </c>
      <c r="CD58" s="26">
        <f>MIRR($H$52:CD52,$G$56,$G$55)</f>
        <v>-4.1771231463606506E-3</v>
      </c>
      <c r="CE58" s="26">
        <f>MIRR($H$52:CE52,$G$56,$G$55)</f>
        <v>-4.027100190986288E-3</v>
      </c>
      <c r="CF58" s="26">
        <f>MIRR($H$52:CF52,$G$56,$G$55)</f>
        <v>-3.8808571882656961E-3</v>
      </c>
      <c r="CG58" s="26">
        <f>MIRR($H$52:CG52,$G$56,$G$55)</f>
        <v>-3.7382504626825019E-3</v>
      </c>
      <c r="CH58" s="26">
        <f>MIRR($H$52:CH52,$G$56,$G$55)</f>
        <v>-3.5991436439222202E-3</v>
      </c>
      <c r="CI58" s="26">
        <f>MIRR($H$52:CI52,$G$56,$G$55)</f>
        <v>-3.463407206795055E-3</v>
      </c>
      <c r="CJ58" s="26">
        <f>MIRR($H$52:CJ52,$G$56,$G$55)</f>
        <v>-3.3309180455010079E-3</v>
      </c>
      <c r="CK58" s="26">
        <f>MIRR($H$52:CK52,$G$56,$G$55)</f>
        <v>-3.20155907928521E-3</v>
      </c>
      <c r="CL58" s="26">
        <f>MIRR($H$52:CL52,$G$56,$G$55)</f>
        <v>-3.0752188868148345E-3</v>
      </c>
      <c r="CM58" s="26">
        <f>MIRR($H$52:CM52,$G$56,$G$55)</f>
        <v>-2.9517913668681839E-3</v>
      </c>
      <c r="CN58" s="26">
        <f>MIRR($H$52:CN52,$G$56,$G$55)</f>
        <v>-2.8311754231524766E-3</v>
      </c>
      <c r="CO58" s="26">
        <f>MIRR($H$52:CO52,$G$56,$G$55)</f>
        <v>-2.7132746712726918E-3</v>
      </c>
      <c r="CP58" s="26">
        <f>MIRR($H$52:CP52,$G$56,$G$55)</f>
        <v>-2.5979971660572421E-3</v>
      </c>
      <c r="CQ58" s="26">
        <f>MIRR($H$52:CQ52,$G$56,$G$55)</f>
        <v>-2.4852551476081119E-3</v>
      </c>
      <c r="CR58" s="26">
        <f>MIRR($H$52:CR52,$G$56,$G$55)</f>
        <v>-2.3749648045952032E-3</v>
      </c>
      <c r="CS58" s="26">
        <f>MIRR($H$52:CS52,$G$56,$G$55)</f>
        <v>-2.2670460534417458E-3</v>
      </c>
      <c r="CT58" s="26">
        <f>MIRR($H$52:CT52,$G$56,$G$55)</f>
        <v>-2.1614223321718695E-3</v>
      </c>
      <c r="CU58" s="26">
        <f>MIRR($H$52:CU52,$G$56,$G$55)</f>
        <v>-2.0839788283183447E-3</v>
      </c>
    </row>
    <row r="59" spans="1:99" x14ac:dyDescent="0.25">
      <c r="F59" s="36"/>
      <c r="G59" s="45"/>
      <c r="H59" s="37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</row>
  </sheetData>
  <mergeCells count="8">
    <mergeCell ref="BO53:BZ53"/>
    <mergeCell ref="CA53:CL53"/>
    <mergeCell ref="CM53:CU53"/>
    <mergeCell ref="H53:R53"/>
    <mergeCell ref="S53:AD53"/>
    <mergeCell ref="AE53:AP53"/>
    <mergeCell ref="AQ53:BB53"/>
    <mergeCell ref="BC53:BN53"/>
  </mergeCells>
  <conditionalFormatting sqref="AG19 AG22 AJ19 AJ22 AM19 AM22 AP22">
    <cfRule type="cellIs" dxfId="93" priority="6" stopIfTrue="1" operator="equal">
      <formula>#REF!</formula>
    </cfRule>
  </conditionalFormatting>
  <conditionalFormatting sqref="Y19:AF19 Y22:AF22 AH19:AI19 AH22:AI22 AK19:AL19 AK22:AL22 AN22:AO22 H33:V39 W33:CU36 W38:BC38 W39:CU39 N24:R24 H23:M24 N23:CU23 H16:W17 Y16:CU16 X17:CU17 H6:W12 Y7:AM7 X8:AM8 X6:AM6 Z9:AM9 AN6:CU9 X9:Y12 Z10:CU12 H2:CU5 H13:CU15 H18:H22 AQ22:CU22 H25:CU32 K22:R22 K19:R19 K18:AM18 K20:AM20 AU18:CU21 H40:CU46 K21:W21 Z21:AM21">
    <cfRule type="cellIs" dxfId="92" priority="8" stopIfTrue="1" operator="equal">
      <formula>#REF!</formula>
    </cfRule>
  </conditionalFormatting>
  <conditionalFormatting sqref="X7 X16 S19:X19 S22:X22 W37:CU37 S24:CU24">
    <cfRule type="cellIs" dxfId="91" priority="7" stopIfTrue="1" operator="equal">
      <formula>#REF!</formula>
    </cfRule>
  </conditionalFormatting>
  <conditionalFormatting sqref="H47:CU47">
    <cfRule type="cellIs" dxfId="90" priority="5" stopIfTrue="1" operator="equal">
      <formula>#REF!</formula>
    </cfRule>
  </conditionalFormatting>
  <conditionalFormatting sqref="I18:J22">
    <cfRule type="cellIs" dxfId="89" priority="4" stopIfTrue="1" operator="equal">
      <formula>#REF!</formula>
    </cfRule>
  </conditionalFormatting>
  <conditionalFormatting sqref="AN18:AT21">
    <cfRule type="cellIs" dxfId="88" priority="3" stopIfTrue="1" operator="equal">
      <formula>#REF!</formula>
    </cfRule>
  </conditionalFormatting>
  <conditionalFormatting sqref="Y21">
    <cfRule type="cellIs" dxfId="87" priority="2" stopIfTrue="1" operator="equal">
      <formula>#REF!</formula>
    </cfRule>
  </conditionalFormatting>
  <conditionalFormatting sqref="X21">
    <cfRule type="cellIs" dxfId="86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7"/>
  <dimension ref="A2:T43"/>
  <sheetViews>
    <sheetView workbookViewId="0">
      <selection activeCell="D24" sqref="D24:D25"/>
    </sheetView>
  </sheetViews>
  <sheetFormatPr baseColWidth="10" defaultRowHeight="15" x14ac:dyDescent="0.25"/>
  <cols>
    <col min="1" max="2" width="12.7109375" bestFit="1" customWidth="1"/>
    <col min="3" max="3" width="17" bestFit="1" customWidth="1"/>
    <col min="4" max="4" width="12.42578125" bestFit="1" customWidth="1"/>
    <col min="15" max="15" width="12.42578125" bestFit="1" customWidth="1"/>
  </cols>
  <sheetData>
    <row r="2" spans="1:20" x14ac:dyDescent="0.25">
      <c r="A2" s="1"/>
    </row>
    <row r="3" spans="1:20" x14ac:dyDescent="0.25">
      <c r="A3" s="1"/>
      <c r="D3" s="3" t="s">
        <v>141</v>
      </c>
      <c r="E3" s="3"/>
      <c r="F3" s="3"/>
      <c r="G3" s="3"/>
      <c r="H3" s="3"/>
      <c r="I3" s="3"/>
      <c r="J3" s="3"/>
    </row>
    <row r="4" spans="1:20" x14ac:dyDescent="0.25">
      <c r="A4" s="1"/>
    </row>
    <row r="5" spans="1:20" x14ac:dyDescent="0.25">
      <c r="A5" s="1"/>
      <c r="E5">
        <v>19</v>
      </c>
      <c r="F5">
        <v>20</v>
      </c>
      <c r="G5">
        <v>21</v>
      </c>
      <c r="H5">
        <v>22</v>
      </c>
      <c r="I5">
        <v>23</v>
      </c>
      <c r="J5">
        <v>24</v>
      </c>
      <c r="K5">
        <v>25</v>
      </c>
      <c r="L5">
        <v>26</v>
      </c>
      <c r="M5">
        <v>27</v>
      </c>
      <c r="N5">
        <v>28</v>
      </c>
      <c r="O5">
        <v>29</v>
      </c>
      <c r="P5">
        <v>30</v>
      </c>
      <c r="Q5">
        <v>31</v>
      </c>
      <c r="R5">
        <v>32</v>
      </c>
    </row>
    <row r="6" spans="1:20" x14ac:dyDescent="0.25">
      <c r="A6" s="1"/>
      <c r="E6" s="2">
        <v>0.01</v>
      </c>
      <c r="F6" s="2">
        <v>2.5000000000000001E-2</v>
      </c>
      <c r="G6" s="2">
        <v>3.6999999999999998E-2</v>
      </c>
      <c r="H6" s="2">
        <v>5.8000000000000003E-2</v>
      </c>
      <c r="I6" s="2">
        <v>6.2E-2</v>
      </c>
      <c r="J6" s="2">
        <v>6.2E-2</v>
      </c>
      <c r="K6" s="2">
        <v>0.06</v>
      </c>
      <c r="L6" s="2">
        <v>6.0999999999999999E-2</v>
      </c>
      <c r="M6" s="2">
        <v>7.2999999999999995E-2</v>
      </c>
      <c r="N6" s="2">
        <v>0.125</v>
      </c>
      <c r="O6" s="2">
        <v>0.16500000000000001</v>
      </c>
      <c r="P6" s="2">
        <v>0.121</v>
      </c>
      <c r="Q6" s="2">
        <v>8.2000000000000003E-2</v>
      </c>
      <c r="R6" s="2">
        <v>5.8999999999999997E-2</v>
      </c>
      <c r="S6" s="2"/>
      <c r="T6" s="2"/>
    </row>
    <row r="7" spans="1:20" x14ac:dyDescent="0.25">
      <c r="A7" s="1"/>
      <c r="B7">
        <v>-6226572.9240000006</v>
      </c>
      <c r="C7" t="s">
        <v>10</v>
      </c>
      <c r="D7">
        <v>-6226572.9240000006</v>
      </c>
      <c r="E7" s="1">
        <f>$D$7*E6</f>
        <v>-62265.729240000008</v>
      </c>
      <c r="F7" s="1">
        <f t="shared" ref="F7:R7" si="0">$D$7*F6</f>
        <v>-155664.32310000001</v>
      </c>
      <c r="G7" s="1">
        <f t="shared" si="0"/>
        <v>-230383.19818800001</v>
      </c>
      <c r="H7" s="1">
        <f t="shared" si="0"/>
        <v>-361141.22959200008</v>
      </c>
      <c r="I7" s="1">
        <f t="shared" si="0"/>
        <v>-386047.52128800005</v>
      </c>
      <c r="J7" s="1">
        <f t="shared" si="0"/>
        <v>-386047.52128800005</v>
      </c>
      <c r="K7" s="1">
        <f t="shared" si="0"/>
        <v>-373594.37544000003</v>
      </c>
      <c r="L7" s="1">
        <f t="shared" si="0"/>
        <v>-379820.94836400001</v>
      </c>
      <c r="M7" s="1">
        <f t="shared" si="0"/>
        <v>-454539.82345200004</v>
      </c>
      <c r="N7" s="1">
        <f t="shared" si="0"/>
        <v>-778321.61550000007</v>
      </c>
      <c r="O7" s="1">
        <f t="shared" si="0"/>
        <v>-1027384.5324600001</v>
      </c>
      <c r="P7" s="1">
        <f t="shared" si="0"/>
        <v>-753415.32380400004</v>
      </c>
      <c r="Q7" s="1">
        <f t="shared" si="0"/>
        <v>-510578.97976800008</v>
      </c>
      <c r="R7" s="1">
        <f t="shared" si="0"/>
        <v>-367367.802516</v>
      </c>
    </row>
    <row r="8" spans="1:20" x14ac:dyDescent="0.25">
      <c r="A8" s="1"/>
      <c r="E8" s="2">
        <v>0.02</v>
      </c>
      <c r="F8" s="2">
        <v>9.5000000000000001E-2</v>
      </c>
      <c r="G8" s="2">
        <v>0.30499999999999999</v>
      </c>
      <c r="H8" s="2">
        <v>0.45500000000000002</v>
      </c>
      <c r="I8" s="2">
        <v>0.125</v>
      </c>
      <c r="J8" s="1"/>
      <c r="K8" s="1"/>
      <c r="L8" s="1"/>
      <c r="M8" s="1"/>
      <c r="N8" s="1"/>
      <c r="O8" s="1"/>
      <c r="P8" s="1"/>
      <c r="Q8" s="1"/>
      <c r="R8" s="1"/>
    </row>
    <row r="9" spans="1:20" x14ac:dyDescent="0.25">
      <c r="A9" s="10"/>
      <c r="B9">
        <v>-585933.4408199999</v>
      </c>
      <c r="C9" t="s">
        <v>3</v>
      </c>
      <c r="D9">
        <v>-585933.4408199999</v>
      </c>
      <c r="E9" s="1">
        <f>$D$9*E8</f>
        <v>-11718.668816399999</v>
      </c>
      <c r="F9" s="1">
        <f t="shared" ref="F9:I9" si="1">$D$9*F8</f>
        <v>-55663.67687789999</v>
      </c>
      <c r="G9" s="1">
        <f t="shared" si="1"/>
        <v>-178709.69945009996</v>
      </c>
      <c r="H9" s="1">
        <f t="shared" si="1"/>
        <v>-266599.71557309997</v>
      </c>
      <c r="I9" s="1">
        <f t="shared" si="1"/>
        <v>-73241.680102499988</v>
      </c>
      <c r="J9" s="1"/>
      <c r="K9" s="1"/>
      <c r="L9" s="1"/>
      <c r="M9" s="1"/>
      <c r="N9" s="1"/>
      <c r="O9" s="1"/>
      <c r="P9" s="1"/>
      <c r="Q9" s="1"/>
      <c r="R9" s="1"/>
    </row>
    <row r="10" spans="1:20" x14ac:dyDescent="0.25">
      <c r="A10" s="1"/>
      <c r="B10">
        <f>D10/C10</f>
        <v>-673.3122846460235</v>
      </c>
      <c r="C10">
        <f>' Viabilidad 88 NE ampliando 1pl'!D18</f>
        <v>10117.9</v>
      </c>
      <c r="D10" s="1">
        <f>D7+D9</f>
        <v>-6812506.3648200007</v>
      </c>
      <c r="E10" s="1">
        <f>E7+E9</f>
        <v>-73984.398056400008</v>
      </c>
      <c r="F10" s="1">
        <f t="shared" ref="F10:R10" si="2">F7+F9</f>
        <v>-211327.99997790001</v>
      </c>
      <c r="G10" s="1">
        <f t="shared" si="2"/>
        <v>-409092.89763809997</v>
      </c>
      <c r="H10" s="1">
        <f t="shared" si="2"/>
        <v>-627740.94516510004</v>
      </c>
      <c r="I10" s="1">
        <f t="shared" si="2"/>
        <v>-459289.20139050006</v>
      </c>
      <c r="J10" s="1">
        <f t="shared" si="2"/>
        <v>-386047.52128800005</v>
      </c>
      <c r="K10" s="1">
        <f t="shared" si="2"/>
        <v>-373594.37544000003</v>
      </c>
      <c r="L10" s="1">
        <f t="shared" si="2"/>
        <v>-379820.94836400001</v>
      </c>
      <c r="M10" s="1">
        <f t="shared" si="2"/>
        <v>-454539.82345200004</v>
      </c>
      <c r="N10" s="1">
        <f t="shared" si="2"/>
        <v>-778321.61550000007</v>
      </c>
      <c r="O10" s="1">
        <f t="shared" si="2"/>
        <v>-1027384.5324600001</v>
      </c>
      <c r="P10" s="1">
        <f t="shared" si="2"/>
        <v>-753415.32380400004</v>
      </c>
      <c r="Q10" s="1">
        <f t="shared" si="2"/>
        <v>-510578.97976800008</v>
      </c>
      <c r="R10" s="1">
        <f t="shared" si="2"/>
        <v>-367367.802516</v>
      </c>
    </row>
    <row r="11" spans="1:20" x14ac:dyDescent="0.25">
      <c r="A11" s="1"/>
      <c r="D11" s="3" t="s">
        <v>142</v>
      </c>
    </row>
    <row r="12" spans="1:20" x14ac:dyDescent="0.25">
      <c r="A12" s="1"/>
      <c r="E12">
        <v>19</v>
      </c>
      <c r="F12">
        <v>20</v>
      </c>
      <c r="G12">
        <v>21</v>
      </c>
      <c r="H12">
        <v>22</v>
      </c>
      <c r="I12">
        <v>23</v>
      </c>
      <c r="J12">
        <v>24</v>
      </c>
      <c r="K12">
        <v>25</v>
      </c>
      <c r="L12">
        <v>26</v>
      </c>
      <c r="M12">
        <v>27</v>
      </c>
      <c r="N12">
        <v>28</v>
      </c>
      <c r="O12">
        <v>29</v>
      </c>
      <c r="P12">
        <v>30</v>
      </c>
      <c r="Q12">
        <v>31</v>
      </c>
      <c r="R12">
        <v>32</v>
      </c>
    </row>
    <row r="13" spans="1:20" x14ac:dyDescent="0.25">
      <c r="A13" s="1"/>
      <c r="E13" s="2">
        <v>0.01</v>
      </c>
      <c r="F13" s="2">
        <v>2.5000000000000001E-2</v>
      </c>
      <c r="G13" s="2">
        <v>3.6999999999999998E-2</v>
      </c>
      <c r="H13" s="2">
        <v>5.8000000000000003E-2</v>
      </c>
      <c r="I13" s="2">
        <v>6.2E-2</v>
      </c>
      <c r="J13" s="2">
        <v>6.2E-2</v>
      </c>
      <c r="K13" s="2">
        <v>0.06</v>
      </c>
      <c r="L13" s="2">
        <v>6.0999999999999999E-2</v>
      </c>
      <c r="M13" s="2">
        <v>7.2999999999999995E-2</v>
      </c>
      <c r="N13" s="2">
        <v>0.125</v>
      </c>
      <c r="O13" s="2">
        <v>0.16500000000000001</v>
      </c>
      <c r="P13" s="2">
        <v>0.121</v>
      </c>
      <c r="Q13" s="2">
        <v>8.2000000000000003E-2</v>
      </c>
      <c r="R13" s="2">
        <v>5.8999999999999997E-2</v>
      </c>
    </row>
    <row r="14" spans="1:20" x14ac:dyDescent="0.25">
      <c r="A14" s="1"/>
      <c r="B14" s="1">
        <v>-7471887.5088</v>
      </c>
      <c r="C14" t="s">
        <v>10</v>
      </c>
      <c r="D14" s="1">
        <v>-7471887.5088</v>
      </c>
      <c r="E14" s="1">
        <f>$D$14*E13</f>
        <v>-74718.875088000001</v>
      </c>
      <c r="F14" s="1">
        <f t="shared" ref="F14:R14" si="3">$D$14*F13</f>
        <v>-186797.18772000002</v>
      </c>
      <c r="G14" s="1">
        <f t="shared" si="3"/>
        <v>-276459.8378256</v>
      </c>
      <c r="H14" s="1">
        <f t="shared" si="3"/>
        <v>-433369.47551040002</v>
      </c>
      <c r="I14" s="1">
        <f t="shared" si="3"/>
        <v>-463257.02554559999</v>
      </c>
      <c r="J14" s="1">
        <f t="shared" si="3"/>
        <v>-463257.02554559999</v>
      </c>
      <c r="K14" s="1">
        <f t="shared" si="3"/>
        <v>-448313.250528</v>
      </c>
      <c r="L14" s="1">
        <f t="shared" si="3"/>
        <v>-455785.13803679997</v>
      </c>
      <c r="M14" s="1">
        <f t="shared" si="3"/>
        <v>-545447.78814239998</v>
      </c>
      <c r="N14" s="1">
        <f t="shared" si="3"/>
        <v>-933985.93859999999</v>
      </c>
      <c r="O14" s="1">
        <f t="shared" si="3"/>
        <v>-1232861.4389520001</v>
      </c>
      <c r="P14" s="1">
        <f t="shared" si="3"/>
        <v>-904098.38856479991</v>
      </c>
      <c r="Q14" s="1">
        <f t="shared" si="3"/>
        <v>-612694.77572160005</v>
      </c>
      <c r="R14" s="1">
        <f t="shared" si="3"/>
        <v>-440841.36301919998</v>
      </c>
    </row>
    <row r="15" spans="1:20" x14ac:dyDescent="0.25">
      <c r="A15" s="1"/>
      <c r="E15" s="2">
        <v>0.02</v>
      </c>
      <c r="F15" s="2">
        <v>9.5000000000000001E-2</v>
      </c>
      <c r="G15" s="2">
        <v>0.30499999999999999</v>
      </c>
      <c r="H15" s="2">
        <v>0.45500000000000002</v>
      </c>
      <c r="I15" s="2">
        <v>0.125</v>
      </c>
    </row>
    <row r="16" spans="1:20" x14ac:dyDescent="0.25">
      <c r="A16" s="1"/>
      <c r="B16">
        <v>-585933.4408199999</v>
      </c>
      <c r="C16" t="s">
        <v>3</v>
      </c>
      <c r="D16" s="1">
        <v>-585933.4408199999</v>
      </c>
      <c r="E16" s="1">
        <f>$D$16*E15</f>
        <v>-11718.668816399999</v>
      </c>
      <c r="F16" s="1">
        <f t="shared" ref="F16:I16" si="4">$D$16*F15</f>
        <v>-55663.67687789999</v>
      </c>
      <c r="G16" s="1">
        <f t="shared" si="4"/>
        <v>-178709.69945009996</v>
      </c>
      <c r="H16" s="1">
        <f t="shared" si="4"/>
        <v>-266599.71557309997</v>
      </c>
      <c r="I16" s="1">
        <f t="shared" si="4"/>
        <v>-73241.680102499988</v>
      </c>
    </row>
    <row r="17" spans="1:18" x14ac:dyDescent="0.25">
      <c r="A17" s="1"/>
      <c r="B17">
        <f>D17/C17</f>
        <v>-680.91000850269143</v>
      </c>
      <c r="C17">
        <f>' Viabilidad 88 NE ampliando 2pl'!D18</f>
        <v>11833.9</v>
      </c>
      <c r="D17" s="1">
        <f>D14+D16</f>
        <v>-8057820.9496200001</v>
      </c>
      <c r="E17" s="1">
        <f>E14+E16</f>
        <v>-86437.543904399994</v>
      </c>
      <c r="F17" s="1">
        <f t="shared" ref="F17:R17" si="5">F14+F16</f>
        <v>-242460.86459790001</v>
      </c>
      <c r="G17" s="1">
        <f t="shared" si="5"/>
        <v>-455169.53727569996</v>
      </c>
      <c r="H17" s="1">
        <f t="shared" si="5"/>
        <v>-699969.19108349993</v>
      </c>
      <c r="I17" s="1">
        <f t="shared" si="5"/>
        <v>-536498.7056481</v>
      </c>
      <c r="J17" s="1">
        <f t="shared" si="5"/>
        <v>-463257.02554559999</v>
      </c>
      <c r="K17" s="1">
        <f t="shared" si="5"/>
        <v>-448313.250528</v>
      </c>
      <c r="L17" s="1">
        <f t="shared" si="5"/>
        <v>-455785.13803679997</v>
      </c>
      <c r="M17" s="1">
        <f t="shared" si="5"/>
        <v>-545447.78814239998</v>
      </c>
      <c r="N17" s="1">
        <f t="shared" si="5"/>
        <v>-933985.93859999999</v>
      </c>
      <c r="O17" s="1">
        <f t="shared" si="5"/>
        <v>-1232861.4389520001</v>
      </c>
      <c r="P17" s="1">
        <f t="shared" si="5"/>
        <v>-904098.38856479991</v>
      </c>
      <c r="Q17" s="1">
        <f t="shared" si="5"/>
        <v>-612694.77572160005</v>
      </c>
      <c r="R17" s="1">
        <f t="shared" si="5"/>
        <v>-440841.36301919998</v>
      </c>
    </row>
    <row r="18" spans="1:18" x14ac:dyDescent="0.25">
      <c r="A18" s="1"/>
      <c r="D18" s="3" t="s">
        <v>148</v>
      </c>
    </row>
    <row r="19" spans="1:18" x14ac:dyDescent="0.25">
      <c r="A19" s="1"/>
      <c r="E19">
        <v>19</v>
      </c>
      <c r="F19">
        <v>20</v>
      </c>
      <c r="G19">
        <v>21</v>
      </c>
      <c r="H19">
        <v>22</v>
      </c>
      <c r="I19">
        <v>23</v>
      </c>
      <c r="J19">
        <v>24</v>
      </c>
      <c r="K19">
        <v>25</v>
      </c>
      <c r="L19">
        <v>26</v>
      </c>
      <c r="M19">
        <v>27</v>
      </c>
      <c r="N19">
        <v>28</v>
      </c>
      <c r="O19">
        <v>29</v>
      </c>
      <c r="P19">
        <v>30</v>
      </c>
      <c r="Q19">
        <v>31</v>
      </c>
      <c r="R19">
        <v>32</v>
      </c>
    </row>
    <row r="20" spans="1:18" x14ac:dyDescent="0.25">
      <c r="A20" s="1"/>
      <c r="E20" s="2">
        <v>0.01</v>
      </c>
      <c r="F20" s="2">
        <v>2.5000000000000001E-2</v>
      </c>
      <c r="G20" s="2">
        <v>3.6999999999999998E-2</v>
      </c>
      <c r="H20" s="2">
        <v>5.8000000000000003E-2</v>
      </c>
      <c r="I20" s="2">
        <v>6.2E-2</v>
      </c>
      <c r="J20" s="2">
        <v>6.2E-2</v>
      </c>
      <c r="K20" s="2">
        <v>0.06</v>
      </c>
      <c r="L20" s="2">
        <v>6.0999999999999999E-2</v>
      </c>
      <c r="M20" s="2">
        <v>7.2999999999999995E-2</v>
      </c>
      <c r="N20" s="2">
        <v>0.125</v>
      </c>
      <c r="O20" s="2">
        <v>0.16500000000000001</v>
      </c>
      <c r="P20" s="2">
        <v>0.121</v>
      </c>
      <c r="Q20" s="2">
        <v>8.2000000000000003E-2</v>
      </c>
      <c r="R20" s="2">
        <v>5.8999999999999997E-2</v>
      </c>
    </row>
    <row r="21" spans="1:18" x14ac:dyDescent="0.25">
      <c r="A21" s="1"/>
      <c r="C21" t="s">
        <v>10</v>
      </c>
      <c r="D21" s="1">
        <f>' Viabilidad 88 NE'!G18</f>
        <v>-4981258.3392000003</v>
      </c>
      <c r="E21" s="1">
        <f>$D$21*E20</f>
        <v>-49812.583392</v>
      </c>
      <c r="F21" s="1">
        <f t="shared" ref="F21:R21" si="6">$D$21*F20</f>
        <v>-124531.45848000002</v>
      </c>
      <c r="G21" s="1">
        <f t="shared" si="6"/>
        <v>-184306.55855039999</v>
      </c>
      <c r="H21" s="1">
        <f t="shared" si="6"/>
        <v>-288912.98367360001</v>
      </c>
      <c r="I21" s="1">
        <f t="shared" si="6"/>
        <v>-308838.01703039999</v>
      </c>
      <c r="J21" s="1">
        <f t="shared" si="6"/>
        <v>-308838.01703039999</v>
      </c>
      <c r="K21" s="1">
        <f t="shared" si="6"/>
        <v>-298875.500352</v>
      </c>
      <c r="L21" s="1">
        <f t="shared" si="6"/>
        <v>-303856.7586912</v>
      </c>
      <c r="M21" s="1">
        <f t="shared" si="6"/>
        <v>-363631.85876159999</v>
      </c>
      <c r="N21" s="1">
        <f t="shared" si="6"/>
        <v>-622657.29240000003</v>
      </c>
      <c r="O21" s="1">
        <f t="shared" si="6"/>
        <v>-821907.62596800004</v>
      </c>
      <c r="P21" s="1">
        <f t="shared" si="6"/>
        <v>-602732.25904320006</v>
      </c>
      <c r="Q21" s="1">
        <f t="shared" si="6"/>
        <v>-408463.18381440005</v>
      </c>
      <c r="R21" s="1">
        <f t="shared" si="6"/>
        <v>-293894.24201280001</v>
      </c>
    </row>
    <row r="22" spans="1:18" x14ac:dyDescent="0.25">
      <c r="A22" s="1"/>
    </row>
    <row r="23" spans="1:18" x14ac:dyDescent="0.25">
      <c r="A23" s="1"/>
      <c r="D23" s="3" t="s">
        <v>149</v>
      </c>
    </row>
    <row r="24" spans="1:18" x14ac:dyDescent="0.25">
      <c r="A24" s="1"/>
      <c r="E24">
        <v>19</v>
      </c>
      <c r="F24">
        <v>20</v>
      </c>
      <c r="G24">
        <v>21</v>
      </c>
      <c r="H24">
        <v>22</v>
      </c>
      <c r="I24">
        <v>23</v>
      </c>
      <c r="J24">
        <v>24</v>
      </c>
      <c r="K24">
        <v>25</v>
      </c>
      <c r="L24">
        <v>26</v>
      </c>
      <c r="M24">
        <v>27</v>
      </c>
      <c r="N24">
        <v>28</v>
      </c>
      <c r="O24">
        <v>29</v>
      </c>
      <c r="P24">
        <v>30</v>
      </c>
      <c r="Q24">
        <v>31</v>
      </c>
      <c r="R24">
        <v>32</v>
      </c>
    </row>
    <row r="25" spans="1:18" x14ac:dyDescent="0.25">
      <c r="A25" s="1"/>
      <c r="E25" s="2"/>
      <c r="F25" s="2"/>
      <c r="G25" s="2"/>
      <c r="H25" s="2"/>
      <c r="I25" s="2"/>
      <c r="J25" s="2">
        <v>0.03</v>
      </c>
      <c r="K25" s="2">
        <v>0.04</v>
      </c>
      <c r="L25" s="2">
        <v>9.2999999999999999E-2</v>
      </c>
      <c r="M25" s="2">
        <v>0.105</v>
      </c>
      <c r="N25" s="2">
        <v>0.16500000000000001</v>
      </c>
      <c r="O25" s="2">
        <v>0.20499999999999999</v>
      </c>
      <c r="P25" s="2">
        <v>0.20799999999999999</v>
      </c>
      <c r="Q25" s="2">
        <v>8.2000000000000003E-2</v>
      </c>
      <c r="R25" s="2">
        <v>7.1999999999999995E-2</v>
      </c>
    </row>
    <row r="26" spans="1:18" x14ac:dyDescent="0.25">
      <c r="A26" s="1"/>
      <c r="C26" t="s">
        <v>10</v>
      </c>
      <c r="D26" s="1">
        <f>' Viabilidad 88 manteniendo+1pl'!G18</f>
        <v>-1245314.5848000001</v>
      </c>
      <c r="E26" s="1"/>
      <c r="F26" s="1"/>
      <c r="G26" s="1"/>
      <c r="H26" s="1"/>
      <c r="I26" s="1"/>
      <c r="J26" s="1">
        <f>$D$26*J25</f>
        <v>-37359.437544</v>
      </c>
      <c r="K26" s="1">
        <f t="shared" ref="K26:R26" si="7">$D$26*K25</f>
        <v>-49812.583392</v>
      </c>
      <c r="L26" s="1">
        <f t="shared" si="7"/>
        <v>-115814.25638640001</v>
      </c>
      <c r="M26" s="1">
        <f t="shared" si="7"/>
        <v>-130758.03140400001</v>
      </c>
      <c r="N26" s="1">
        <f t="shared" si="7"/>
        <v>-205476.90649200001</v>
      </c>
      <c r="O26" s="1">
        <f t="shared" si="7"/>
        <v>-255289.48988400001</v>
      </c>
      <c r="P26" s="1">
        <f t="shared" si="7"/>
        <v>-259025.43363839999</v>
      </c>
      <c r="Q26" s="1">
        <f t="shared" si="7"/>
        <v>-102115.79595360001</v>
      </c>
      <c r="R26" s="1">
        <f t="shared" si="7"/>
        <v>-89662.650105599998</v>
      </c>
    </row>
    <row r="27" spans="1:18" x14ac:dyDescent="0.25">
      <c r="A27" s="1"/>
      <c r="D27" s="1"/>
      <c r="E27" s="2">
        <v>6.0000000000000001E-3</v>
      </c>
      <c r="F27" s="2">
        <v>1.6E-2</v>
      </c>
      <c r="G27" s="2">
        <v>0.04</v>
      </c>
      <c r="H27" s="2">
        <v>3.7499999999999999E-2</v>
      </c>
      <c r="I27" s="2">
        <v>4.4999999999999998E-2</v>
      </c>
      <c r="J27" s="2">
        <v>9.4500000000000001E-2</v>
      </c>
      <c r="K27" s="2">
        <v>0.11749999999999999</v>
      </c>
      <c r="L27" s="2">
        <v>0.08</v>
      </c>
      <c r="M27" s="2">
        <v>0.13300000000000001</v>
      </c>
      <c r="N27" s="2">
        <v>0.11899999999999999</v>
      </c>
      <c r="O27" s="2">
        <v>0.14849999999999999</v>
      </c>
      <c r="P27" s="2">
        <v>5.8500000000000003E-2</v>
      </c>
      <c r="Q27" s="2">
        <v>0.1045</v>
      </c>
      <c r="R27" s="2"/>
    </row>
    <row r="28" spans="1:18" x14ac:dyDescent="0.25">
      <c r="A28" s="1"/>
      <c r="C28" t="s">
        <v>150</v>
      </c>
      <c r="D28" s="1">
        <f>' Viabilidad 88 manteniendo+1pl'!G19</f>
        <v>-1608120</v>
      </c>
      <c r="E28" s="1">
        <f>$D$28*E27</f>
        <v>-9648.7199999999993</v>
      </c>
      <c r="F28" s="1">
        <f t="shared" ref="F28:Q28" si="8">$D$28*F27</f>
        <v>-25729.920000000002</v>
      </c>
      <c r="G28" s="1">
        <f t="shared" si="8"/>
        <v>-64324.800000000003</v>
      </c>
      <c r="H28" s="1">
        <f t="shared" si="8"/>
        <v>-60304.5</v>
      </c>
      <c r="I28" s="1">
        <f t="shared" si="8"/>
        <v>-72365.399999999994</v>
      </c>
      <c r="J28" s="1">
        <f t="shared" si="8"/>
        <v>-151967.34</v>
      </c>
      <c r="K28" s="1">
        <f t="shared" si="8"/>
        <v>-188954.09999999998</v>
      </c>
      <c r="L28" s="1">
        <f t="shared" si="8"/>
        <v>-128649.60000000001</v>
      </c>
      <c r="M28" s="1">
        <f t="shared" si="8"/>
        <v>-213879.96000000002</v>
      </c>
      <c r="N28" s="1">
        <f t="shared" si="8"/>
        <v>-191366.28</v>
      </c>
      <c r="O28" s="1">
        <f t="shared" si="8"/>
        <v>-238805.81999999998</v>
      </c>
      <c r="P28" s="1">
        <f t="shared" si="8"/>
        <v>-94075.02</v>
      </c>
      <c r="Q28" s="1">
        <f t="shared" si="8"/>
        <v>-168048.53999999998</v>
      </c>
      <c r="R28" s="1"/>
    </row>
    <row r="29" spans="1:18" x14ac:dyDescent="0.25">
      <c r="A29" s="1"/>
    </row>
    <row r="30" spans="1:18" x14ac:dyDescent="0.25">
      <c r="A30" s="1"/>
      <c r="D30" s="3" t="s">
        <v>151</v>
      </c>
    </row>
    <row r="31" spans="1:18" x14ac:dyDescent="0.25">
      <c r="A31" s="1"/>
      <c r="E31">
        <v>19</v>
      </c>
      <c r="F31">
        <v>20</v>
      </c>
      <c r="G31">
        <v>21</v>
      </c>
      <c r="H31">
        <v>22</v>
      </c>
      <c r="I31">
        <v>23</v>
      </c>
      <c r="J31">
        <v>24</v>
      </c>
      <c r="K31">
        <v>25</v>
      </c>
      <c r="L31">
        <v>26</v>
      </c>
      <c r="M31">
        <v>27</v>
      </c>
      <c r="N31">
        <v>28</v>
      </c>
      <c r="O31">
        <v>29</v>
      </c>
      <c r="P31">
        <v>30</v>
      </c>
      <c r="Q31">
        <v>31</v>
      </c>
      <c r="R31">
        <v>32</v>
      </c>
    </row>
    <row r="32" spans="1:18" x14ac:dyDescent="0.25">
      <c r="A32" s="1"/>
      <c r="E32" s="2"/>
      <c r="F32" s="2"/>
      <c r="G32" s="2"/>
      <c r="H32" s="2"/>
      <c r="I32" s="2"/>
      <c r="J32" s="2">
        <v>0.03</v>
      </c>
      <c r="K32" s="2">
        <v>0.04</v>
      </c>
      <c r="L32" s="2">
        <v>9.2999999999999999E-2</v>
      </c>
      <c r="M32" s="2">
        <v>0.105</v>
      </c>
      <c r="N32" s="2">
        <v>0.16500000000000001</v>
      </c>
      <c r="O32" s="2">
        <v>0.20499999999999999</v>
      </c>
      <c r="P32" s="2">
        <v>0.20799999999999999</v>
      </c>
      <c r="Q32" s="2">
        <v>8.2000000000000003E-2</v>
      </c>
      <c r="R32" s="2">
        <v>7.1999999999999995E-2</v>
      </c>
    </row>
    <row r="33" spans="1:18" x14ac:dyDescent="0.25">
      <c r="A33" s="1"/>
      <c r="C33" t="s">
        <v>10</v>
      </c>
      <c r="D33" s="1">
        <f>' Viabilidad 88 manteniendo+2pl'!G18</f>
        <v>-2490629.1696000001</v>
      </c>
      <c r="E33" s="1"/>
      <c r="F33" s="1"/>
      <c r="G33" s="1"/>
      <c r="H33" s="1"/>
      <c r="I33" s="1"/>
      <c r="J33" s="1">
        <f>$D$33*J32</f>
        <v>-74718.875088000001</v>
      </c>
      <c r="K33" s="1">
        <f t="shared" ref="K33:R33" si="9">$D$33*K32</f>
        <v>-99625.166784000001</v>
      </c>
      <c r="L33" s="1">
        <f t="shared" si="9"/>
        <v>-231628.51277280002</v>
      </c>
      <c r="M33" s="1">
        <f t="shared" si="9"/>
        <v>-261516.06280800002</v>
      </c>
      <c r="N33" s="1">
        <f t="shared" si="9"/>
        <v>-410953.81298400002</v>
      </c>
      <c r="O33" s="1">
        <f t="shared" si="9"/>
        <v>-510578.97976800002</v>
      </c>
      <c r="P33" s="1">
        <f t="shared" si="9"/>
        <v>-518050.86727679998</v>
      </c>
      <c r="Q33" s="1">
        <f t="shared" si="9"/>
        <v>-204231.59190720003</v>
      </c>
      <c r="R33" s="1">
        <f t="shared" si="9"/>
        <v>-179325.3002112</v>
      </c>
    </row>
    <row r="34" spans="1:18" x14ac:dyDescent="0.25">
      <c r="D34" s="1"/>
      <c r="E34" s="2">
        <v>6.0000000000000001E-3</v>
      </c>
      <c r="F34" s="2">
        <v>1.6E-2</v>
      </c>
      <c r="G34" s="2">
        <v>0.04</v>
      </c>
      <c r="H34" s="2">
        <v>3.7499999999999999E-2</v>
      </c>
      <c r="I34" s="2">
        <v>4.4999999999999998E-2</v>
      </c>
      <c r="J34" s="2">
        <v>9.4500000000000001E-2</v>
      </c>
      <c r="K34" s="2">
        <v>0.11749999999999999</v>
      </c>
      <c r="L34" s="2">
        <v>0.08</v>
      </c>
      <c r="M34" s="2">
        <v>0.13300000000000001</v>
      </c>
      <c r="N34" s="2">
        <v>0.11899999999999999</v>
      </c>
      <c r="O34" s="2">
        <v>0.14849999999999999</v>
      </c>
      <c r="P34" s="2">
        <v>5.8500000000000003E-2</v>
      </c>
      <c r="Q34" s="2">
        <v>0.1045</v>
      </c>
      <c r="R34" s="2"/>
    </row>
    <row r="35" spans="1:18" x14ac:dyDescent="0.25">
      <c r="C35" t="s">
        <v>150</v>
      </c>
      <c r="D35" s="1">
        <f>' Viabilidad 88 manteniendo+2pl'!G19</f>
        <v>-1608120</v>
      </c>
      <c r="E35" s="1">
        <f t="shared" ref="E35:Q35" si="10">$D$35*E34</f>
        <v>-9648.7199999999993</v>
      </c>
      <c r="F35" s="1">
        <f t="shared" si="10"/>
        <v>-25729.920000000002</v>
      </c>
      <c r="G35" s="1">
        <f t="shared" si="10"/>
        <v>-64324.800000000003</v>
      </c>
      <c r="H35" s="1">
        <f t="shared" si="10"/>
        <v>-60304.5</v>
      </c>
      <c r="I35" s="1">
        <f t="shared" si="10"/>
        <v>-72365.399999999994</v>
      </c>
      <c r="J35" s="1">
        <f t="shared" si="10"/>
        <v>-151967.34</v>
      </c>
      <c r="K35" s="1">
        <f t="shared" si="10"/>
        <v>-188954.09999999998</v>
      </c>
      <c r="L35" s="1">
        <f t="shared" si="10"/>
        <v>-128649.60000000001</v>
      </c>
      <c r="M35" s="1">
        <f t="shared" si="10"/>
        <v>-213879.96000000002</v>
      </c>
      <c r="N35" s="1">
        <f t="shared" si="10"/>
        <v>-191366.28</v>
      </c>
      <c r="O35" s="1">
        <f t="shared" si="10"/>
        <v>-238805.81999999998</v>
      </c>
      <c r="P35" s="1">
        <f t="shared" si="10"/>
        <v>-94075.02</v>
      </c>
      <c r="Q35" s="1">
        <f t="shared" si="10"/>
        <v>-168048.53999999998</v>
      </c>
      <c r="R35" s="1"/>
    </row>
    <row r="36" spans="1:18" x14ac:dyDescent="0.25">
      <c r="E36" s="2"/>
    </row>
    <row r="37" spans="1:18" x14ac:dyDescent="0.25">
      <c r="E37" s="2"/>
    </row>
    <row r="38" spans="1:18" x14ac:dyDescent="0.25">
      <c r="E38" s="2"/>
    </row>
    <row r="39" spans="1:18" x14ac:dyDescent="0.25">
      <c r="E39" s="2"/>
    </row>
    <row r="40" spans="1:18" x14ac:dyDescent="0.25">
      <c r="E40" s="2"/>
    </row>
    <row r="41" spans="1:18" x14ac:dyDescent="0.25">
      <c r="E41" s="2"/>
    </row>
    <row r="42" spans="1:18" x14ac:dyDescent="0.25">
      <c r="E42" s="2"/>
    </row>
    <row r="43" spans="1:18" x14ac:dyDescent="0.25">
      <c r="E43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0"/>
  <dimension ref="A1:CU59"/>
  <sheetViews>
    <sheetView zoomScale="85" zoomScaleNormal="85" workbookViewId="0">
      <pane xSplit="7" ySplit="1" topLeftCell="H5" activePane="bottomRight" state="frozen"/>
      <selection pane="topRight" activeCell="J1" sqref="J1"/>
      <selection pane="bottomLeft" activeCell="A9" sqref="A9"/>
      <selection pane="bottomRight" activeCell="E25" sqref="E25"/>
    </sheetView>
  </sheetViews>
  <sheetFormatPr baseColWidth="10" defaultColWidth="10.7109375" defaultRowHeight="15" x14ac:dyDescent="0.25"/>
  <cols>
    <col min="1" max="1" width="12.5703125" style="11" bestFit="1" customWidth="1"/>
    <col min="2" max="2" width="27.42578125" style="11" bestFit="1" customWidth="1"/>
    <col min="3" max="3" width="57.85546875" style="11" bestFit="1" customWidth="1"/>
    <col min="4" max="4" width="10.7109375" style="12"/>
    <col min="5" max="5" width="15.42578125" style="11" bestFit="1" customWidth="1"/>
    <col min="6" max="6" width="18" style="11" customWidth="1"/>
    <col min="7" max="7" width="18.28515625" style="39" bestFit="1" customWidth="1"/>
    <col min="8" max="10" width="10.7109375" style="39"/>
    <col min="11" max="11" width="11.42578125" style="39" bestFit="1" customWidth="1"/>
    <col min="12" max="12" width="10.7109375" style="39"/>
    <col min="13" max="13" width="11.42578125" style="39" customWidth="1"/>
    <col min="14" max="15" width="10.7109375" style="39"/>
    <col min="16" max="16" width="11.42578125" style="39" bestFit="1" customWidth="1"/>
    <col min="17" max="17" width="12.5703125" style="39" bestFit="1" customWidth="1"/>
    <col min="18" max="18" width="11.42578125" style="39" bestFit="1" customWidth="1"/>
    <col min="19" max="19" width="10.7109375" style="39"/>
    <col min="20" max="20" width="13.42578125" style="39" bestFit="1" customWidth="1"/>
    <col min="21" max="24" width="10.7109375" style="39"/>
    <col min="25" max="25" width="11.42578125" style="39" bestFit="1" customWidth="1"/>
    <col min="26" max="27" width="10.7109375" style="39"/>
    <col min="28" max="39" width="11.42578125" style="39" bestFit="1" customWidth="1"/>
    <col min="40" max="40" width="12.28515625" style="39" bestFit="1" customWidth="1"/>
    <col min="41" max="55" width="10.7109375" style="39"/>
    <col min="56" max="98" width="10.7109375" style="11"/>
    <col min="99" max="99" width="12.28515625" style="11" bestFit="1" customWidth="1"/>
    <col min="100" max="100" width="12.85546875" style="11" bestFit="1" customWidth="1"/>
    <col min="101" max="16384" width="10.7109375" style="11"/>
  </cols>
  <sheetData>
    <row r="1" spans="1:99" x14ac:dyDescent="0.25">
      <c r="A1" s="43" t="s">
        <v>191</v>
      </c>
      <c r="B1" s="43" t="s">
        <v>192</v>
      </c>
      <c r="C1" s="43" t="s">
        <v>193</v>
      </c>
      <c r="D1" s="44" t="s">
        <v>184</v>
      </c>
      <c r="E1" s="16" t="s">
        <v>194</v>
      </c>
      <c r="F1" s="16" t="s">
        <v>195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46</v>
      </c>
      <c r="M1" s="17" t="s">
        <v>47</v>
      </c>
      <c r="N1" s="17" t="s">
        <v>48</v>
      </c>
      <c r="O1" s="17" t="s">
        <v>49</v>
      </c>
      <c r="P1" s="17" t="s">
        <v>50</v>
      </c>
      <c r="Q1" s="17" t="s">
        <v>51</v>
      </c>
      <c r="R1" s="17" t="s">
        <v>52</v>
      </c>
      <c r="S1" s="17" t="s">
        <v>53</v>
      </c>
      <c r="T1" s="17" t="s">
        <v>54</v>
      </c>
      <c r="U1" s="17" t="s">
        <v>55</v>
      </c>
      <c r="V1" s="17" t="s">
        <v>56</v>
      </c>
      <c r="W1" s="17" t="s">
        <v>57</v>
      </c>
      <c r="X1" s="17" t="s">
        <v>58</v>
      </c>
      <c r="Y1" s="17" t="s">
        <v>59</v>
      </c>
      <c r="Z1" s="17" t="s">
        <v>60</v>
      </c>
      <c r="AA1" s="17" t="s">
        <v>61</v>
      </c>
      <c r="AB1" s="17" t="s">
        <v>62</v>
      </c>
      <c r="AC1" s="17" t="s">
        <v>63</v>
      </c>
      <c r="AD1" s="17" t="s">
        <v>64</v>
      </c>
      <c r="AE1" s="17" t="s">
        <v>65</v>
      </c>
      <c r="AF1" s="17" t="s">
        <v>66</v>
      </c>
      <c r="AG1" s="17" t="s">
        <v>67</v>
      </c>
      <c r="AH1" s="17" t="s">
        <v>68</v>
      </c>
      <c r="AI1" s="17" t="s">
        <v>69</v>
      </c>
      <c r="AJ1" s="17" t="s">
        <v>70</v>
      </c>
      <c r="AK1" s="17" t="s">
        <v>71</v>
      </c>
      <c r="AL1" s="17" t="s">
        <v>72</v>
      </c>
      <c r="AM1" s="17" t="s">
        <v>73</v>
      </c>
      <c r="AN1" s="17" t="s">
        <v>74</v>
      </c>
      <c r="AO1" s="17" t="s">
        <v>75</v>
      </c>
      <c r="AP1" s="17" t="s">
        <v>76</v>
      </c>
      <c r="AQ1" s="17" t="s">
        <v>77</v>
      </c>
      <c r="AR1" s="17" t="s">
        <v>78</v>
      </c>
      <c r="AS1" s="17" t="s">
        <v>79</v>
      </c>
      <c r="AT1" s="17" t="s">
        <v>80</v>
      </c>
      <c r="AU1" s="17" t="s">
        <v>81</v>
      </c>
      <c r="AV1" s="17" t="s">
        <v>82</v>
      </c>
      <c r="AW1" s="17" t="s">
        <v>83</v>
      </c>
      <c r="AX1" s="17" t="s">
        <v>84</v>
      </c>
      <c r="AY1" s="17" t="s">
        <v>85</v>
      </c>
      <c r="AZ1" s="17" t="s">
        <v>86</v>
      </c>
      <c r="BA1" s="17" t="s">
        <v>87</v>
      </c>
      <c r="BB1" s="17" t="s">
        <v>88</v>
      </c>
      <c r="BC1" s="17" t="s">
        <v>89</v>
      </c>
      <c r="BD1" s="17" t="s">
        <v>96</v>
      </c>
      <c r="BE1" s="17" t="s">
        <v>97</v>
      </c>
      <c r="BF1" s="17" t="s">
        <v>98</v>
      </c>
      <c r="BG1" s="17" t="s">
        <v>99</v>
      </c>
      <c r="BH1" s="17" t="s">
        <v>100</v>
      </c>
      <c r="BI1" s="17" t="s">
        <v>101</v>
      </c>
      <c r="BJ1" s="17" t="s">
        <v>102</v>
      </c>
      <c r="BK1" s="17" t="s">
        <v>103</v>
      </c>
      <c r="BL1" s="17" t="s">
        <v>104</v>
      </c>
      <c r="BM1" s="17" t="s">
        <v>105</v>
      </c>
      <c r="BN1" s="17" t="s">
        <v>106</v>
      </c>
      <c r="BO1" s="17" t="s">
        <v>107</v>
      </c>
      <c r="BP1" s="17" t="s">
        <v>108</v>
      </c>
      <c r="BQ1" s="17" t="s">
        <v>109</v>
      </c>
      <c r="BR1" s="17" t="s">
        <v>110</v>
      </c>
      <c r="BS1" s="17" t="s">
        <v>111</v>
      </c>
      <c r="BT1" s="17" t="s">
        <v>112</v>
      </c>
      <c r="BU1" s="17" t="s">
        <v>113</v>
      </c>
      <c r="BV1" s="17" t="s">
        <v>114</v>
      </c>
      <c r="BW1" s="17" t="s">
        <v>115</v>
      </c>
      <c r="BX1" s="17" t="s">
        <v>116</v>
      </c>
      <c r="BY1" s="17" t="s">
        <v>117</v>
      </c>
      <c r="BZ1" s="17" t="s">
        <v>118</v>
      </c>
      <c r="CA1" s="17" t="s">
        <v>119</v>
      </c>
      <c r="CB1" s="17" t="s">
        <v>120</v>
      </c>
      <c r="CC1" s="17" t="s">
        <v>121</v>
      </c>
      <c r="CD1" s="17" t="s">
        <v>122</v>
      </c>
      <c r="CE1" s="17" t="s">
        <v>123</v>
      </c>
      <c r="CF1" s="17" t="s">
        <v>124</v>
      </c>
      <c r="CG1" s="17" t="s">
        <v>125</v>
      </c>
      <c r="CH1" s="17" t="s">
        <v>126</v>
      </c>
      <c r="CI1" s="17" t="s">
        <v>127</v>
      </c>
      <c r="CJ1" s="17" t="s">
        <v>128</v>
      </c>
      <c r="CK1" s="17" t="s">
        <v>129</v>
      </c>
      <c r="CL1" s="17" t="s">
        <v>130</v>
      </c>
      <c r="CM1" s="17" t="s">
        <v>131</v>
      </c>
      <c r="CN1" s="17" t="s">
        <v>132</v>
      </c>
      <c r="CO1" s="17" t="s">
        <v>133</v>
      </c>
      <c r="CP1" s="17" t="s">
        <v>134</v>
      </c>
      <c r="CQ1" s="17" t="s">
        <v>135</v>
      </c>
      <c r="CR1" s="17" t="s">
        <v>136</v>
      </c>
      <c r="CS1" s="17" t="s">
        <v>137</v>
      </c>
      <c r="CT1" s="17" t="s">
        <v>138</v>
      </c>
      <c r="CU1" s="17" t="s">
        <v>139</v>
      </c>
    </row>
    <row r="2" spans="1:99" x14ac:dyDescent="0.25">
      <c r="A2" s="11" t="s">
        <v>4</v>
      </c>
      <c r="B2" s="11" t="s">
        <v>159</v>
      </c>
      <c r="C2" s="11" t="s">
        <v>31</v>
      </c>
      <c r="D2" s="40">
        <v>1</v>
      </c>
      <c r="E2" s="18">
        <v>5800</v>
      </c>
      <c r="F2" s="19">
        <f>D2*E2</f>
        <v>5800</v>
      </c>
      <c r="G2" s="20">
        <v>-5800</v>
      </c>
      <c r="H2" s="21">
        <v>0</v>
      </c>
      <c r="I2" s="21">
        <f>G2</f>
        <v>-5800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1">
        <v>0</v>
      </c>
      <c r="AG2" s="21">
        <v>0</v>
      </c>
      <c r="AH2" s="21">
        <v>0</v>
      </c>
      <c r="AI2" s="21">
        <v>0</v>
      </c>
      <c r="AJ2" s="21">
        <v>0</v>
      </c>
      <c r="AK2" s="21">
        <v>0</v>
      </c>
      <c r="AL2" s="21">
        <v>0</v>
      </c>
      <c r="AM2" s="21">
        <v>0</v>
      </c>
      <c r="AN2" s="21">
        <v>0</v>
      </c>
      <c r="AO2" s="21">
        <v>0</v>
      </c>
      <c r="AP2" s="21">
        <v>0</v>
      </c>
      <c r="AQ2" s="21">
        <v>0</v>
      </c>
      <c r="AR2" s="21">
        <v>0</v>
      </c>
      <c r="AS2" s="21">
        <v>0</v>
      </c>
      <c r="AT2" s="21">
        <v>0</v>
      </c>
      <c r="AU2" s="21">
        <v>0</v>
      </c>
      <c r="AV2" s="21">
        <v>0</v>
      </c>
      <c r="AW2" s="21">
        <v>0</v>
      </c>
      <c r="AX2" s="21">
        <v>0</v>
      </c>
      <c r="AY2" s="21">
        <v>0</v>
      </c>
      <c r="AZ2" s="21">
        <v>0</v>
      </c>
      <c r="BA2" s="21">
        <v>0</v>
      </c>
      <c r="BB2" s="21">
        <v>0</v>
      </c>
      <c r="BC2" s="21">
        <v>0</v>
      </c>
      <c r="BD2" s="21">
        <v>0</v>
      </c>
      <c r="BE2" s="21">
        <v>0</v>
      </c>
      <c r="BF2" s="21">
        <v>0</v>
      </c>
      <c r="BG2" s="21">
        <v>0</v>
      </c>
      <c r="BH2" s="21">
        <v>0</v>
      </c>
      <c r="BI2" s="21">
        <v>0</v>
      </c>
      <c r="BJ2" s="21">
        <v>0</v>
      </c>
      <c r="BK2" s="21">
        <v>0</v>
      </c>
      <c r="BL2" s="21">
        <v>0</v>
      </c>
      <c r="BM2" s="21">
        <v>0</v>
      </c>
      <c r="BN2" s="21">
        <v>0</v>
      </c>
      <c r="BO2" s="21">
        <v>0</v>
      </c>
      <c r="BP2" s="21">
        <v>0</v>
      </c>
      <c r="BQ2" s="21">
        <v>0</v>
      </c>
      <c r="BR2" s="21">
        <v>0</v>
      </c>
      <c r="BS2" s="21">
        <v>0</v>
      </c>
      <c r="BT2" s="21">
        <v>0</v>
      </c>
      <c r="BU2" s="21">
        <v>0</v>
      </c>
      <c r="BV2" s="21">
        <v>0</v>
      </c>
      <c r="BW2" s="21">
        <v>0</v>
      </c>
      <c r="BX2" s="21">
        <v>0</v>
      </c>
      <c r="BY2" s="21">
        <v>0</v>
      </c>
      <c r="BZ2" s="21">
        <v>0</v>
      </c>
      <c r="CA2" s="21">
        <v>0</v>
      </c>
      <c r="CB2" s="21">
        <v>0</v>
      </c>
      <c r="CC2" s="21">
        <v>0</v>
      </c>
      <c r="CD2" s="21">
        <v>0</v>
      </c>
      <c r="CE2" s="21">
        <v>0</v>
      </c>
      <c r="CF2" s="21">
        <v>0</v>
      </c>
      <c r="CG2" s="21">
        <v>0</v>
      </c>
      <c r="CH2" s="21">
        <v>0</v>
      </c>
      <c r="CI2" s="21">
        <v>0</v>
      </c>
      <c r="CJ2" s="21">
        <v>0</v>
      </c>
      <c r="CK2" s="21">
        <v>0</v>
      </c>
      <c r="CL2" s="21">
        <v>0</v>
      </c>
      <c r="CM2" s="21">
        <v>0</v>
      </c>
      <c r="CN2" s="21">
        <v>0</v>
      </c>
      <c r="CO2" s="21">
        <v>0</v>
      </c>
      <c r="CP2" s="21">
        <v>0</v>
      </c>
      <c r="CQ2" s="21">
        <v>0</v>
      </c>
      <c r="CR2" s="21">
        <v>0</v>
      </c>
      <c r="CS2" s="21">
        <v>0</v>
      </c>
      <c r="CT2" s="21">
        <v>0</v>
      </c>
      <c r="CU2" s="21">
        <v>0</v>
      </c>
    </row>
    <row r="3" spans="1:99" x14ac:dyDescent="0.25">
      <c r="A3" s="11" t="s">
        <v>4</v>
      </c>
      <c r="B3" s="11" t="s">
        <v>159</v>
      </c>
      <c r="C3" s="11" t="s">
        <v>18</v>
      </c>
      <c r="D3" s="41">
        <v>1</v>
      </c>
      <c r="E3" s="19">
        <v>1200</v>
      </c>
      <c r="F3" s="19">
        <f>D3*E3</f>
        <v>1200</v>
      </c>
      <c r="G3" s="13">
        <v>-1200</v>
      </c>
      <c r="H3" s="14">
        <v>0</v>
      </c>
      <c r="I3" s="14">
        <v>0</v>
      </c>
      <c r="J3" s="14">
        <v>0</v>
      </c>
      <c r="K3" s="14">
        <f>G3</f>
        <v>-1200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14">
        <v>0</v>
      </c>
      <c r="BU3" s="14">
        <v>0</v>
      </c>
      <c r="BV3" s="14">
        <v>0</v>
      </c>
      <c r="BW3" s="14">
        <v>0</v>
      </c>
      <c r="BX3" s="14">
        <v>0</v>
      </c>
      <c r="BY3" s="14">
        <v>0</v>
      </c>
      <c r="BZ3" s="14">
        <v>0</v>
      </c>
      <c r="CA3" s="14">
        <v>0</v>
      </c>
      <c r="CB3" s="14">
        <v>0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H3" s="14">
        <v>0</v>
      </c>
      <c r="CI3" s="14">
        <v>0</v>
      </c>
      <c r="CJ3" s="14">
        <v>0</v>
      </c>
      <c r="CK3" s="14">
        <v>0</v>
      </c>
      <c r="CL3" s="14">
        <v>0</v>
      </c>
      <c r="CM3" s="14">
        <v>0</v>
      </c>
      <c r="CN3" s="14">
        <v>0</v>
      </c>
      <c r="CO3" s="14">
        <v>0</v>
      </c>
      <c r="CP3" s="14">
        <v>0</v>
      </c>
      <c r="CQ3" s="14">
        <v>0</v>
      </c>
      <c r="CR3" s="14">
        <v>0</v>
      </c>
      <c r="CS3" s="14">
        <v>0</v>
      </c>
      <c r="CT3" s="14">
        <v>0</v>
      </c>
      <c r="CU3" s="14">
        <v>0</v>
      </c>
    </row>
    <row r="4" spans="1:99" x14ac:dyDescent="0.25">
      <c r="A4" s="11" t="s">
        <v>4</v>
      </c>
      <c r="B4" s="11" t="s">
        <v>159</v>
      </c>
      <c r="C4" s="11" t="s">
        <v>19</v>
      </c>
      <c r="D4" s="41">
        <v>1</v>
      </c>
      <c r="E4" s="19">
        <v>4500</v>
      </c>
      <c r="F4" s="19">
        <f>E4*D4</f>
        <v>4500</v>
      </c>
      <c r="G4" s="13">
        <v>-4500</v>
      </c>
      <c r="H4" s="14">
        <v>0</v>
      </c>
      <c r="I4" s="14">
        <v>0</v>
      </c>
      <c r="J4" s="14">
        <v>0</v>
      </c>
      <c r="K4" s="14">
        <f>G4</f>
        <v>-4500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14">
        <v>0</v>
      </c>
      <c r="BV4" s="14">
        <v>0</v>
      </c>
      <c r="BW4" s="14">
        <v>0</v>
      </c>
      <c r="BX4" s="14">
        <v>0</v>
      </c>
      <c r="BY4" s="14">
        <v>0</v>
      </c>
      <c r="BZ4" s="14">
        <v>0</v>
      </c>
      <c r="CA4" s="14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  <c r="CN4" s="14">
        <v>0</v>
      </c>
      <c r="CO4" s="14">
        <v>0</v>
      </c>
      <c r="CP4" s="14">
        <v>0</v>
      </c>
      <c r="CQ4" s="14">
        <v>0</v>
      </c>
      <c r="CR4" s="14">
        <v>0</v>
      </c>
      <c r="CS4" s="14">
        <v>0</v>
      </c>
      <c r="CT4" s="14">
        <v>0</v>
      </c>
      <c r="CU4" s="14">
        <v>0</v>
      </c>
    </row>
    <row r="5" spans="1:99" x14ac:dyDescent="0.25">
      <c r="A5" s="11" t="s">
        <v>4</v>
      </c>
      <c r="B5" s="11" t="s">
        <v>159</v>
      </c>
      <c r="C5" s="11" t="s">
        <v>9</v>
      </c>
      <c r="D5" s="41">
        <v>0.21</v>
      </c>
      <c r="E5" s="19">
        <f>F3+F4+F2</f>
        <v>11500</v>
      </c>
      <c r="F5" s="19">
        <f>D5*E5</f>
        <v>2415</v>
      </c>
      <c r="G5" s="13">
        <f>(G2+G3+G4)*0.21</f>
        <v>-2415</v>
      </c>
      <c r="H5" s="14">
        <f>(H2+H3+H4)*0.21</f>
        <v>0</v>
      </c>
      <c r="I5" s="14">
        <f>(I2+I3+I4)*0.21</f>
        <v>-1218</v>
      </c>
      <c r="J5" s="14">
        <v>0</v>
      </c>
      <c r="K5" s="14">
        <f>(K2+K3+K4)*0.21</f>
        <v>-1197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</row>
    <row r="6" spans="1:99" x14ac:dyDescent="0.25">
      <c r="A6" s="11" t="s">
        <v>4</v>
      </c>
      <c r="B6" s="11" t="s">
        <v>160</v>
      </c>
      <c r="C6" s="11" t="s">
        <v>15</v>
      </c>
      <c r="D6" s="12">
        <v>5.6099999999999997E-2</v>
      </c>
      <c r="E6" s="11">
        <f>F16</f>
        <v>96887.7</v>
      </c>
      <c r="F6" s="11">
        <f>E6*D6</f>
        <v>5435.3999699999995</v>
      </c>
      <c r="G6" s="20">
        <f t="shared" ref="G6:G37" si="0">-F6</f>
        <v>-5435.3999699999995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f>G6</f>
        <v>-5435.3999699999995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1">
        <v>0</v>
      </c>
      <c r="BA6" s="21">
        <v>0</v>
      </c>
      <c r="BB6" s="21">
        <v>0</v>
      </c>
      <c r="BC6" s="21">
        <v>0</v>
      </c>
      <c r="BD6" s="21">
        <v>0</v>
      </c>
      <c r="BE6" s="21">
        <v>0</v>
      </c>
      <c r="BF6" s="21">
        <v>0</v>
      </c>
      <c r="BG6" s="21">
        <v>0</v>
      </c>
      <c r="BH6" s="21">
        <v>0</v>
      </c>
      <c r="BI6" s="21">
        <v>0</v>
      </c>
      <c r="BJ6" s="21">
        <v>0</v>
      </c>
      <c r="BK6" s="21">
        <v>0</v>
      </c>
      <c r="BL6" s="21">
        <v>0</v>
      </c>
      <c r="BM6" s="21">
        <v>0</v>
      </c>
      <c r="BN6" s="21">
        <v>0</v>
      </c>
      <c r="BO6" s="21">
        <v>0</v>
      </c>
      <c r="BP6" s="21">
        <v>0</v>
      </c>
      <c r="BQ6" s="21">
        <v>0</v>
      </c>
      <c r="BR6" s="21">
        <v>0</v>
      </c>
      <c r="BS6" s="21">
        <v>0</v>
      </c>
      <c r="BT6" s="21">
        <v>0</v>
      </c>
      <c r="BU6" s="21">
        <v>0</v>
      </c>
      <c r="BV6" s="21">
        <v>0</v>
      </c>
      <c r="BW6" s="21">
        <v>0</v>
      </c>
      <c r="BX6" s="21">
        <v>0</v>
      </c>
      <c r="BY6" s="21">
        <v>0</v>
      </c>
      <c r="BZ6" s="21">
        <v>0</v>
      </c>
      <c r="CA6" s="21">
        <v>0</v>
      </c>
      <c r="CB6" s="21">
        <v>0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0</v>
      </c>
      <c r="CI6" s="21">
        <v>0</v>
      </c>
      <c r="CJ6" s="21">
        <v>0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</row>
    <row r="7" spans="1:99" x14ac:dyDescent="0.25">
      <c r="A7" s="11" t="s">
        <v>4</v>
      </c>
      <c r="B7" s="11" t="s">
        <v>160</v>
      </c>
      <c r="C7" s="11" t="s">
        <v>16</v>
      </c>
      <c r="D7" s="12">
        <v>4.7699999999999999E-2</v>
      </c>
      <c r="E7" s="11">
        <f>F16</f>
        <v>96887.7</v>
      </c>
      <c r="F7" s="11">
        <f>E7*D7</f>
        <v>4621.5432899999996</v>
      </c>
      <c r="G7" s="13">
        <f t="shared" si="0"/>
        <v>-4621.5432899999996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f>G7*0.3</f>
        <v>-1386.4629869999999</v>
      </c>
      <c r="Y7" s="14">
        <f>0.7*G7</f>
        <v>-3235.0803029999997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</row>
    <row r="8" spans="1:99" x14ac:dyDescent="0.25">
      <c r="A8" s="11" t="s">
        <v>4</v>
      </c>
      <c r="B8" s="11" t="s">
        <v>160</v>
      </c>
      <c r="C8" s="11" t="s">
        <v>161</v>
      </c>
      <c r="D8" s="12">
        <v>7.0000000000000001E-3</v>
      </c>
      <c r="E8" s="11">
        <f>F16</f>
        <v>96887.7</v>
      </c>
      <c r="F8" s="11">
        <f t="shared" ref="F8:F19" si="1">D8*E8</f>
        <v>678.21389999999997</v>
      </c>
      <c r="G8" s="13">
        <f t="shared" si="0"/>
        <v>-678.21389999999997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f>G8*0.5</f>
        <v>-339.10694999999998</v>
      </c>
      <c r="Y8" s="14">
        <f>G8*0.5</f>
        <v>-339.10694999999998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</row>
    <row r="9" spans="1:99" x14ac:dyDescent="0.25">
      <c r="A9" s="11" t="s">
        <v>4</v>
      </c>
      <c r="B9" s="11" t="s">
        <v>160</v>
      </c>
      <c r="C9" s="11" t="s">
        <v>13</v>
      </c>
      <c r="D9" s="12">
        <v>5.6099999999999997E-2</v>
      </c>
      <c r="E9" s="11">
        <f>F18+F19</f>
        <v>4098749.1696000001</v>
      </c>
      <c r="F9" s="11">
        <f t="shared" si="1"/>
        <v>229939.82841456</v>
      </c>
      <c r="G9" s="13">
        <f t="shared" si="0"/>
        <v>-229939.82841456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f>G9*0.4</f>
        <v>-91975.931365824013</v>
      </c>
      <c r="N9" s="14">
        <v>0</v>
      </c>
      <c r="O9" s="14">
        <v>0</v>
      </c>
      <c r="P9" s="14">
        <f>G9*0.6</f>
        <v>-137963.89704873599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</row>
    <row r="10" spans="1:99" x14ac:dyDescent="0.25">
      <c r="A10" s="11" t="s">
        <v>4</v>
      </c>
      <c r="B10" s="11" t="s">
        <v>160</v>
      </c>
      <c r="C10" s="11" t="s">
        <v>14</v>
      </c>
      <c r="D10" s="12">
        <v>4.7699999999999999E-2</v>
      </c>
      <c r="E10" s="11">
        <f>F18+F19</f>
        <v>4098749.1696000001</v>
      </c>
      <c r="F10" s="11">
        <f t="shared" si="1"/>
        <v>195510.33538992002</v>
      </c>
      <c r="G10" s="13">
        <f t="shared" si="0"/>
        <v>-195510.33538992002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f>$G10/14</f>
        <v>-13965.023956422858</v>
      </c>
      <c r="AA10" s="14">
        <f t="shared" ref="AA10:AM10" si="2">$G10/14</f>
        <v>-13965.023956422858</v>
      </c>
      <c r="AB10" s="14">
        <f t="shared" si="2"/>
        <v>-13965.023956422858</v>
      </c>
      <c r="AC10" s="14">
        <f t="shared" si="2"/>
        <v>-13965.023956422858</v>
      </c>
      <c r="AD10" s="14">
        <f t="shared" si="2"/>
        <v>-13965.023956422858</v>
      </c>
      <c r="AE10" s="14">
        <f t="shared" si="2"/>
        <v>-13965.023956422858</v>
      </c>
      <c r="AF10" s="14">
        <f t="shared" si="2"/>
        <v>-13965.023956422858</v>
      </c>
      <c r="AG10" s="14">
        <f t="shared" si="2"/>
        <v>-13965.023956422858</v>
      </c>
      <c r="AH10" s="14">
        <f t="shared" si="2"/>
        <v>-13965.023956422858</v>
      </c>
      <c r="AI10" s="14">
        <f t="shared" si="2"/>
        <v>-13965.023956422858</v>
      </c>
      <c r="AJ10" s="14">
        <f t="shared" si="2"/>
        <v>-13965.023956422858</v>
      </c>
      <c r="AK10" s="14">
        <f t="shared" si="2"/>
        <v>-13965.023956422858</v>
      </c>
      <c r="AL10" s="14">
        <f t="shared" si="2"/>
        <v>-13965.023956422858</v>
      </c>
      <c r="AM10" s="14">
        <f t="shared" si="2"/>
        <v>-13965.023956422858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</row>
    <row r="11" spans="1:99" x14ac:dyDescent="0.25">
      <c r="A11" s="11" t="s">
        <v>4</v>
      </c>
      <c r="B11" s="11" t="s">
        <v>160</v>
      </c>
      <c r="C11" s="11" t="s">
        <v>162</v>
      </c>
      <c r="D11" s="12">
        <v>7.0000000000000001E-3</v>
      </c>
      <c r="E11" s="11">
        <f>F18+F19</f>
        <v>4098749.1696000001</v>
      </c>
      <c r="F11" s="11">
        <f t="shared" si="1"/>
        <v>28691.244187200002</v>
      </c>
      <c r="G11" s="13">
        <f t="shared" si="0"/>
        <v>-28691.244187200002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f>$G$11/14</f>
        <v>-2049.3745848000003</v>
      </c>
      <c r="AA11" s="14">
        <f t="shared" ref="AA11:AM11" si="3">$G$11/14</f>
        <v>-2049.3745848000003</v>
      </c>
      <c r="AB11" s="14">
        <f t="shared" si="3"/>
        <v>-2049.3745848000003</v>
      </c>
      <c r="AC11" s="14">
        <f t="shared" si="3"/>
        <v>-2049.3745848000003</v>
      </c>
      <c r="AD11" s="14">
        <f t="shared" si="3"/>
        <v>-2049.3745848000003</v>
      </c>
      <c r="AE11" s="14">
        <f t="shared" si="3"/>
        <v>-2049.3745848000003</v>
      </c>
      <c r="AF11" s="14">
        <f t="shared" si="3"/>
        <v>-2049.3745848000003</v>
      </c>
      <c r="AG11" s="14">
        <f t="shared" si="3"/>
        <v>-2049.3745848000003</v>
      </c>
      <c r="AH11" s="14">
        <f t="shared" si="3"/>
        <v>-2049.3745848000003</v>
      </c>
      <c r="AI11" s="14">
        <f t="shared" si="3"/>
        <v>-2049.3745848000003</v>
      </c>
      <c r="AJ11" s="14">
        <f t="shared" si="3"/>
        <v>-2049.3745848000003</v>
      </c>
      <c r="AK11" s="14">
        <f t="shared" si="3"/>
        <v>-2049.3745848000003</v>
      </c>
      <c r="AL11" s="14">
        <f t="shared" si="3"/>
        <v>-2049.3745848000003</v>
      </c>
      <c r="AM11" s="14">
        <f t="shared" si="3"/>
        <v>-2049.3745848000003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</row>
    <row r="12" spans="1:99" x14ac:dyDescent="0.25">
      <c r="A12" s="11" t="s">
        <v>4</v>
      </c>
      <c r="B12" s="11" t="s">
        <v>160</v>
      </c>
      <c r="C12" s="11" t="s">
        <v>140</v>
      </c>
      <c r="D12" s="12">
        <v>0.02</v>
      </c>
      <c r="E12" s="11">
        <f>F19+F18+F16</f>
        <v>4195636.8695999999</v>
      </c>
      <c r="F12" s="11">
        <f t="shared" si="1"/>
        <v>83912.737391999995</v>
      </c>
      <c r="G12" s="13">
        <f t="shared" si="0"/>
        <v>-83912.737391999995</v>
      </c>
      <c r="H12" s="14">
        <v>0</v>
      </c>
      <c r="I12" s="14">
        <v>0</v>
      </c>
      <c r="J12" s="14">
        <v>0</v>
      </c>
      <c r="K12" s="14">
        <f>G12*0.05</f>
        <v>-4195.6368696</v>
      </c>
      <c r="L12" s="14">
        <v>0</v>
      </c>
      <c r="M12" s="14">
        <v>0</v>
      </c>
      <c r="N12" s="14">
        <v>0</v>
      </c>
      <c r="O12" s="14">
        <v>0</v>
      </c>
      <c r="P12" s="14">
        <f>G12*0.15</f>
        <v>-12586.910608799999</v>
      </c>
      <c r="Q12" s="14">
        <v>0</v>
      </c>
      <c r="R12" s="14">
        <f>G12*0.05</f>
        <v>-4195.6368696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f t="shared" ref="X12:AL12" si="4">$G$12*0.04</f>
        <v>-3356.5094956799999</v>
      </c>
      <c r="Y12" s="14">
        <f t="shared" si="4"/>
        <v>-3356.5094956799999</v>
      </c>
      <c r="Z12" s="14">
        <f t="shared" si="4"/>
        <v>-3356.5094956799999</v>
      </c>
      <c r="AA12" s="14">
        <f t="shared" si="4"/>
        <v>-3356.5094956799999</v>
      </c>
      <c r="AB12" s="14">
        <f t="shared" si="4"/>
        <v>-3356.5094956799999</v>
      </c>
      <c r="AC12" s="14">
        <f t="shared" si="4"/>
        <v>-3356.5094956799999</v>
      </c>
      <c r="AD12" s="14">
        <f t="shared" si="4"/>
        <v>-3356.5094956799999</v>
      </c>
      <c r="AE12" s="14">
        <f t="shared" si="4"/>
        <v>-3356.5094956799999</v>
      </c>
      <c r="AF12" s="14">
        <f t="shared" si="4"/>
        <v>-3356.5094956799999</v>
      </c>
      <c r="AG12" s="14">
        <f t="shared" si="4"/>
        <v>-3356.5094956799999</v>
      </c>
      <c r="AH12" s="14">
        <f t="shared" si="4"/>
        <v>-3356.5094956799999</v>
      </c>
      <c r="AI12" s="14">
        <f t="shared" si="4"/>
        <v>-3356.5094956799999</v>
      </c>
      <c r="AJ12" s="14">
        <f t="shared" si="4"/>
        <v>-3356.5094956799999</v>
      </c>
      <c r="AK12" s="14">
        <f t="shared" si="4"/>
        <v>-3356.5094956799999</v>
      </c>
      <c r="AL12" s="14">
        <f t="shared" si="4"/>
        <v>-3356.5094956799999</v>
      </c>
      <c r="AM12" s="14">
        <f>$G$12*0.04</f>
        <v>-3356.5094956799999</v>
      </c>
      <c r="AN12" s="14">
        <f>G12*0.11</f>
        <v>-9230.4011131200004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</row>
    <row r="13" spans="1:99" x14ac:dyDescent="0.25">
      <c r="A13" s="11" t="s">
        <v>4</v>
      </c>
      <c r="B13" s="11" t="s">
        <v>160</v>
      </c>
      <c r="C13" s="11" t="s">
        <v>163</v>
      </c>
      <c r="D13" s="12">
        <v>0.21</v>
      </c>
      <c r="E13" s="11">
        <f>F6+F7+F8</f>
        <v>10735.157160000001</v>
      </c>
      <c r="F13" s="11">
        <f t="shared" si="1"/>
        <v>2254.3830035999999</v>
      </c>
      <c r="G13" s="13">
        <f t="shared" si="0"/>
        <v>-2254.3830035999999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f>SUM(M6:M8)*0.21</f>
        <v>-1141.4339936999997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f>(X7+X8)*0.21</f>
        <v>-362.36968676999993</v>
      </c>
      <c r="Y13" s="14">
        <f>(Y7+Y8)*0.21</f>
        <v>-750.57932312999992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</row>
    <row r="14" spans="1:99" x14ac:dyDescent="0.25">
      <c r="A14" s="11" t="s">
        <v>4</v>
      </c>
      <c r="B14" s="11" t="s">
        <v>160</v>
      </c>
      <c r="C14" s="11" t="s">
        <v>164</v>
      </c>
      <c r="D14" s="12">
        <v>0.21</v>
      </c>
      <c r="E14" s="11">
        <f>F9+F10+F11+F12</f>
        <v>538054.14538368001</v>
      </c>
      <c r="F14" s="11">
        <f t="shared" si="1"/>
        <v>112991.37053057279</v>
      </c>
      <c r="G14" s="13">
        <f t="shared" si="0"/>
        <v>-112991.37053057279</v>
      </c>
      <c r="H14" s="14">
        <v>0</v>
      </c>
      <c r="I14" s="14">
        <v>0</v>
      </c>
      <c r="J14" s="14">
        <v>0</v>
      </c>
      <c r="K14" s="14">
        <f>SUM(K9:K12)*0.21</f>
        <v>-881.08374261599999</v>
      </c>
      <c r="L14" s="14">
        <v>0</v>
      </c>
      <c r="M14" s="14">
        <f>SUM(M9:M12)*0.21</f>
        <v>-19314.945586823043</v>
      </c>
      <c r="N14" s="14">
        <v>0</v>
      </c>
      <c r="O14" s="14">
        <v>0</v>
      </c>
      <c r="P14" s="14">
        <f>SUM(P9:P12)*0.21</f>
        <v>-31615.66960808256</v>
      </c>
      <c r="Q14" s="14">
        <v>0</v>
      </c>
      <c r="R14" s="14">
        <f>SUM(R9:R12)*0.21</f>
        <v>-881.08374261599999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f t="shared" ref="X14:AN14" si="5">SUM(X9:X12)*0.21</f>
        <v>-704.86699409279993</v>
      </c>
      <c r="Y14" s="14">
        <f t="shared" si="5"/>
        <v>-704.86699409279993</v>
      </c>
      <c r="Z14" s="14">
        <f t="shared" si="5"/>
        <v>-4067.8906877495997</v>
      </c>
      <c r="AA14" s="14">
        <f t="shared" si="5"/>
        <v>-4067.8906877495997</v>
      </c>
      <c r="AB14" s="14">
        <f t="shared" si="5"/>
        <v>-4067.8906877495997</v>
      </c>
      <c r="AC14" s="14">
        <f t="shared" si="5"/>
        <v>-4067.8906877495997</v>
      </c>
      <c r="AD14" s="14">
        <f t="shared" si="5"/>
        <v>-4067.8906877495997</v>
      </c>
      <c r="AE14" s="14">
        <f t="shared" si="5"/>
        <v>-4067.8906877495997</v>
      </c>
      <c r="AF14" s="14">
        <f t="shared" si="5"/>
        <v>-4067.8906877495997</v>
      </c>
      <c r="AG14" s="14">
        <f t="shared" si="5"/>
        <v>-4067.8906877495997</v>
      </c>
      <c r="AH14" s="14">
        <f t="shared" si="5"/>
        <v>-4067.8906877495997</v>
      </c>
      <c r="AI14" s="14">
        <f t="shared" si="5"/>
        <v>-4067.8906877495997</v>
      </c>
      <c r="AJ14" s="14">
        <f t="shared" si="5"/>
        <v>-4067.8906877495997</v>
      </c>
      <c r="AK14" s="14">
        <f t="shared" si="5"/>
        <v>-4067.8906877495997</v>
      </c>
      <c r="AL14" s="14">
        <f t="shared" si="5"/>
        <v>-4067.8906877495997</v>
      </c>
      <c r="AM14" s="14">
        <f t="shared" si="5"/>
        <v>-4067.8906877495997</v>
      </c>
      <c r="AN14" s="14">
        <f t="shared" si="5"/>
        <v>-1938.3842337552001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</row>
    <row r="15" spans="1:99" x14ac:dyDescent="0.25">
      <c r="A15" s="11" t="s">
        <v>4</v>
      </c>
      <c r="B15" s="11" t="s">
        <v>160</v>
      </c>
      <c r="C15" s="11" t="s">
        <v>20</v>
      </c>
      <c r="D15" s="12">
        <v>3.0000000000000001E-3</v>
      </c>
      <c r="E15" s="11">
        <f>F18+F19</f>
        <v>4098749.1696000001</v>
      </c>
      <c r="F15" s="11">
        <f t="shared" si="1"/>
        <v>12296.247508800001</v>
      </c>
      <c r="G15" s="13">
        <f t="shared" si="0"/>
        <v>-12296.247508800001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f>$G$15/14</f>
        <v>-878.30339348571431</v>
      </c>
      <c r="AA15" s="14">
        <f t="shared" ref="AA15:AM15" si="6">$G$15/14</f>
        <v>-878.30339348571431</v>
      </c>
      <c r="AB15" s="14">
        <f t="shared" si="6"/>
        <v>-878.30339348571431</v>
      </c>
      <c r="AC15" s="14">
        <f t="shared" si="6"/>
        <v>-878.30339348571431</v>
      </c>
      <c r="AD15" s="14">
        <f t="shared" si="6"/>
        <v>-878.30339348571431</v>
      </c>
      <c r="AE15" s="14">
        <f t="shared" si="6"/>
        <v>-878.30339348571431</v>
      </c>
      <c r="AF15" s="14">
        <f t="shared" si="6"/>
        <v>-878.30339348571431</v>
      </c>
      <c r="AG15" s="14">
        <f t="shared" si="6"/>
        <v>-878.30339348571431</v>
      </c>
      <c r="AH15" s="14">
        <f t="shared" si="6"/>
        <v>-878.30339348571431</v>
      </c>
      <c r="AI15" s="14">
        <f t="shared" si="6"/>
        <v>-878.30339348571431</v>
      </c>
      <c r="AJ15" s="14">
        <f t="shared" si="6"/>
        <v>-878.30339348571431</v>
      </c>
      <c r="AK15" s="14">
        <f t="shared" si="6"/>
        <v>-878.30339348571431</v>
      </c>
      <c r="AL15" s="14">
        <f t="shared" si="6"/>
        <v>-878.30339348571431</v>
      </c>
      <c r="AM15" s="14">
        <f t="shared" si="6"/>
        <v>-878.30339348571431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</row>
    <row r="16" spans="1:99" x14ac:dyDescent="0.25">
      <c r="A16" s="11" t="s">
        <v>4</v>
      </c>
      <c r="B16" s="11" t="s">
        <v>165</v>
      </c>
      <c r="C16" s="11" t="s">
        <v>8</v>
      </c>
      <c r="D16" s="12">
        <f>(98.3*7*3)+(59.1*7*3)+(62.3*7*3)</f>
        <v>4613.7</v>
      </c>
      <c r="E16" s="11">
        <v>21</v>
      </c>
      <c r="F16" s="11">
        <f t="shared" si="1"/>
        <v>96887.7</v>
      </c>
      <c r="G16" s="13">
        <f t="shared" si="0"/>
        <v>-96887.7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f>G16*0.4</f>
        <v>-38755.08</v>
      </c>
      <c r="Y16" s="14">
        <f>G16*0.6</f>
        <v>-58132.619999999995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</row>
    <row r="17" spans="1:99" x14ac:dyDescent="0.25">
      <c r="A17" s="11" t="s">
        <v>4</v>
      </c>
      <c r="B17" s="11" t="s">
        <v>165</v>
      </c>
      <c r="C17" s="11" t="s">
        <v>12</v>
      </c>
      <c r="D17" s="41">
        <v>575</v>
      </c>
      <c r="E17" s="11">
        <v>5.75</v>
      </c>
      <c r="F17" s="11">
        <f t="shared" si="1"/>
        <v>3306.25</v>
      </c>
      <c r="G17" s="13">
        <f t="shared" si="0"/>
        <v>-3306.25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f>G17*0.4</f>
        <v>-1322.5</v>
      </c>
      <c r="Y17" s="14">
        <f>G17*0.6</f>
        <v>-1983.75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</row>
    <row r="18" spans="1:99" x14ac:dyDescent="0.25">
      <c r="A18" s="11" t="s">
        <v>4</v>
      </c>
      <c r="B18" s="11" t="s">
        <v>165</v>
      </c>
      <c r="C18" s="11" t="s">
        <v>2</v>
      </c>
      <c r="D18" s="12">
        <f>44*65*1.2</f>
        <v>3432</v>
      </c>
      <c r="E18" s="19">
        <v>725.70780000000002</v>
      </c>
      <c r="F18" s="11">
        <f t="shared" si="1"/>
        <v>2490629.1696000001</v>
      </c>
      <c r="G18" s="13">
        <f t="shared" si="0"/>
        <v>-2490629.1696000001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f>'evolucion certificaciones nuevo'!J33</f>
        <v>-74718.875088000001</v>
      </c>
      <c r="AF18" s="14">
        <f>'evolucion certificaciones nuevo'!K33</f>
        <v>-99625.166784000001</v>
      </c>
      <c r="AG18" s="14">
        <f>'evolucion certificaciones nuevo'!L33</f>
        <v>-231628.51277280002</v>
      </c>
      <c r="AH18" s="14">
        <f>'evolucion certificaciones nuevo'!M33</f>
        <v>-261516.06280800002</v>
      </c>
      <c r="AI18" s="14">
        <f>'evolucion certificaciones nuevo'!N33</f>
        <v>-410953.81298400002</v>
      </c>
      <c r="AJ18" s="14">
        <f>'evolucion certificaciones nuevo'!O33</f>
        <v>-510578.97976800002</v>
      </c>
      <c r="AK18" s="14">
        <f>'evolucion certificaciones nuevo'!P33</f>
        <v>-518050.86727679998</v>
      </c>
      <c r="AL18" s="14">
        <f>'evolucion certificaciones nuevo'!Q33</f>
        <v>-204231.59190720003</v>
      </c>
      <c r="AM18" s="14">
        <f>'evolucion certificaciones nuevo'!R33</f>
        <v>-179325.3002112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</row>
    <row r="19" spans="1:99" x14ac:dyDescent="0.25">
      <c r="A19" s="11" t="s">
        <v>4</v>
      </c>
      <c r="B19" s="11" t="s">
        <v>165</v>
      </c>
      <c r="C19" s="11" t="s">
        <v>40</v>
      </c>
      <c r="D19" s="12">
        <v>1</v>
      </c>
      <c r="E19" s="11">
        <v>1608120</v>
      </c>
      <c r="F19" s="11">
        <f t="shared" si="1"/>
        <v>1608120</v>
      </c>
      <c r="G19" s="13">
        <f t="shared" si="0"/>
        <v>-1608120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f>'evolucion certificaciones nuevo'!E35</f>
        <v>-9648.7199999999993</v>
      </c>
      <c r="AA19" s="14">
        <f>'evolucion certificaciones nuevo'!F35</f>
        <v>-25729.920000000002</v>
      </c>
      <c r="AB19" s="14">
        <f>'evolucion certificaciones nuevo'!G35</f>
        <v>-64324.800000000003</v>
      </c>
      <c r="AC19" s="14">
        <f>'evolucion certificaciones nuevo'!H35</f>
        <v>-60304.5</v>
      </c>
      <c r="AD19" s="14">
        <f>'evolucion certificaciones nuevo'!I35</f>
        <v>-72365.399999999994</v>
      </c>
      <c r="AE19" s="14">
        <f>'evolucion certificaciones nuevo'!J35</f>
        <v>-151967.34</v>
      </c>
      <c r="AF19" s="14">
        <f>'evolucion certificaciones nuevo'!K35</f>
        <v>-188954.09999999998</v>
      </c>
      <c r="AG19" s="14">
        <f>'evolucion certificaciones nuevo'!L35</f>
        <v>-128649.60000000001</v>
      </c>
      <c r="AH19" s="14">
        <f>'evolucion certificaciones nuevo'!M35</f>
        <v>-213879.96000000002</v>
      </c>
      <c r="AI19" s="14">
        <f>'evolucion certificaciones nuevo'!N35</f>
        <v>-191366.28</v>
      </c>
      <c r="AJ19" s="14">
        <f>'evolucion certificaciones nuevo'!O35</f>
        <v>-238805.81999999998</v>
      </c>
      <c r="AK19" s="14">
        <f>'evolucion certificaciones nuevo'!P35</f>
        <v>-94075.02</v>
      </c>
      <c r="AL19" s="14">
        <f>'evolucion certificaciones nuevo'!Q35</f>
        <v>-168048.53999999998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</row>
    <row r="20" spans="1:99" x14ac:dyDescent="0.25">
      <c r="A20" s="11" t="s">
        <v>4</v>
      </c>
      <c r="B20" s="11" t="s">
        <v>165</v>
      </c>
      <c r="C20" s="11" t="s">
        <v>11</v>
      </c>
      <c r="D20" s="12">
        <v>0.21</v>
      </c>
      <c r="E20" s="11">
        <f>F16</f>
        <v>96887.7</v>
      </c>
      <c r="F20" s="11">
        <f>E20*D20</f>
        <v>20346.416999999998</v>
      </c>
      <c r="G20" s="13">
        <f t="shared" si="0"/>
        <v>-20346.416999999998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f>X16*0.21</f>
        <v>-8138.5668000000005</v>
      </c>
      <c r="Y20" s="14">
        <f>Y16*0.21</f>
        <v>-12207.850199999999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</row>
    <row r="21" spans="1:99" x14ac:dyDescent="0.25">
      <c r="A21" s="11" t="s">
        <v>4</v>
      </c>
      <c r="B21" s="11" t="s">
        <v>165</v>
      </c>
      <c r="C21" s="11" t="s">
        <v>10</v>
      </c>
      <c r="D21" s="12">
        <v>0.1</v>
      </c>
      <c r="E21" s="11">
        <f>F18+F19</f>
        <v>4098749.1696000001</v>
      </c>
      <c r="F21" s="11">
        <f>E21*D21</f>
        <v>409874.91696000006</v>
      </c>
      <c r="G21" s="13">
        <f t="shared" si="0"/>
        <v>-409874.91696000006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f t="shared" ref="Z21:AM21" si="7">(Z18+Z19)*0.1</f>
        <v>-964.87199999999996</v>
      </c>
      <c r="AA21" s="14">
        <f t="shared" si="7"/>
        <v>-2572.9920000000002</v>
      </c>
      <c r="AB21" s="14">
        <f t="shared" si="7"/>
        <v>-6432.4800000000005</v>
      </c>
      <c r="AC21" s="14">
        <f t="shared" si="7"/>
        <v>-6030.4500000000007</v>
      </c>
      <c r="AD21" s="14">
        <f t="shared" si="7"/>
        <v>-7236.54</v>
      </c>
      <c r="AE21" s="14">
        <f t="shared" si="7"/>
        <v>-22668.621508800003</v>
      </c>
      <c r="AF21" s="14">
        <f t="shared" si="7"/>
        <v>-28857.926678399999</v>
      </c>
      <c r="AG21" s="14">
        <f t="shared" si="7"/>
        <v>-36027.811277280001</v>
      </c>
      <c r="AH21" s="14">
        <f t="shared" si="7"/>
        <v>-47539.602280800005</v>
      </c>
      <c r="AI21" s="14">
        <f t="shared" si="7"/>
        <v>-60232.0092984</v>
      </c>
      <c r="AJ21" s="14">
        <f t="shared" si="7"/>
        <v>-74938.479976800008</v>
      </c>
      <c r="AK21" s="14">
        <f t="shared" si="7"/>
        <v>-61212.588727680006</v>
      </c>
      <c r="AL21" s="14">
        <f t="shared" si="7"/>
        <v>-37228.013190719998</v>
      </c>
      <c r="AM21" s="14">
        <f t="shared" si="7"/>
        <v>-17932.530021120001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</row>
    <row r="22" spans="1:99" x14ac:dyDescent="0.25">
      <c r="A22" s="11" t="s">
        <v>4</v>
      </c>
      <c r="B22" s="11" t="s">
        <v>165</v>
      </c>
      <c r="C22" s="11" t="s">
        <v>21</v>
      </c>
      <c r="D22" s="12">
        <v>1</v>
      </c>
      <c r="E22" s="11">
        <v>700</v>
      </c>
      <c r="F22" s="11">
        <f t="shared" ref="F22:F37" si="8">D22*E22</f>
        <v>700</v>
      </c>
      <c r="G22" s="13">
        <f t="shared" si="0"/>
        <v>-700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f>G22</f>
        <v>-700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</row>
    <row r="23" spans="1:99" x14ac:dyDescent="0.25">
      <c r="A23" s="11" t="s">
        <v>4</v>
      </c>
      <c r="B23" s="11" t="s">
        <v>0</v>
      </c>
      <c r="C23" s="11" t="s">
        <v>7</v>
      </c>
      <c r="D23" s="12">
        <f>5%</f>
        <v>0.05</v>
      </c>
      <c r="E23" s="11">
        <f>(F18+F19)</f>
        <v>4098749.1696000001</v>
      </c>
      <c r="F23" s="11">
        <f t="shared" si="8"/>
        <v>204937.45848000003</v>
      </c>
      <c r="G23" s="20">
        <f t="shared" si="0"/>
        <v>-204937.45848000003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f>G23*0.2</f>
        <v>-40987.491696000012</v>
      </c>
      <c r="R23" s="21">
        <v>0</v>
      </c>
      <c r="S23" s="21">
        <v>0</v>
      </c>
      <c r="T23" s="21">
        <f>G23*0.8</f>
        <v>-163949.96678400005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</row>
    <row r="24" spans="1:99" x14ac:dyDescent="0.25">
      <c r="A24" s="11" t="s">
        <v>4</v>
      </c>
      <c r="B24" s="11" t="s">
        <v>0</v>
      </c>
      <c r="C24" s="11" t="s">
        <v>6</v>
      </c>
      <c r="D24" s="12">
        <f>5%</f>
        <v>0.05</v>
      </c>
      <c r="E24" s="11">
        <f>F16</f>
        <v>96887.7</v>
      </c>
      <c r="F24" s="11">
        <f t="shared" si="8"/>
        <v>4844.3850000000002</v>
      </c>
      <c r="G24" s="13">
        <f t="shared" si="0"/>
        <v>-4844.3850000000002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f>G24*0.2</f>
        <v>-968.87700000000007</v>
      </c>
      <c r="O24" s="14">
        <v>0</v>
      </c>
      <c r="P24" s="14">
        <f>G24*0.8</f>
        <v>-3875.5080000000003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</row>
    <row r="25" spans="1:99" x14ac:dyDescent="0.25">
      <c r="A25" s="11" t="s">
        <v>4</v>
      </c>
      <c r="B25" s="11" t="s">
        <v>0</v>
      </c>
      <c r="C25" s="11" t="s">
        <v>166</v>
      </c>
      <c r="D25" s="12">
        <v>2.9999999999999997E-4</v>
      </c>
      <c r="E25" s="11">
        <f>F18</f>
        <v>2490629.1696000001</v>
      </c>
      <c r="F25" s="11">
        <f t="shared" si="8"/>
        <v>747.18875087999993</v>
      </c>
      <c r="G25" s="13">
        <f t="shared" si="0"/>
        <v>-747.18875087999993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f>G25</f>
        <v>-747.18875087999993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</row>
    <row r="26" spans="1:99" x14ac:dyDescent="0.25">
      <c r="A26" s="11" t="s">
        <v>4</v>
      </c>
      <c r="B26" s="11" t="s">
        <v>0</v>
      </c>
      <c r="C26" s="11" t="s">
        <v>167</v>
      </c>
      <c r="D26" s="12">
        <v>2.0000000000000001E-4</v>
      </c>
      <c r="E26" s="11">
        <f>F18</f>
        <v>2490629.1696000001</v>
      </c>
      <c r="F26" s="11">
        <f t="shared" si="8"/>
        <v>498.12583392000005</v>
      </c>
      <c r="G26" s="13">
        <f t="shared" si="0"/>
        <v>-498.12583392000005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f>G26</f>
        <v>-498.12583392000005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</row>
    <row r="27" spans="1:99" x14ac:dyDescent="0.25">
      <c r="A27" s="11" t="s">
        <v>4</v>
      </c>
      <c r="B27" s="11" t="s">
        <v>0</v>
      </c>
      <c r="C27" s="11" t="s">
        <v>168</v>
      </c>
      <c r="D27" s="12">
        <v>1</v>
      </c>
      <c r="E27" s="11">
        <v>250</v>
      </c>
      <c r="F27" s="11">
        <f t="shared" si="8"/>
        <v>250</v>
      </c>
      <c r="G27" s="13">
        <f t="shared" si="0"/>
        <v>-250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f>G27</f>
        <v>-250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</row>
    <row r="28" spans="1:99" x14ac:dyDescent="0.25">
      <c r="A28" s="11" t="s">
        <v>4</v>
      </c>
      <c r="B28" s="11" t="s">
        <v>0</v>
      </c>
      <c r="C28" s="11" t="s">
        <v>169</v>
      </c>
      <c r="D28" s="12">
        <v>2.9999999999999997E-4</v>
      </c>
      <c r="E28" s="11">
        <f>F18</f>
        <v>2490629.1696000001</v>
      </c>
      <c r="F28" s="11">
        <f t="shared" si="8"/>
        <v>747.18875087999993</v>
      </c>
      <c r="G28" s="13">
        <f t="shared" si="0"/>
        <v>-747.18875087999993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f>G28</f>
        <v>-747.18875087999993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</row>
    <row r="29" spans="1:99" x14ac:dyDescent="0.25">
      <c r="A29" s="11" t="s">
        <v>4</v>
      </c>
      <c r="B29" s="11" t="s">
        <v>0</v>
      </c>
      <c r="C29" s="11" t="s">
        <v>170</v>
      </c>
      <c r="D29" s="12">
        <v>2.0000000000000001E-4</v>
      </c>
      <c r="E29" s="11">
        <f>F18</f>
        <v>2490629.1696000001</v>
      </c>
      <c r="F29" s="11">
        <f t="shared" si="8"/>
        <v>498.12583392000005</v>
      </c>
      <c r="G29" s="13">
        <f t="shared" si="0"/>
        <v>-498.12583392000005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f t="shared" ref="AN29:AN32" si="9">G29</f>
        <v>-498.12583392000005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</row>
    <row r="30" spans="1:99" x14ac:dyDescent="0.25">
      <c r="A30" s="11" t="s">
        <v>4</v>
      </c>
      <c r="B30" s="11" t="s">
        <v>0</v>
      </c>
      <c r="C30" s="11" t="s">
        <v>171</v>
      </c>
      <c r="D30" s="12">
        <v>1</v>
      </c>
      <c r="E30" s="11">
        <v>250</v>
      </c>
      <c r="F30" s="11">
        <f t="shared" si="8"/>
        <v>250</v>
      </c>
      <c r="G30" s="13">
        <f t="shared" si="0"/>
        <v>-250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f t="shared" si="9"/>
        <v>-250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</row>
    <row r="31" spans="1:99" x14ac:dyDescent="0.25">
      <c r="A31" s="11" t="s">
        <v>4</v>
      </c>
      <c r="B31" s="11" t="s">
        <v>0</v>
      </c>
      <c r="C31" s="11" t="s">
        <v>23</v>
      </c>
      <c r="D31" s="12">
        <v>8.9999999999999993E-3</v>
      </c>
      <c r="E31" s="11">
        <f>F18</f>
        <v>2490629.1696000001</v>
      </c>
      <c r="F31" s="11">
        <f t="shared" si="8"/>
        <v>22415.662526399999</v>
      </c>
      <c r="G31" s="13">
        <f t="shared" si="0"/>
        <v>-22415.662526399999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f>$G$31/16</f>
        <v>-1400.9789079</v>
      </c>
      <c r="Y31" s="14">
        <f t="shared" ref="Y31:AM31" si="10">$G$31/16</f>
        <v>-1400.9789079</v>
      </c>
      <c r="Z31" s="14">
        <f t="shared" si="10"/>
        <v>-1400.9789079</v>
      </c>
      <c r="AA31" s="14">
        <f t="shared" si="10"/>
        <v>-1400.9789079</v>
      </c>
      <c r="AB31" s="14">
        <f t="shared" si="10"/>
        <v>-1400.9789079</v>
      </c>
      <c r="AC31" s="14">
        <f t="shared" si="10"/>
        <v>-1400.9789079</v>
      </c>
      <c r="AD31" s="14">
        <f t="shared" si="10"/>
        <v>-1400.9789079</v>
      </c>
      <c r="AE31" s="14">
        <f t="shared" si="10"/>
        <v>-1400.9789079</v>
      </c>
      <c r="AF31" s="14">
        <f t="shared" si="10"/>
        <v>-1400.9789079</v>
      </c>
      <c r="AG31" s="14">
        <f t="shared" si="10"/>
        <v>-1400.9789079</v>
      </c>
      <c r="AH31" s="14">
        <f t="shared" si="10"/>
        <v>-1400.9789079</v>
      </c>
      <c r="AI31" s="14">
        <f t="shared" si="10"/>
        <v>-1400.9789079</v>
      </c>
      <c r="AJ31" s="14">
        <f t="shared" si="10"/>
        <v>-1400.9789079</v>
      </c>
      <c r="AK31" s="14">
        <f t="shared" si="10"/>
        <v>-1400.9789079</v>
      </c>
      <c r="AL31" s="14">
        <f t="shared" si="10"/>
        <v>-1400.9789079</v>
      </c>
      <c r="AM31" s="14">
        <f t="shared" si="10"/>
        <v>-1400.9789079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</row>
    <row r="32" spans="1:99" x14ac:dyDescent="0.25">
      <c r="A32" s="11" t="s">
        <v>4</v>
      </c>
      <c r="B32" s="11" t="s">
        <v>0</v>
      </c>
      <c r="C32" s="11" t="s">
        <v>172</v>
      </c>
      <c r="D32" s="12">
        <v>2.5000000000000001E-3</v>
      </c>
      <c r="E32" s="11">
        <f>44*65*1.2*725.71</f>
        <v>2490636.7200000002</v>
      </c>
      <c r="F32" s="11">
        <f t="shared" si="8"/>
        <v>6226.5918000000011</v>
      </c>
      <c r="G32" s="13">
        <f t="shared" si="0"/>
        <v>-6226.5918000000011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f t="shared" si="9"/>
        <v>-6226.5918000000011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</row>
    <row r="33" spans="1:99" x14ac:dyDescent="0.25">
      <c r="A33" s="11" t="s">
        <v>4</v>
      </c>
      <c r="B33" s="11" t="s">
        <v>24</v>
      </c>
      <c r="C33" s="11" t="s">
        <v>27</v>
      </c>
      <c r="D33" s="40">
        <v>1</v>
      </c>
      <c r="E33" s="22">
        <v>2500</v>
      </c>
      <c r="F33" s="22">
        <f t="shared" si="8"/>
        <v>2500</v>
      </c>
      <c r="G33" s="23">
        <f t="shared" si="0"/>
        <v>-2500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5">
        <v>0</v>
      </c>
      <c r="W33" s="25">
        <f>G33</f>
        <v>-2500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>
        <v>0</v>
      </c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  <c r="BO33" s="25">
        <v>0</v>
      </c>
      <c r="BP33" s="25">
        <v>0</v>
      </c>
      <c r="BQ33" s="25">
        <v>0</v>
      </c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</v>
      </c>
      <c r="CD33" s="25">
        <v>0</v>
      </c>
      <c r="CE33" s="25">
        <v>0</v>
      </c>
      <c r="CF33" s="25">
        <v>0</v>
      </c>
      <c r="CG33" s="25">
        <v>0</v>
      </c>
      <c r="CH33" s="25">
        <v>0</v>
      </c>
      <c r="CI33" s="25">
        <v>0</v>
      </c>
      <c r="CJ33" s="25">
        <v>0</v>
      </c>
      <c r="CK33" s="25">
        <v>0</v>
      </c>
      <c r="CL33" s="25">
        <v>0</v>
      </c>
      <c r="CM33" s="25">
        <v>0</v>
      </c>
      <c r="CN33" s="25">
        <v>0</v>
      </c>
      <c r="CO33" s="25">
        <v>0</v>
      </c>
      <c r="CP33" s="25">
        <v>0</v>
      </c>
      <c r="CQ33" s="25">
        <v>0</v>
      </c>
      <c r="CR33" s="25">
        <v>0</v>
      </c>
      <c r="CS33" s="25">
        <v>0</v>
      </c>
      <c r="CT33" s="25">
        <v>0</v>
      </c>
      <c r="CU33" s="25">
        <v>0</v>
      </c>
    </row>
    <row r="34" spans="1:99" x14ac:dyDescent="0.25">
      <c r="A34" s="11" t="s">
        <v>4</v>
      </c>
      <c r="B34" s="11" t="s">
        <v>24</v>
      </c>
      <c r="C34" s="11" t="s">
        <v>173</v>
      </c>
      <c r="D34" s="42">
        <v>2.5000000000000001E-3</v>
      </c>
      <c r="E34" s="22">
        <f>-0.8*SUM(G2:G32,G41:G42)</f>
        <v>4575940.387298122</v>
      </c>
      <c r="F34" s="22">
        <f t="shared" si="8"/>
        <v>11439.850968245306</v>
      </c>
      <c r="G34" s="13">
        <f t="shared" si="0"/>
        <v>-11439.850968245306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f>G34</f>
        <v>-11439.850968245306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</row>
    <row r="35" spans="1:99" x14ac:dyDescent="0.25">
      <c r="A35" s="11" t="s">
        <v>4</v>
      </c>
      <c r="B35" s="11" t="s">
        <v>24</v>
      </c>
      <c r="C35" s="11" t="s">
        <v>28</v>
      </c>
      <c r="D35" s="40">
        <v>1</v>
      </c>
      <c r="E35" s="22">
        <v>250</v>
      </c>
      <c r="F35" s="22">
        <f t="shared" si="8"/>
        <v>250</v>
      </c>
      <c r="G35" s="13">
        <f t="shared" si="0"/>
        <v>-250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f>G35</f>
        <v>-250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</row>
    <row r="36" spans="1:99" x14ac:dyDescent="0.25">
      <c r="A36" s="11" t="s">
        <v>4</v>
      </c>
      <c r="B36" s="11" t="s">
        <v>24</v>
      </c>
      <c r="C36" s="11" t="s">
        <v>29</v>
      </c>
      <c r="D36" s="42">
        <v>2.5000000000000001E-3</v>
      </c>
      <c r="E36" s="22">
        <f>-0.8*SUM(G2:G32,G41:G42)</f>
        <v>4575940.387298122</v>
      </c>
      <c r="F36" s="22">
        <f t="shared" si="8"/>
        <v>11439.850968245306</v>
      </c>
      <c r="G36" s="13">
        <f t="shared" si="0"/>
        <v>-11439.850968245306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f>G36</f>
        <v>-11439.850968245306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</row>
    <row r="37" spans="1:99" x14ac:dyDescent="0.25">
      <c r="A37" s="11" t="s">
        <v>4</v>
      </c>
      <c r="B37" s="11" t="s">
        <v>24</v>
      </c>
      <c r="C37" s="11" t="s">
        <v>25</v>
      </c>
      <c r="D37" s="42">
        <v>1E-3</v>
      </c>
      <c r="E37" s="22">
        <f>-0.8*SUM(G2:G32,G41:G42)</f>
        <v>4575940.387298122</v>
      </c>
      <c r="F37" s="22">
        <f t="shared" si="8"/>
        <v>4575.940387298122</v>
      </c>
      <c r="G37" s="13">
        <f t="shared" si="0"/>
        <v>-4575.940387298122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f>G37</f>
        <v>-4575.940387298122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</row>
    <row r="38" spans="1:99" x14ac:dyDescent="0.25">
      <c r="A38" s="11" t="s">
        <v>4</v>
      </c>
      <c r="B38" s="11" t="s">
        <v>24</v>
      </c>
      <c r="C38" s="11" t="s">
        <v>95</v>
      </c>
      <c r="D38" s="42">
        <f>intereses!C5</f>
        <v>3.5000000000000003E-2</v>
      </c>
      <c r="E38" s="22">
        <f>0.8*(SUM(F2:F42)-F44-F45)</f>
        <v>4073629.8939317497</v>
      </c>
      <c r="F38" s="22">
        <v>372757.01</v>
      </c>
      <c r="G38" s="13"/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1">
        <v>-11881.443962500001</v>
      </c>
      <c r="AO38" s="11">
        <v>-11699.9539756131</v>
      </c>
      <c r="AP38" s="11">
        <v>-11517.934642931114</v>
      </c>
      <c r="AQ38" s="11">
        <v>-11335.384420528802</v>
      </c>
      <c r="AR38" s="11">
        <v>-11152.301759977818</v>
      </c>
      <c r="AS38" s="11">
        <v>-10968.685108333562</v>
      </c>
      <c r="AT38" s="11">
        <v>-10784.532908122008</v>
      </c>
      <c r="AU38" s="11">
        <v>-10599.843597326504</v>
      </c>
      <c r="AV38" s="11">
        <v>-10414.615609374514</v>
      </c>
      <c r="AW38" s="11">
        <v>-10228.847373124332</v>
      </c>
      <c r="AX38" s="11">
        <v>-10042.537312851749</v>
      </c>
      <c r="AY38" s="11">
        <v>-9855.6838482367093</v>
      </c>
      <c r="AZ38" s="11">
        <v>-9668.285394349874</v>
      </c>
      <c r="BA38" s="11">
        <v>-9480.3403616392025</v>
      </c>
      <c r="BB38" s="11">
        <v>-9291.8471559164573</v>
      </c>
      <c r="BC38" s="11">
        <v>-9102.8041783436856</v>
      </c>
      <c r="BD38" s="11">
        <v>-8913.2098254196626</v>
      </c>
      <c r="BE38" s="11">
        <v>-8723.0624889662795</v>
      </c>
      <c r="BF38" s="11">
        <v>-8532.3605561149034</v>
      </c>
      <c r="BG38" s="11">
        <v>-8341.1024092927128</v>
      </c>
      <c r="BH38" s="11">
        <v>-8149.2864262089561</v>
      </c>
      <c r="BI38" s="11">
        <v>-7956.9109798412055</v>
      </c>
      <c r="BJ38" s="11">
        <v>-7763.974438421551</v>
      </c>
      <c r="BK38" s="11">
        <v>-7570.475165422753</v>
      </c>
      <c r="BL38" s="11">
        <v>-7376.4115195443783</v>
      </c>
      <c r="BM38" s="11">
        <v>-7181.7818546988565</v>
      </c>
      <c r="BN38" s="11">
        <v>-6986.5845199975347</v>
      </c>
      <c r="BO38" s="11">
        <v>-6790.8178597366696</v>
      </c>
      <c r="BP38" s="11">
        <v>-6594.4802133833764</v>
      </c>
      <c r="BQ38" s="11">
        <v>-6397.5699155615503</v>
      </c>
      <c r="BR38" s="11">
        <v>-6200.0852960377442</v>
      </c>
      <c r="BS38" s="11">
        <v>-6002.0246797069958</v>
      </c>
      <c r="BT38" s="11">
        <v>-5803.3863865786152</v>
      </c>
      <c r="BU38" s="11">
        <v>-5604.1687317619435</v>
      </c>
      <c r="BV38" s="11">
        <v>-5404.3700254520572</v>
      </c>
      <c r="BW38" s="11">
        <v>-5203.988572915433</v>
      </c>
      <c r="BX38" s="11">
        <v>-5003.0226744755764</v>
      </c>
      <c r="BY38" s="11">
        <v>-4801.4706254986049</v>
      </c>
      <c r="BZ38" s="11">
        <v>-4599.3307163787822</v>
      </c>
      <c r="CA38" s="11">
        <v>-4396.6012325240272</v>
      </c>
      <c r="CB38" s="11">
        <v>-4193.2804543413631</v>
      </c>
      <c r="CC38" s="11">
        <v>-3989.3666572223337</v>
      </c>
      <c r="CD38" s="11">
        <v>-3784.8581115283719</v>
      </c>
      <c r="CE38" s="11">
        <v>-3579.7530825761373</v>
      </c>
      <c r="CF38" s="11">
        <v>-3374.0498306227919</v>
      </c>
      <c r="CG38" s="11">
        <v>-3167.7466108512485</v>
      </c>
      <c r="CH38" s="11">
        <v>-2960.8416733553722</v>
      </c>
      <c r="CI38" s="11">
        <v>-2753.3332631251324</v>
      </c>
      <c r="CJ38" s="11">
        <v>-2545.2196200317217</v>
      </c>
      <c r="CK38" s="11">
        <v>-2336.4989788126218</v>
      </c>
      <c r="CL38" s="11">
        <v>-2127.1695690566326</v>
      </c>
      <c r="CM38" s="11">
        <v>-1917.229615188855</v>
      </c>
      <c r="CN38" s="11">
        <v>-1706.6773364556298</v>
      </c>
      <c r="CO38" s="11">
        <v>-1495.5109469094327</v>
      </c>
      <c r="CP38" s="11">
        <v>-1283.7286553937258</v>
      </c>
      <c r="CQ38" s="11">
        <v>-1071.3286655277648</v>
      </c>
      <c r="CR38" s="11">
        <v>-858.30917569136136</v>
      </c>
      <c r="CS38" s="11">
        <v>-644.66837900960184</v>
      </c>
      <c r="CT38" s="11">
        <v>-430.40446333752061</v>
      </c>
      <c r="CU38" s="11">
        <v>-215.51561124472886</v>
      </c>
    </row>
    <row r="39" spans="1:99" x14ac:dyDescent="0.25">
      <c r="A39" s="11" t="s">
        <v>4</v>
      </c>
      <c r="B39" s="11" t="s">
        <v>24</v>
      </c>
      <c r="C39" s="11" t="s">
        <v>39</v>
      </c>
      <c r="D39" s="42">
        <f>intereses!E5</f>
        <v>0.05</v>
      </c>
      <c r="E39" s="22">
        <f>-0.8*SUM(G2:G32,G41:G42)</f>
        <v>4575940.387298122</v>
      </c>
      <c r="F39" s="18">
        <v>163749.38</v>
      </c>
      <c r="G39" s="13"/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1">
        <v>-19066.451541666665</v>
      </c>
      <c r="Y39" s="11">
        <v>-17911.598800313306</v>
      </c>
      <c r="Z39" s="11">
        <v>-16751.93417253764</v>
      </c>
      <c r="AA39" s="11">
        <v>-15587.437608812907</v>
      </c>
      <c r="AB39" s="11">
        <v>-14418.088976072655</v>
      </c>
      <c r="AC39" s="11">
        <v>-13243.868057362653</v>
      </c>
      <c r="AD39" s="11">
        <v>-12064.754551491358</v>
      </c>
      <c r="AE39" s="11">
        <v>-10880.728072678934</v>
      </c>
      <c r="AF39" s="11">
        <v>-9691.7681502047926</v>
      </c>
      <c r="AG39" s="11">
        <v>-8497.8542280536749</v>
      </c>
      <c r="AH39" s="11">
        <v>-7298.965664560259</v>
      </c>
      <c r="AI39" s="11">
        <v>-6095.0817320522883</v>
      </c>
      <c r="AJ39" s="11">
        <v>-4886.1816164922011</v>
      </c>
      <c r="AK39" s="11">
        <v>-3672.2444171172806</v>
      </c>
      <c r="AL39" s="11">
        <v>-2453.2491460782981</v>
      </c>
      <c r="AM39" s="11">
        <v>-1229.1747280766522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</row>
    <row r="40" spans="1:99" x14ac:dyDescent="0.25">
      <c r="A40" s="11" t="s">
        <v>4</v>
      </c>
      <c r="B40" s="11" t="s">
        <v>24</v>
      </c>
      <c r="C40" s="11" t="s">
        <v>26</v>
      </c>
      <c r="D40" s="42">
        <v>2.5000000000000001E-3</v>
      </c>
      <c r="E40" s="22">
        <f>-0.8*SUM(G2:G32,G41:G42)</f>
        <v>4575940.387298122</v>
      </c>
      <c r="F40" s="22">
        <f t="shared" ref="F40:F47" si="11">D40*E40</f>
        <v>11439.850968245306</v>
      </c>
      <c r="G40" s="13">
        <f>-F40</f>
        <v>-11439.850968245306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0</v>
      </c>
      <c r="CU40" s="14">
        <f>G40</f>
        <v>-11439.850968245306</v>
      </c>
    </row>
    <row r="41" spans="1:99" x14ac:dyDescent="0.25">
      <c r="A41" s="11" t="s">
        <v>4</v>
      </c>
      <c r="B41" s="11" t="s">
        <v>1</v>
      </c>
      <c r="C41" s="11" t="s">
        <v>22</v>
      </c>
      <c r="D41" s="12">
        <f>22*8</f>
        <v>176</v>
      </c>
      <c r="E41" s="11">
        <v>700</v>
      </c>
      <c r="F41" s="22">
        <f t="shared" si="11"/>
        <v>123200</v>
      </c>
      <c r="G41" s="20">
        <f>-F41</f>
        <v>-123200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0">
        <f t="shared" ref="Y41:AF41" si="12">$G$41/8</f>
        <v>-15400</v>
      </c>
      <c r="Z41" s="21">
        <f t="shared" si="12"/>
        <v>-15400</v>
      </c>
      <c r="AA41" s="21">
        <f t="shared" si="12"/>
        <v>-15400</v>
      </c>
      <c r="AB41" s="21">
        <f t="shared" si="12"/>
        <v>-15400</v>
      </c>
      <c r="AC41" s="21">
        <f t="shared" si="12"/>
        <v>-15400</v>
      </c>
      <c r="AD41" s="21">
        <f t="shared" si="12"/>
        <v>-15400</v>
      </c>
      <c r="AE41" s="21">
        <f t="shared" si="12"/>
        <v>-15400</v>
      </c>
      <c r="AF41" s="20">
        <f t="shared" si="12"/>
        <v>-15400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21">
        <v>0</v>
      </c>
      <c r="AZ41" s="21">
        <v>0</v>
      </c>
      <c r="BA41" s="21">
        <v>0</v>
      </c>
      <c r="BB41" s="21">
        <v>0</v>
      </c>
      <c r="BC41" s="21">
        <v>0</v>
      </c>
      <c r="BD41" s="21">
        <v>0</v>
      </c>
      <c r="BE41" s="21">
        <v>0</v>
      </c>
      <c r="BF41" s="21">
        <v>0</v>
      </c>
      <c r="BG41" s="21">
        <v>0</v>
      </c>
      <c r="BH41" s="21">
        <v>0</v>
      </c>
      <c r="BI41" s="21">
        <v>0</v>
      </c>
      <c r="BJ41" s="21">
        <v>0</v>
      </c>
      <c r="BK41" s="21">
        <v>0</v>
      </c>
      <c r="BL41" s="21">
        <v>0</v>
      </c>
      <c r="BM41" s="21">
        <v>0</v>
      </c>
      <c r="BN41" s="21">
        <v>0</v>
      </c>
      <c r="BO41" s="21">
        <v>0</v>
      </c>
      <c r="BP41" s="21">
        <v>0</v>
      </c>
      <c r="BQ41" s="21">
        <v>0</v>
      </c>
      <c r="BR41" s="21">
        <v>0</v>
      </c>
      <c r="BS41" s="21">
        <v>0</v>
      </c>
      <c r="BT41" s="21">
        <v>0</v>
      </c>
      <c r="BU41" s="21">
        <v>0</v>
      </c>
      <c r="BV41" s="21">
        <v>0</v>
      </c>
      <c r="BW41" s="21">
        <v>0</v>
      </c>
      <c r="BX41" s="21">
        <v>0</v>
      </c>
      <c r="BY41" s="21">
        <v>0</v>
      </c>
      <c r="BZ41" s="21">
        <v>0</v>
      </c>
      <c r="CA41" s="21">
        <v>0</v>
      </c>
      <c r="CB41" s="21">
        <v>0</v>
      </c>
      <c r="CC41" s="21">
        <v>0</v>
      </c>
      <c r="CD41" s="21">
        <v>0</v>
      </c>
      <c r="CE41" s="21">
        <v>0</v>
      </c>
      <c r="CF41" s="21">
        <v>0</v>
      </c>
      <c r="CG41" s="21">
        <v>0</v>
      </c>
      <c r="CH41" s="21">
        <v>0</v>
      </c>
      <c r="CI41" s="21">
        <v>0</v>
      </c>
      <c r="CJ41" s="21">
        <v>0</v>
      </c>
      <c r="CK41" s="21">
        <v>0</v>
      </c>
      <c r="CL41" s="21">
        <v>0</v>
      </c>
      <c r="CM41" s="21">
        <v>0</v>
      </c>
      <c r="CN41" s="21">
        <v>0</v>
      </c>
      <c r="CO41" s="21">
        <v>0</v>
      </c>
      <c r="CP41" s="21">
        <v>0</v>
      </c>
      <c r="CQ41" s="21">
        <v>0</v>
      </c>
      <c r="CR41" s="21">
        <v>0</v>
      </c>
      <c r="CS41" s="21">
        <v>0</v>
      </c>
      <c r="CT41" s="21">
        <v>0</v>
      </c>
      <c r="CU41" s="21">
        <v>0</v>
      </c>
    </row>
    <row r="42" spans="1:99" x14ac:dyDescent="0.25">
      <c r="A42" s="11" t="s">
        <v>4</v>
      </c>
      <c r="B42" s="11" t="s">
        <v>1</v>
      </c>
      <c r="C42" s="11" t="s">
        <v>17</v>
      </c>
      <c r="D42" s="12">
        <f>22*8</f>
        <v>176</v>
      </c>
      <c r="E42" s="11">
        <v>200</v>
      </c>
      <c r="F42" s="22">
        <f t="shared" si="11"/>
        <v>35200</v>
      </c>
      <c r="G42" s="13">
        <f>-$F$42</f>
        <v>-35200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f t="shared" ref="Y42:AF42" si="13">$G$42/8</f>
        <v>-4400</v>
      </c>
      <c r="Z42" s="14">
        <f t="shared" si="13"/>
        <v>-4400</v>
      </c>
      <c r="AA42" s="14">
        <f t="shared" si="13"/>
        <v>-4400</v>
      </c>
      <c r="AB42" s="14">
        <f t="shared" si="13"/>
        <v>-4400</v>
      </c>
      <c r="AC42" s="14">
        <f t="shared" si="13"/>
        <v>-4400</v>
      </c>
      <c r="AD42" s="14">
        <f t="shared" si="13"/>
        <v>-4400</v>
      </c>
      <c r="AE42" s="14">
        <f t="shared" si="13"/>
        <v>-4400</v>
      </c>
      <c r="AF42" s="14">
        <f t="shared" si="13"/>
        <v>-4400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</row>
    <row r="43" spans="1:99" x14ac:dyDescent="0.25">
      <c r="A43" s="11" t="s">
        <v>5</v>
      </c>
      <c r="B43" s="11" t="s">
        <v>174</v>
      </c>
      <c r="C43" s="11" t="s">
        <v>143</v>
      </c>
      <c r="D43" s="12">
        <v>44</v>
      </c>
      <c r="E43" s="11">
        <f>65*2183.04</f>
        <v>141897.60000000001</v>
      </c>
      <c r="F43" s="11">
        <f t="shared" si="11"/>
        <v>6243494.4000000004</v>
      </c>
      <c r="G43" s="13">
        <f>F43</f>
        <v>6243494.4000000004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f>G43</f>
        <v>6243494.4000000004</v>
      </c>
    </row>
    <row r="44" spans="1:99" x14ac:dyDescent="0.25">
      <c r="A44" s="11" t="s">
        <v>5</v>
      </c>
      <c r="B44" s="11" t="s">
        <v>175</v>
      </c>
      <c r="C44" s="11" t="s">
        <v>176</v>
      </c>
      <c r="D44" s="12">
        <v>88</v>
      </c>
      <c r="E44" s="19">
        <v>2705</v>
      </c>
      <c r="F44" s="11">
        <f t="shared" si="11"/>
        <v>238040</v>
      </c>
      <c r="G44" s="13">
        <f>F44</f>
        <v>238040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f>G44</f>
        <v>238040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R44" s="14">
        <v>0</v>
      </c>
      <c r="CS44" s="14">
        <v>0</v>
      </c>
      <c r="CT44" s="14">
        <v>0</v>
      </c>
      <c r="CU44" s="14">
        <v>0</v>
      </c>
    </row>
    <row r="45" spans="1:99" x14ac:dyDescent="0.25">
      <c r="A45" s="11" t="s">
        <v>5</v>
      </c>
      <c r="B45" s="11" t="s">
        <v>175</v>
      </c>
      <c r="C45" s="11" t="s">
        <v>177</v>
      </c>
      <c r="D45" s="12">
        <v>88</v>
      </c>
      <c r="E45" s="11">
        <v>11000</v>
      </c>
      <c r="F45" s="11">
        <f t="shared" si="11"/>
        <v>968000</v>
      </c>
      <c r="G45" s="13">
        <f>F45</f>
        <v>968000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f>G45</f>
        <v>968000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</row>
    <row r="46" spans="1:99" x14ac:dyDescent="0.25">
      <c r="A46" s="11" t="s">
        <v>5</v>
      </c>
      <c r="B46" s="11" t="s">
        <v>178</v>
      </c>
      <c r="C46" s="11" t="s">
        <v>179</v>
      </c>
      <c r="D46" s="12">
        <f>44*60</f>
        <v>2640</v>
      </c>
      <c r="E46" s="11">
        <v>450</v>
      </c>
      <c r="F46" s="22">
        <f t="shared" si="11"/>
        <v>1188000</v>
      </c>
      <c r="G46" s="13">
        <f>F46</f>
        <v>1188000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f>($D$46*$E$46)/60</f>
        <v>19800</v>
      </c>
      <c r="AO46" s="14">
        <f t="shared" ref="AO46:CU46" si="14">($D$46*$E$46)/60</f>
        <v>19800</v>
      </c>
      <c r="AP46" s="14">
        <f t="shared" si="14"/>
        <v>19800</v>
      </c>
      <c r="AQ46" s="14">
        <f t="shared" si="14"/>
        <v>19800</v>
      </c>
      <c r="AR46" s="14">
        <f t="shared" si="14"/>
        <v>19800</v>
      </c>
      <c r="AS46" s="14">
        <f t="shared" si="14"/>
        <v>19800</v>
      </c>
      <c r="AT46" s="14">
        <f t="shared" si="14"/>
        <v>19800</v>
      </c>
      <c r="AU46" s="14">
        <f t="shared" si="14"/>
        <v>19800</v>
      </c>
      <c r="AV46" s="14">
        <f t="shared" si="14"/>
        <v>19800</v>
      </c>
      <c r="AW46" s="14">
        <f t="shared" si="14"/>
        <v>19800</v>
      </c>
      <c r="AX46" s="14">
        <f t="shared" si="14"/>
        <v>19800</v>
      </c>
      <c r="AY46" s="14">
        <f t="shared" si="14"/>
        <v>19800</v>
      </c>
      <c r="AZ46" s="14">
        <f t="shared" si="14"/>
        <v>19800</v>
      </c>
      <c r="BA46" s="14">
        <f t="shared" si="14"/>
        <v>19800</v>
      </c>
      <c r="BB46" s="14">
        <f t="shared" si="14"/>
        <v>19800</v>
      </c>
      <c r="BC46" s="14">
        <f t="shared" si="14"/>
        <v>19800</v>
      </c>
      <c r="BD46" s="14">
        <f t="shared" si="14"/>
        <v>19800</v>
      </c>
      <c r="BE46" s="14">
        <f t="shared" si="14"/>
        <v>19800</v>
      </c>
      <c r="BF46" s="14">
        <f t="shared" si="14"/>
        <v>19800</v>
      </c>
      <c r="BG46" s="14">
        <f t="shared" si="14"/>
        <v>19800</v>
      </c>
      <c r="BH46" s="14">
        <f t="shared" si="14"/>
        <v>19800</v>
      </c>
      <c r="BI46" s="14">
        <f t="shared" si="14"/>
        <v>19800</v>
      </c>
      <c r="BJ46" s="14">
        <f t="shared" si="14"/>
        <v>19800</v>
      </c>
      <c r="BK46" s="14">
        <f t="shared" si="14"/>
        <v>19800</v>
      </c>
      <c r="BL46" s="14">
        <f t="shared" si="14"/>
        <v>19800</v>
      </c>
      <c r="BM46" s="14">
        <f t="shared" si="14"/>
        <v>19800</v>
      </c>
      <c r="BN46" s="14">
        <f t="shared" si="14"/>
        <v>19800</v>
      </c>
      <c r="BO46" s="14">
        <f t="shared" si="14"/>
        <v>19800</v>
      </c>
      <c r="BP46" s="14">
        <f t="shared" si="14"/>
        <v>19800</v>
      </c>
      <c r="BQ46" s="14">
        <f t="shared" si="14"/>
        <v>19800</v>
      </c>
      <c r="BR46" s="14">
        <f t="shared" si="14"/>
        <v>19800</v>
      </c>
      <c r="BS46" s="14">
        <f t="shared" si="14"/>
        <v>19800</v>
      </c>
      <c r="BT46" s="14">
        <f t="shared" si="14"/>
        <v>19800</v>
      </c>
      <c r="BU46" s="14">
        <f t="shared" si="14"/>
        <v>19800</v>
      </c>
      <c r="BV46" s="14">
        <f t="shared" si="14"/>
        <v>19800</v>
      </c>
      <c r="BW46" s="14">
        <f t="shared" si="14"/>
        <v>19800</v>
      </c>
      <c r="BX46" s="14">
        <f t="shared" si="14"/>
        <v>19800</v>
      </c>
      <c r="BY46" s="14">
        <f t="shared" si="14"/>
        <v>19800</v>
      </c>
      <c r="BZ46" s="14">
        <f t="shared" si="14"/>
        <v>19800</v>
      </c>
      <c r="CA46" s="14">
        <f t="shared" si="14"/>
        <v>19800</v>
      </c>
      <c r="CB46" s="14">
        <f t="shared" si="14"/>
        <v>19800</v>
      </c>
      <c r="CC46" s="14">
        <f t="shared" si="14"/>
        <v>19800</v>
      </c>
      <c r="CD46" s="14">
        <f t="shared" si="14"/>
        <v>19800</v>
      </c>
      <c r="CE46" s="14">
        <f t="shared" si="14"/>
        <v>19800</v>
      </c>
      <c r="CF46" s="14">
        <f t="shared" si="14"/>
        <v>19800</v>
      </c>
      <c r="CG46" s="14">
        <f t="shared" si="14"/>
        <v>19800</v>
      </c>
      <c r="CH46" s="14">
        <f t="shared" si="14"/>
        <v>19800</v>
      </c>
      <c r="CI46" s="14">
        <f t="shared" si="14"/>
        <v>19800</v>
      </c>
      <c r="CJ46" s="14">
        <f t="shared" si="14"/>
        <v>19800</v>
      </c>
      <c r="CK46" s="14">
        <f t="shared" si="14"/>
        <v>19800</v>
      </c>
      <c r="CL46" s="14">
        <f t="shared" si="14"/>
        <v>19800</v>
      </c>
      <c r="CM46" s="14">
        <f t="shared" si="14"/>
        <v>19800</v>
      </c>
      <c r="CN46" s="14">
        <f t="shared" si="14"/>
        <v>19800</v>
      </c>
      <c r="CO46" s="14">
        <f t="shared" si="14"/>
        <v>19800</v>
      </c>
      <c r="CP46" s="14">
        <f t="shared" si="14"/>
        <v>19800</v>
      </c>
      <c r="CQ46" s="14">
        <f t="shared" si="14"/>
        <v>19800</v>
      </c>
      <c r="CR46" s="14">
        <f t="shared" si="14"/>
        <v>19800</v>
      </c>
      <c r="CS46" s="14">
        <f t="shared" si="14"/>
        <v>19800</v>
      </c>
      <c r="CT46" s="14">
        <f t="shared" si="14"/>
        <v>19800</v>
      </c>
      <c r="CU46" s="14">
        <f t="shared" si="14"/>
        <v>19800</v>
      </c>
    </row>
    <row r="47" spans="1:99" x14ac:dyDescent="0.25">
      <c r="A47" s="11" t="s">
        <v>5</v>
      </c>
      <c r="B47" s="11" t="s">
        <v>180</v>
      </c>
      <c r="C47" s="11" t="s">
        <v>152</v>
      </c>
      <c r="D47" s="12">
        <f>132*60</f>
        <v>7920</v>
      </c>
      <c r="E47" s="11">
        <v>50</v>
      </c>
      <c r="F47" s="22">
        <f t="shared" si="11"/>
        <v>396000</v>
      </c>
      <c r="G47" s="15">
        <f>F47</f>
        <v>396000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f>($D$47*$E$47)/60</f>
        <v>6600</v>
      </c>
      <c r="AO47" s="14">
        <f t="shared" ref="AO47:CU47" si="15">($D$47*$E$47)/60</f>
        <v>6600</v>
      </c>
      <c r="AP47" s="14">
        <f t="shared" si="15"/>
        <v>6600</v>
      </c>
      <c r="AQ47" s="14">
        <f t="shared" si="15"/>
        <v>6600</v>
      </c>
      <c r="AR47" s="14">
        <f t="shared" si="15"/>
        <v>6600</v>
      </c>
      <c r="AS47" s="14">
        <f t="shared" si="15"/>
        <v>6600</v>
      </c>
      <c r="AT47" s="14">
        <f t="shared" si="15"/>
        <v>6600</v>
      </c>
      <c r="AU47" s="14">
        <f t="shared" si="15"/>
        <v>6600</v>
      </c>
      <c r="AV47" s="14">
        <f t="shared" si="15"/>
        <v>6600</v>
      </c>
      <c r="AW47" s="14">
        <f t="shared" si="15"/>
        <v>6600</v>
      </c>
      <c r="AX47" s="14">
        <f t="shared" si="15"/>
        <v>6600</v>
      </c>
      <c r="AY47" s="14">
        <f t="shared" si="15"/>
        <v>6600</v>
      </c>
      <c r="AZ47" s="14">
        <f t="shared" si="15"/>
        <v>6600</v>
      </c>
      <c r="BA47" s="14">
        <f t="shared" si="15"/>
        <v>6600</v>
      </c>
      <c r="BB47" s="14">
        <f t="shared" si="15"/>
        <v>6600</v>
      </c>
      <c r="BC47" s="14">
        <f t="shared" si="15"/>
        <v>6600</v>
      </c>
      <c r="BD47" s="14">
        <f t="shared" si="15"/>
        <v>6600</v>
      </c>
      <c r="BE47" s="14">
        <f t="shared" si="15"/>
        <v>6600</v>
      </c>
      <c r="BF47" s="14">
        <f t="shared" si="15"/>
        <v>6600</v>
      </c>
      <c r="BG47" s="14">
        <f t="shared" si="15"/>
        <v>6600</v>
      </c>
      <c r="BH47" s="14">
        <f t="shared" si="15"/>
        <v>6600</v>
      </c>
      <c r="BI47" s="14">
        <f t="shared" si="15"/>
        <v>6600</v>
      </c>
      <c r="BJ47" s="14">
        <f t="shared" si="15"/>
        <v>6600</v>
      </c>
      <c r="BK47" s="14">
        <f t="shared" si="15"/>
        <v>6600</v>
      </c>
      <c r="BL47" s="14">
        <f t="shared" si="15"/>
        <v>6600</v>
      </c>
      <c r="BM47" s="14">
        <f t="shared" si="15"/>
        <v>6600</v>
      </c>
      <c r="BN47" s="14">
        <f t="shared" si="15"/>
        <v>6600</v>
      </c>
      <c r="BO47" s="14">
        <f t="shared" si="15"/>
        <v>6600</v>
      </c>
      <c r="BP47" s="14">
        <f t="shared" si="15"/>
        <v>6600</v>
      </c>
      <c r="BQ47" s="14">
        <f t="shared" si="15"/>
        <v>6600</v>
      </c>
      <c r="BR47" s="14">
        <f t="shared" si="15"/>
        <v>6600</v>
      </c>
      <c r="BS47" s="14">
        <f t="shared" si="15"/>
        <v>6600</v>
      </c>
      <c r="BT47" s="14">
        <f t="shared" si="15"/>
        <v>6600</v>
      </c>
      <c r="BU47" s="14">
        <f t="shared" si="15"/>
        <v>6600</v>
      </c>
      <c r="BV47" s="14">
        <f t="shared" si="15"/>
        <v>6600</v>
      </c>
      <c r="BW47" s="14">
        <f t="shared" si="15"/>
        <v>6600</v>
      </c>
      <c r="BX47" s="14">
        <f t="shared" si="15"/>
        <v>6600</v>
      </c>
      <c r="BY47" s="14">
        <f t="shared" si="15"/>
        <v>6600</v>
      </c>
      <c r="BZ47" s="14">
        <f t="shared" si="15"/>
        <v>6600</v>
      </c>
      <c r="CA47" s="14">
        <f t="shared" si="15"/>
        <v>6600</v>
      </c>
      <c r="CB47" s="14">
        <f t="shared" si="15"/>
        <v>6600</v>
      </c>
      <c r="CC47" s="14">
        <f t="shared" si="15"/>
        <v>6600</v>
      </c>
      <c r="CD47" s="14">
        <f t="shared" si="15"/>
        <v>6600</v>
      </c>
      <c r="CE47" s="14">
        <f t="shared" si="15"/>
        <v>6600</v>
      </c>
      <c r="CF47" s="14">
        <f t="shared" si="15"/>
        <v>6600</v>
      </c>
      <c r="CG47" s="14">
        <f t="shared" si="15"/>
        <v>6600</v>
      </c>
      <c r="CH47" s="14">
        <f t="shared" si="15"/>
        <v>6600</v>
      </c>
      <c r="CI47" s="14">
        <f t="shared" si="15"/>
        <v>6600</v>
      </c>
      <c r="CJ47" s="14">
        <f t="shared" si="15"/>
        <v>6600</v>
      </c>
      <c r="CK47" s="14">
        <f t="shared" si="15"/>
        <v>6600</v>
      </c>
      <c r="CL47" s="14">
        <f t="shared" si="15"/>
        <v>6600</v>
      </c>
      <c r="CM47" s="14">
        <f t="shared" si="15"/>
        <v>6600</v>
      </c>
      <c r="CN47" s="14">
        <f t="shared" si="15"/>
        <v>6600</v>
      </c>
      <c r="CO47" s="14">
        <f t="shared" si="15"/>
        <v>6600</v>
      </c>
      <c r="CP47" s="14">
        <f t="shared" si="15"/>
        <v>6600</v>
      </c>
      <c r="CQ47" s="14">
        <f t="shared" si="15"/>
        <v>6600</v>
      </c>
      <c r="CR47" s="14">
        <f t="shared" si="15"/>
        <v>6600</v>
      </c>
      <c r="CS47" s="14">
        <f t="shared" si="15"/>
        <v>6600</v>
      </c>
      <c r="CT47" s="14">
        <f t="shared" si="15"/>
        <v>6600</v>
      </c>
      <c r="CU47" s="14">
        <f t="shared" si="15"/>
        <v>6600</v>
      </c>
    </row>
    <row r="48" spans="1:99" x14ac:dyDescent="0.25">
      <c r="A48" s="11" t="s">
        <v>181</v>
      </c>
      <c r="B48" s="11" t="s">
        <v>182</v>
      </c>
      <c r="C48" s="11" t="s">
        <v>5</v>
      </c>
      <c r="F48" s="31"/>
      <c r="G48" s="45">
        <f>SUM(F43:F47)</f>
        <v>9033534.4000000004</v>
      </c>
      <c r="H48" s="29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</row>
    <row r="49" spans="1:99" x14ac:dyDescent="0.25">
      <c r="A49" s="11" t="s">
        <v>181</v>
      </c>
      <c r="B49" s="11" t="s">
        <v>182</v>
      </c>
      <c r="C49" s="11" t="s">
        <v>90</v>
      </c>
      <c r="F49" s="31"/>
      <c r="G49" s="45">
        <f>-SUM(F2:F42)</f>
        <v>-6298077.3674146868</v>
      </c>
      <c r="H49" s="29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</row>
    <row r="50" spans="1:99" x14ac:dyDescent="0.25">
      <c r="A50" s="11" t="s">
        <v>181</v>
      </c>
      <c r="B50" s="11" t="s">
        <v>182</v>
      </c>
      <c r="C50" s="11" t="s">
        <v>183</v>
      </c>
      <c r="F50" s="31"/>
      <c r="G50" s="45">
        <f>SUM(G48:G49)</f>
        <v>2735457.0325853135</v>
      </c>
      <c r="H50" s="29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</row>
    <row r="51" spans="1:99" x14ac:dyDescent="0.25">
      <c r="A51" s="11" t="s">
        <v>181</v>
      </c>
      <c r="B51" s="11" t="s">
        <v>182</v>
      </c>
      <c r="C51" s="11" t="s">
        <v>184</v>
      </c>
      <c r="F51" s="31"/>
      <c r="G51" s="46">
        <f>G50/-G49</f>
        <v>0.43433207834793525</v>
      </c>
      <c r="H51" s="29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</row>
    <row r="52" spans="1:99" x14ac:dyDescent="0.25">
      <c r="A52" s="11" t="s">
        <v>181</v>
      </c>
      <c r="B52" s="11" t="s">
        <v>185</v>
      </c>
      <c r="C52" s="11" t="s">
        <v>186</v>
      </c>
      <c r="F52" s="31"/>
      <c r="G52" s="47"/>
      <c r="H52" s="32">
        <v>1E-3</v>
      </c>
      <c r="I52" s="26">
        <f>SUM(I2:I47)</f>
        <v>-7018</v>
      </c>
      <c r="J52" s="26">
        <v>1E-3</v>
      </c>
      <c r="K52" s="26">
        <f>SUM(K2:K47)</f>
        <v>-11973.720612215999</v>
      </c>
      <c r="L52" s="26">
        <v>1E-3</v>
      </c>
      <c r="M52" s="26">
        <f>SUM(M2:M47)</f>
        <v>-117867.71091634706</v>
      </c>
      <c r="N52" s="26">
        <f>SUM(N2:N47)</f>
        <v>-968.87700000000007</v>
      </c>
      <c r="O52" s="26">
        <v>1E-3</v>
      </c>
      <c r="P52" s="26">
        <f>SUM(P2:P47)</f>
        <v>-186041.98526561857</v>
      </c>
      <c r="Q52" s="26">
        <f>SUM(Q2:Q47)</f>
        <v>-40987.491696000012</v>
      </c>
      <c r="R52" s="26">
        <f>SUM(R2:R47)</f>
        <v>-5076.7206122159996</v>
      </c>
      <c r="S52" s="26">
        <v>1E-3</v>
      </c>
      <c r="T52" s="26">
        <f>SUM(T2:T47)</f>
        <v>-163949.96678400005</v>
      </c>
      <c r="U52" s="26">
        <v>1E-3</v>
      </c>
      <c r="V52" s="26">
        <v>1E-3</v>
      </c>
      <c r="W52" s="26">
        <f t="shared" ref="W52:BB52" si="16">SUM(W2:W47)</f>
        <v>-30205.642323788736</v>
      </c>
      <c r="X52" s="26">
        <f t="shared" si="16"/>
        <v>-74832.89336310947</v>
      </c>
      <c r="Y52" s="26">
        <f t="shared" si="16"/>
        <v>-119822.94097411611</v>
      </c>
      <c r="Z52" s="26">
        <f t="shared" si="16"/>
        <v>-72883.607198575817</v>
      </c>
      <c r="AA52" s="26">
        <f t="shared" si="16"/>
        <v>-89408.430634851073</v>
      </c>
      <c r="AB52" s="26">
        <f t="shared" si="16"/>
        <v>-130693.45000211084</v>
      </c>
      <c r="AC52" s="26">
        <f t="shared" si="16"/>
        <v>-125096.89908340081</v>
      </c>
      <c r="AD52" s="26">
        <f t="shared" si="16"/>
        <v>-137184.77557752951</v>
      </c>
      <c r="AE52" s="26">
        <f t="shared" si="16"/>
        <v>-305753.64569551713</v>
      </c>
      <c r="AF52" s="26">
        <f t="shared" si="16"/>
        <v>-372647.04263864295</v>
      </c>
      <c r="AG52" s="26">
        <f t="shared" si="16"/>
        <v>-430521.85930417181</v>
      </c>
      <c r="AH52" s="26">
        <f t="shared" si="16"/>
        <v>-555952.67177939846</v>
      </c>
      <c r="AI52" s="26">
        <f t="shared" si="16"/>
        <v>-694365.26504049054</v>
      </c>
      <c r="AJ52" s="26">
        <f t="shared" si="16"/>
        <v>-854927.54238733044</v>
      </c>
      <c r="AK52" s="26">
        <f t="shared" si="16"/>
        <v>-702728.80144763563</v>
      </c>
      <c r="AL52" s="26">
        <f t="shared" si="16"/>
        <v>-437679.47527003649</v>
      </c>
      <c r="AM52" s="26">
        <f t="shared" si="16"/>
        <v>-224905.0859864348</v>
      </c>
      <c r="AN52" s="26">
        <f t="shared" si="16"/>
        <v>1200172.5497210249</v>
      </c>
      <c r="AO52" s="26">
        <f t="shared" si="16"/>
        <v>14700.0460243869</v>
      </c>
      <c r="AP52" s="26">
        <f t="shared" si="16"/>
        <v>14882.065357068886</v>
      </c>
      <c r="AQ52" s="26">
        <f t="shared" si="16"/>
        <v>15064.615579471198</v>
      </c>
      <c r="AR52" s="26">
        <f t="shared" si="16"/>
        <v>15247.698240022182</v>
      </c>
      <c r="AS52" s="26">
        <f t="shared" si="16"/>
        <v>15431.314891666438</v>
      </c>
      <c r="AT52" s="26">
        <f t="shared" si="16"/>
        <v>15615.467091877992</v>
      </c>
      <c r="AU52" s="26">
        <f t="shared" si="16"/>
        <v>15800.156402673496</v>
      </c>
      <c r="AV52" s="26">
        <f t="shared" si="16"/>
        <v>15985.384390625486</v>
      </c>
      <c r="AW52" s="26">
        <f t="shared" si="16"/>
        <v>16171.152626875668</v>
      </c>
      <c r="AX52" s="26">
        <f t="shared" si="16"/>
        <v>16357.462687148251</v>
      </c>
      <c r="AY52" s="26">
        <f t="shared" si="16"/>
        <v>16544.316151763291</v>
      </c>
      <c r="AZ52" s="26">
        <f t="shared" si="16"/>
        <v>16731.714605650126</v>
      </c>
      <c r="BA52" s="26">
        <f t="shared" si="16"/>
        <v>16919.659638360798</v>
      </c>
      <c r="BB52" s="26">
        <f t="shared" si="16"/>
        <v>17108.152844083543</v>
      </c>
      <c r="BC52" s="26">
        <f t="shared" ref="BC52:CH52" si="17">SUM(BC2:BC47)</f>
        <v>17297.195821656314</v>
      </c>
      <c r="BD52" s="26">
        <f t="shared" si="17"/>
        <v>17486.790174580339</v>
      </c>
      <c r="BE52" s="26">
        <f t="shared" si="17"/>
        <v>17676.937511033721</v>
      </c>
      <c r="BF52" s="26">
        <f t="shared" si="17"/>
        <v>17867.639443885098</v>
      </c>
      <c r="BG52" s="26">
        <f t="shared" si="17"/>
        <v>18058.897590707289</v>
      </c>
      <c r="BH52" s="26">
        <f t="shared" si="17"/>
        <v>18250.713573791043</v>
      </c>
      <c r="BI52" s="26">
        <f t="shared" si="17"/>
        <v>18443.089020158794</v>
      </c>
      <c r="BJ52" s="26">
        <f t="shared" si="17"/>
        <v>18636.025561578448</v>
      </c>
      <c r="BK52" s="26">
        <f t="shared" si="17"/>
        <v>18829.524834577249</v>
      </c>
      <c r="BL52" s="26">
        <f t="shared" si="17"/>
        <v>19023.588480455623</v>
      </c>
      <c r="BM52" s="26">
        <f t="shared" si="17"/>
        <v>19218.218145301144</v>
      </c>
      <c r="BN52" s="26">
        <f t="shared" si="17"/>
        <v>19413.415480002466</v>
      </c>
      <c r="BO52" s="26">
        <f t="shared" si="17"/>
        <v>19609.182140263329</v>
      </c>
      <c r="BP52" s="26">
        <f t="shared" si="17"/>
        <v>19805.519786616624</v>
      </c>
      <c r="BQ52" s="26">
        <f t="shared" si="17"/>
        <v>20002.430084438449</v>
      </c>
      <c r="BR52" s="26">
        <f t="shared" si="17"/>
        <v>20199.914703962255</v>
      </c>
      <c r="BS52" s="26">
        <f t="shared" si="17"/>
        <v>20397.975320293004</v>
      </c>
      <c r="BT52" s="26">
        <f t="shared" si="17"/>
        <v>20596.613613421385</v>
      </c>
      <c r="BU52" s="26">
        <f t="shared" si="17"/>
        <v>20795.831268238057</v>
      </c>
      <c r="BV52" s="26">
        <f t="shared" si="17"/>
        <v>20995.629974547941</v>
      </c>
      <c r="BW52" s="26">
        <f t="shared" si="17"/>
        <v>21196.011427084566</v>
      </c>
      <c r="BX52" s="26">
        <f t="shared" si="17"/>
        <v>21396.977325524422</v>
      </c>
      <c r="BY52" s="26">
        <f t="shared" si="17"/>
        <v>21598.529374501395</v>
      </c>
      <c r="BZ52" s="26">
        <f t="shared" si="17"/>
        <v>21800.669283621217</v>
      </c>
      <c r="CA52" s="26">
        <f t="shared" si="17"/>
        <v>22003.398767475974</v>
      </c>
      <c r="CB52" s="26">
        <f t="shared" si="17"/>
        <v>22206.719545658638</v>
      </c>
      <c r="CC52" s="26">
        <f t="shared" si="17"/>
        <v>22410.633342777666</v>
      </c>
      <c r="CD52" s="26">
        <f t="shared" si="17"/>
        <v>22615.141888471626</v>
      </c>
      <c r="CE52" s="26">
        <f t="shared" si="17"/>
        <v>22820.246917423865</v>
      </c>
      <c r="CF52" s="26">
        <f t="shared" si="17"/>
        <v>23025.950169377207</v>
      </c>
      <c r="CG52" s="26">
        <f t="shared" si="17"/>
        <v>23232.253389148751</v>
      </c>
      <c r="CH52" s="26">
        <f t="shared" si="17"/>
        <v>23439.158326644629</v>
      </c>
      <c r="CI52" s="26">
        <f t="shared" ref="CI52:CU52" si="18">SUM(CI2:CI47)</f>
        <v>23646.666736874868</v>
      </c>
      <c r="CJ52" s="26">
        <f t="shared" si="18"/>
        <v>23854.780379968277</v>
      </c>
      <c r="CK52" s="26">
        <f t="shared" si="18"/>
        <v>24063.501021187378</v>
      </c>
      <c r="CL52" s="26">
        <f t="shared" si="18"/>
        <v>24272.830430943366</v>
      </c>
      <c r="CM52" s="26">
        <f t="shared" si="18"/>
        <v>24482.770384811145</v>
      </c>
      <c r="CN52" s="26">
        <f t="shared" si="18"/>
        <v>24693.322663544372</v>
      </c>
      <c r="CO52" s="26">
        <f t="shared" si="18"/>
        <v>24904.489053090569</v>
      </c>
      <c r="CP52" s="26">
        <f t="shared" si="18"/>
        <v>25116.271344606273</v>
      </c>
      <c r="CQ52" s="26">
        <f t="shared" si="18"/>
        <v>25328.671334472234</v>
      </c>
      <c r="CR52" s="26">
        <f t="shared" si="18"/>
        <v>25541.69082430864</v>
      </c>
      <c r="CS52" s="26">
        <f t="shared" si="18"/>
        <v>25755.331620990397</v>
      </c>
      <c r="CT52" s="26">
        <f t="shared" si="18"/>
        <v>25969.59553666248</v>
      </c>
      <c r="CU52" s="26">
        <f t="shared" si="18"/>
        <v>6258239.0334205106</v>
      </c>
    </row>
    <row r="53" spans="1:99" x14ac:dyDescent="0.25">
      <c r="A53" s="11" t="s">
        <v>181</v>
      </c>
      <c r="B53" s="11" t="s">
        <v>185</v>
      </c>
      <c r="C53" s="11" t="s">
        <v>187</v>
      </c>
      <c r="F53" s="31"/>
      <c r="G53" s="46">
        <f>SUM(H52:CU52)</f>
        <v>2735457.0386983501</v>
      </c>
      <c r="H53" s="49">
        <f>SUM(H52:R52)</f>
        <v>-369934.50210239767</v>
      </c>
      <c r="I53" s="49"/>
      <c r="J53" s="49"/>
      <c r="K53" s="49"/>
      <c r="L53" s="49"/>
      <c r="M53" s="49"/>
      <c r="N53" s="49"/>
      <c r="O53" s="49"/>
      <c r="P53" s="49"/>
      <c r="Q53" s="49"/>
      <c r="R53" s="50"/>
      <c r="S53" s="51">
        <f>SUM(S52:AD52)</f>
        <v>-944078.60294148233</v>
      </c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50"/>
      <c r="AE53" s="51">
        <f>SUM(AE52:AP52)</f>
        <v>-3349726.728447177</v>
      </c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50"/>
      <c r="AQ53" s="51">
        <f>SUM(AQ52:BB52)</f>
        <v>192977.09515021852</v>
      </c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50"/>
      <c r="BC53" s="51">
        <f>SUM(BC52:BN52)</f>
        <v>220202.03563772753</v>
      </c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50"/>
      <c r="BO53" s="51">
        <f>SUM(BO52:BZ52)</f>
        <v>248395.28430251265</v>
      </c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50"/>
      <c r="CA53" s="51">
        <f>SUM(CA52:CL52)</f>
        <v>277591.28091595223</v>
      </c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50"/>
      <c r="CM53" s="51">
        <f>SUM(CM52:CU52)</f>
        <v>6460031.1761829965</v>
      </c>
      <c r="CN53" s="49"/>
      <c r="CO53" s="49"/>
      <c r="CP53" s="49"/>
      <c r="CQ53" s="49"/>
      <c r="CR53" s="49"/>
      <c r="CS53" s="49"/>
      <c r="CT53" s="49"/>
      <c r="CU53" s="50"/>
    </row>
    <row r="54" spans="1:99" x14ac:dyDescent="0.25">
      <c r="A54" s="11" t="s">
        <v>181</v>
      </c>
      <c r="B54" s="11" t="s">
        <v>188</v>
      </c>
      <c r="C54" s="11" t="s">
        <v>189</v>
      </c>
      <c r="F54" s="31"/>
      <c r="G54" s="45">
        <v>0.06</v>
      </c>
      <c r="H54" s="29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</row>
    <row r="55" spans="1:99" x14ac:dyDescent="0.25">
      <c r="A55" s="11" t="s">
        <v>181</v>
      </c>
      <c r="B55" s="11" t="s">
        <v>188</v>
      </c>
      <c r="C55" s="11" t="s">
        <v>91</v>
      </c>
      <c r="F55" s="31"/>
      <c r="G55" s="45">
        <f xml:space="preserve"> (1+G54)^(1/12)-1</f>
        <v>4.8675505653430484E-3</v>
      </c>
      <c r="H55" s="29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</row>
    <row r="56" spans="1:99" x14ac:dyDescent="0.25">
      <c r="A56" s="11" t="s">
        <v>181</v>
      </c>
      <c r="B56" s="11" t="s">
        <v>188</v>
      </c>
      <c r="C56" s="11" t="s">
        <v>92</v>
      </c>
      <c r="F56" s="31"/>
      <c r="G56" s="45">
        <v>5.0000000000000001E-4</v>
      </c>
      <c r="H56" s="29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spans="1:99" x14ac:dyDescent="0.25">
      <c r="A57" s="11" t="s">
        <v>181</v>
      </c>
      <c r="B57" s="11" t="s">
        <v>190</v>
      </c>
      <c r="C57" s="11" t="s">
        <v>93</v>
      </c>
      <c r="F57" s="31"/>
      <c r="G57" s="45">
        <f>NPV(G55,Q52:CU52)+SUM(H52:P52)</f>
        <v>701769.64167556167</v>
      </c>
      <c r="H57" s="33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</row>
    <row r="58" spans="1:99" x14ac:dyDescent="0.25">
      <c r="A58" s="11" t="s">
        <v>181</v>
      </c>
      <c r="B58" s="11" t="s">
        <v>190</v>
      </c>
      <c r="C58" s="11" t="s">
        <v>94</v>
      </c>
      <c r="F58" s="31"/>
      <c r="G58" s="45">
        <f>CU58</f>
        <v>5.0332572246201135E-3</v>
      </c>
      <c r="H58" s="32"/>
      <c r="I58" s="26">
        <f>MIRR(H52:I52,G56,G55)</f>
        <v>-0.99999985674408887</v>
      </c>
      <c r="J58" s="26">
        <f>MIRR($H$52:J52,$G$56,$G$55)</f>
        <v>-0.99946472885376048</v>
      </c>
      <c r="K58" s="26">
        <f>MIRR($H$52:K52,$G$56,$G$55)</f>
        <v>-0.99526056675821217</v>
      </c>
      <c r="L58" s="26">
        <f>MIRR($H$52:L52,$G$56,$G$55)</f>
        <v>-0.98000967956116403</v>
      </c>
      <c r="M58" s="26">
        <f>MIRR($H$52:M52,$G$56,$G$55)</f>
        <v>-0.97051250317270843</v>
      </c>
      <c r="N58" s="26">
        <f>MIRR($H$52:N52,$G$56,$G$55)</f>
        <v>-0.94696782226707721</v>
      </c>
      <c r="O58" s="26">
        <f>MIRR($H$52:O52,$G$56,$G$55)</f>
        <v>-0.91595263125743631</v>
      </c>
      <c r="P58" s="26">
        <f>MIRR($H$52:P52,$G$56,$G$55)</f>
        <v>-0.89698614337707672</v>
      </c>
      <c r="Q58" s="26">
        <f>MIRR($H$52:Q52,$G$56,$G$55)</f>
        <v>-0.86906235107512964</v>
      </c>
      <c r="R58" s="26">
        <f>MIRR($H$52:R52,$G$56,$G$55)</f>
        <v>-0.83968661448269022</v>
      </c>
      <c r="S58" s="26">
        <f>MIRR($H$52:S52,$G$56,$G$55)</f>
        <v>-0.80682378352909889</v>
      </c>
      <c r="T58" s="26">
        <f>MIRR($H$52:T52,$G$56,$G$55)</f>
        <v>-0.78502656670230786</v>
      </c>
      <c r="U58" s="26">
        <f>MIRR($H$52:U52,$G$56,$G$55)</f>
        <v>-0.7546568752653986</v>
      </c>
      <c r="V58" s="26">
        <f>MIRR($H$52:V52,$G$56,$G$55)</f>
        <v>-0.72576235237749176</v>
      </c>
      <c r="W58" s="26">
        <f>MIRR($H$52:W52,$G$56,$G$55)</f>
        <v>-0.70205403276144485</v>
      </c>
      <c r="X58" s="26">
        <f>MIRR($H$52:X52,$G$56,$G$55)</f>
        <v>-0.68101821314570676</v>
      </c>
      <c r="Y58" s="26">
        <f>MIRR($H$52:Y52,$G$56,$G$55)</f>
        <v>-0.66216554625960478</v>
      </c>
      <c r="Z58" s="26">
        <f>MIRR($H$52:Z52,$G$56,$G$55)</f>
        <v>-0.64289261627345695</v>
      </c>
      <c r="AA58" s="26">
        <f>MIRR($H$52:AA52,$G$56,$G$55)</f>
        <v>-0.62492249628850527</v>
      </c>
      <c r="AB58" s="26">
        <f>MIRR($H$52:AB52,$G$56,$G$55)</f>
        <v>-0.60857407233750127</v>
      </c>
      <c r="AC58" s="26">
        <f>MIRR($H$52:AC52,$G$56,$G$55)</f>
        <v>-0.59277721541759787</v>
      </c>
      <c r="AD58" s="26">
        <f>MIRR($H$52:AD52,$G$56,$G$55)</f>
        <v>-0.57782314229200016</v>
      </c>
      <c r="AE58" s="26">
        <f>MIRR($H$52:AE52,$G$56,$G$55)</f>
        <v>-0.56555639316164275</v>
      </c>
      <c r="AF58" s="26">
        <f>MIRR($H$52:AF52,$G$56,$G$55)</f>
        <v>-0.55396047674076354</v>
      </c>
      <c r="AG58" s="26">
        <f>MIRR($H$52:AG52,$G$56,$G$55)</f>
        <v>-0.54281140179499898</v>
      </c>
      <c r="AH58" s="26">
        <f>MIRR($H$52:AH52,$G$56,$G$55)</f>
        <v>-0.53246936215813179</v>
      </c>
      <c r="AI58" s="26">
        <f>MIRR($H$52:AI52,$G$56,$G$55)</f>
        <v>-0.5227375395780538</v>
      </c>
      <c r="AJ58" s="26">
        <f>MIRR($H$52:AJ52,$G$56,$G$55)</f>
        <v>-0.51351502878741329</v>
      </c>
      <c r="AK58" s="26">
        <f>MIRR($H$52:AK52,$G$56,$G$55)</f>
        <v>-0.50366076796913339</v>
      </c>
      <c r="AL58" s="26">
        <f>MIRR($H$52:AL52,$G$56,$G$55)</f>
        <v>-0.49320782683901432</v>
      </c>
      <c r="AM58" s="26">
        <f>MIRR($H$52:AM52,$G$56,$G$55)</f>
        <v>-0.48254059995346621</v>
      </c>
      <c r="AN58" s="26">
        <f>MIRR($H$52:AN52,$G$56,$G$55)</f>
        <v>-4.8151746593778189E-2</v>
      </c>
      <c r="AO58" s="26">
        <f>MIRR($H$52:AO52,$G$56,$G$55)</f>
        <v>-4.6236877575309254E-2</v>
      </c>
      <c r="AP58" s="26">
        <f>MIRR($H$52:AP52,$G$56,$G$55)</f>
        <v>-4.4432704216853858E-2</v>
      </c>
      <c r="AQ58" s="26">
        <f>MIRR($H$52:AQ52,$G$56,$G$55)</f>
        <v>-4.2730045557140106E-2</v>
      </c>
      <c r="AR58" s="26">
        <f>MIRR($H$52:AR52,$G$56,$G$55)</f>
        <v>-4.1120708422856977E-2</v>
      </c>
      <c r="AS58" s="26">
        <f>MIRR($H$52:AS52,$G$56,$G$55)</f>
        <v>-3.9597358007044114E-2</v>
      </c>
      <c r="AT58" s="26">
        <f>MIRR($H$52:AT52,$G$56,$G$55)</f>
        <v>-3.8153408276066947E-2</v>
      </c>
      <c r="AU58" s="26">
        <f>MIRR($H$52:AU52,$G$56,$G$55)</f>
        <v>-3.6782928749953148E-2</v>
      </c>
      <c r="AV58" s="26">
        <f>MIRR($H$52:AV52,$G$56,$G$55)</f>
        <v>-3.5480564872060638E-2</v>
      </c>
      <c r="AW58" s="26">
        <f>MIRR($H$52:AW52,$G$56,$G$55)</f>
        <v>-3.4241469712085859E-2</v>
      </c>
      <c r="AX58" s="26">
        <f>MIRR($H$52:AX52,$G$56,$G$55)</f>
        <v>-3.306124516442599E-2</v>
      </c>
      <c r="AY58" s="26">
        <f>MIRR($H$52:AY52,$G$56,$G$55)</f>
        <v>-3.1935891136780525E-2</v>
      </c>
      <c r="AZ58" s="26">
        <f>MIRR($H$52:AZ52,$G$56,$G$55)</f>
        <v>-3.0861761490438511E-2</v>
      </c>
      <c r="BA58" s="26">
        <f>MIRR($H$52:BA52,$G$56,$G$55)</f>
        <v>-2.9835525708320154E-2</v>
      </c>
      <c r="BB58" s="26">
        <f>MIRR($H$52:BB52,$G$56,$G$55)</f>
        <v>-2.8854135440514739E-2</v>
      </c>
      <c r="BC58" s="26">
        <f>MIRR($H$52:BC52,$G$56,$G$55)</f>
        <v>-2.7914795218284549E-2</v>
      </c>
      <c r="BD58" s="26">
        <f>MIRR($H$52:BD52,$G$56,$G$55)</f>
        <v>-2.7014936742889684E-2</v>
      </c>
      <c r="BE58" s="26">
        <f>MIRR($H$52:BE52,$G$56,$G$55)</f>
        <v>-2.6152196250266879E-2</v>
      </c>
      <c r="BF58" s="26">
        <f>MIRR($H$52:BF52,$G$56,$G$55)</f>
        <v>-2.5324394530627625E-2</v>
      </c>
      <c r="BG58" s="26">
        <f>MIRR($H$52:BG52,$G$56,$G$55)</f>
        <v>-2.4529519246605624E-2</v>
      </c>
      <c r="BH58" s="26">
        <f>MIRR($H$52:BH52,$G$56,$G$55)</f>
        <v>-2.376570924721999E-2</v>
      </c>
      <c r="BI58" s="26">
        <f>MIRR($H$52:BI52,$G$56,$G$55)</f>
        <v>-2.3031240619645788E-2</v>
      </c>
      <c r="BJ58" s="26">
        <f>MIRR($H$52:BJ52,$G$56,$G$55)</f>
        <v>-2.2324514258206918E-2</v>
      </c>
      <c r="BK58" s="26">
        <f>MIRR($H$52:BK52,$G$56,$G$55)</f>
        <v>-2.1644044761436887E-2</v>
      </c>
      <c r="BL58" s="26">
        <f>MIRR($H$52:BL52,$G$56,$G$55)</f>
        <v>-2.0988450494531574E-2</v>
      </c>
      <c r="BM58" s="26">
        <f>MIRR($H$52:BM52,$G$56,$G$55)</f>
        <v>-2.0356444676898566E-2</v>
      </c>
      <c r="BN58" s="26">
        <f>MIRR($H$52:BN52,$G$56,$G$55)</f>
        <v>-1.9746827373485765E-2</v>
      </c>
      <c r="BO58" s="26">
        <f>MIRR($H$52:BO52,$G$56,$G$55)</f>
        <v>-1.9158478284705849E-2</v>
      </c>
      <c r="BP58" s="26">
        <f>MIRR($H$52:BP52,$G$56,$G$55)</f>
        <v>-1.8590350243539056E-2</v>
      </c>
      <c r="BQ58" s="26">
        <f>MIRR($H$52:BQ52,$G$56,$G$55)</f>
        <v>-1.8041463340159658E-2</v>
      </c>
      <c r="BR58" s="26">
        <f>MIRR($H$52:BR52,$G$56,$G$55)</f>
        <v>-1.7510899604530561E-2</v>
      </c>
      <c r="BS58" s="26">
        <f>MIRR($H$52:BS52,$G$56,$G$55)</f>
        <v>-1.6997798186078938E-2</v>
      </c>
      <c r="BT58" s="26">
        <f>MIRR($H$52:BT52,$G$56,$G$55)</f>
        <v>-1.6501350977047191E-2</v>
      </c>
      <c r="BU58" s="26">
        <f>MIRR($H$52:BU52,$G$56,$G$55)</f>
        <v>-1.6020798632571998E-2</v>
      </c>
      <c r="BV58" s="26">
        <f>MIRR($H$52:BV52,$G$56,$G$55)</f>
        <v>-1.5555426946138429E-2</v>
      </c>
      <c r="BW58" s="26">
        <f>MIRR($H$52:BW52,$G$56,$G$55)</f>
        <v>-1.5104563543908767E-2</v>
      </c>
      <c r="BX58" s="26">
        <f>MIRR($H$52:BX52,$G$56,$G$55)</f>
        <v>-1.4667574865652955E-2</v>
      </c>
      <c r="BY58" s="26">
        <f>MIRR($H$52:BY52,$G$56,$G$55)</f>
        <v>-1.4243863403685109E-2</v>
      </c>
      <c r="BZ58" s="26">
        <f>MIRR($H$52:BZ52,$G$56,$G$55)</f>
        <v>-1.3832865174426168E-2</v>
      </c>
      <c r="CA58" s="26">
        <f>MIRR($H$52:CA52,$G$56,$G$55)</f>
        <v>-1.3434047400031068E-2</v>
      </c>
      <c r="CB58" s="26">
        <f>MIRR($H$52:CB52,$G$56,$G$55)</f>
        <v>-1.3046906379979739E-2</v>
      </c>
      <c r="CC58" s="26">
        <f>MIRR($H$52:CC52,$G$56,$G$55)</f>
        <v>-1.267096553470759E-2</v>
      </c>
      <c r="CD58" s="26">
        <f>MIRR($H$52:CD52,$G$56,$G$55)</f>
        <v>-1.2305773605252757E-2</v>
      </c>
      <c r="CE58" s="26">
        <f>MIRR($H$52:CE52,$G$56,$G$55)</f>
        <v>-1.1950902994585344E-2</v>
      </c>
      <c r="CF58" s="26">
        <f>MIRR($H$52:CF52,$G$56,$G$55)</f>
        <v>-1.160594823776806E-2</v>
      </c>
      <c r="CG58" s="26">
        <f>MIRR($H$52:CG52,$G$56,$G$55)</f>
        <v>-1.1270524589413355E-2</v>
      </c>
      <c r="CH58" s="26">
        <f>MIRR($H$52:CH52,$G$56,$G$55)</f>
        <v>-1.0944266718069695E-2</v>
      </c>
      <c r="CI58" s="26">
        <f>MIRR($H$52:CI52,$G$56,$G$55)</f>
        <v>-1.0626827498200764E-2</v>
      </c>
      <c r="CJ58" s="26">
        <f>MIRR($H$52:CJ52,$G$56,$G$55)</f>
        <v>-1.0317876891347E-2</v>
      </c>
      <c r="CK58" s="26">
        <f>MIRR($H$52:CK52,$G$56,$G$55)</f>
        <v>-1.0017100908872312E-2</v>
      </c>
      <c r="CL58" s="26">
        <f>MIRR($H$52:CL52,$G$56,$G$55)</f>
        <v>-9.7242006494336897E-3</v>
      </c>
      <c r="CM58" s="26">
        <f>MIRR($H$52:CM52,$G$56,$G$55)</f>
        <v>-9.4388914049621242E-3</v>
      </c>
      <c r="CN58" s="26">
        <f>MIRR($H$52:CN52,$G$56,$G$55)</f>
        <v>-9.1609018295267797E-3</v>
      </c>
      <c r="CO58" s="26">
        <f>MIRR($H$52:CO52,$G$56,$G$55)</f>
        <v>-8.8899731659766168E-3</v>
      </c>
      <c r="CP58" s="26">
        <f>MIRR($H$52:CP52,$G$56,$G$55)</f>
        <v>-8.6258585257237286E-3</v>
      </c>
      <c r="CQ58" s="26">
        <f>MIRR($H$52:CQ52,$G$56,$G$55)</f>
        <v>-8.3683222174515404E-3</v>
      </c>
      <c r="CR58" s="26">
        <f>MIRR($H$52:CR52,$G$56,$G$55)</f>
        <v>-8.1171391209100552E-3</v>
      </c>
      <c r="CS58" s="26">
        <f>MIRR($H$52:CS52,$G$56,$G$55)</f>
        <v>-7.8720941023007196E-3</v>
      </c>
      <c r="CT58" s="26">
        <f>MIRR($H$52:CT52,$G$56,$G$55)</f>
        <v>-7.6329814680615726E-3</v>
      </c>
      <c r="CU58" s="26">
        <f>MIRR($H$52:CU52,$G$56,$G$55)</f>
        <v>5.0332572246201135E-3</v>
      </c>
    </row>
    <row r="59" spans="1:99" x14ac:dyDescent="0.25">
      <c r="F59" s="36"/>
      <c r="G59" s="45"/>
      <c r="H59" s="37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</row>
  </sheetData>
  <mergeCells count="8">
    <mergeCell ref="BO53:BZ53"/>
    <mergeCell ref="CA53:CL53"/>
    <mergeCell ref="CM53:CU53"/>
    <mergeCell ref="H53:R53"/>
    <mergeCell ref="S53:AD53"/>
    <mergeCell ref="AE53:AP53"/>
    <mergeCell ref="AQ53:BB53"/>
    <mergeCell ref="BC53:BN53"/>
  </mergeCells>
  <conditionalFormatting sqref="AG19 AG22 AJ19 AJ22 AM19 AM22 AP19 AP22">
    <cfRule type="cellIs" dxfId="85" priority="11" stopIfTrue="1" operator="equal">
      <formula>#REF!</formula>
    </cfRule>
  </conditionalFormatting>
  <conditionalFormatting sqref="Y19:AF19 Y22:AF22 AH19:AI19 AH22:AI22 AK19:AL19 AK22:AL22 AN19:AO19 AN22:AO22 H33:V39 W33:CU36 W38:BC38 W39:CU39 N24:R24 H23:M24 N23:CU23 H16:W17 Y16:CU16 X17:CU17 H6:W12 Y7:AM7 X8:AM8 X6:AM6 Z9:AM9 AN6:CU9 X9:Y12 Z10:CU12 H2:CU5 H18:H22 H25:CU32 H13:CU15 K22:R22 K19:R19 K18:W18 K20:Y20 Z18:AN18 K21:W21 AB20:AJ20 AQ22:AV22 Z21:AP21 BC18:CU22 H40:CU46">
    <cfRule type="cellIs" dxfId="84" priority="13" stopIfTrue="1" operator="equal">
      <formula>#REF!</formula>
    </cfRule>
  </conditionalFormatting>
  <conditionalFormatting sqref="X7 X16 S19:X19 S22:X22 W37:CU37 S24:CU24">
    <cfRule type="cellIs" dxfId="83" priority="12" stopIfTrue="1" operator="equal">
      <formula>#REF!</formula>
    </cfRule>
  </conditionalFormatting>
  <conditionalFormatting sqref="H47:CU47">
    <cfRule type="cellIs" dxfId="82" priority="10" stopIfTrue="1" operator="equal">
      <formula>#REF!</formula>
    </cfRule>
  </conditionalFormatting>
  <conditionalFormatting sqref="I18:J22">
    <cfRule type="cellIs" dxfId="81" priority="9" stopIfTrue="1" operator="equal">
      <formula>#REF!</formula>
    </cfRule>
  </conditionalFormatting>
  <conditionalFormatting sqref="X18:Y18">
    <cfRule type="cellIs" dxfId="80" priority="8" stopIfTrue="1" operator="equal">
      <formula>#REF!</formula>
    </cfRule>
  </conditionalFormatting>
  <conditionalFormatting sqref="X21:Y21">
    <cfRule type="cellIs" dxfId="79" priority="7" stopIfTrue="1" operator="equal">
      <formula>#REF!</formula>
    </cfRule>
  </conditionalFormatting>
  <conditionalFormatting sqref="Z20:AA20">
    <cfRule type="cellIs" dxfId="78" priority="6" stopIfTrue="1" operator="equal">
      <formula>#REF!</formula>
    </cfRule>
  </conditionalFormatting>
  <conditionalFormatting sqref="AK20:AN20">
    <cfRule type="cellIs" dxfId="77" priority="5" stopIfTrue="1" operator="equal">
      <formula>#REF!</formula>
    </cfRule>
  </conditionalFormatting>
  <conditionalFormatting sqref="AO18:AP18">
    <cfRule type="cellIs" dxfId="76" priority="4" stopIfTrue="1" operator="equal">
      <formula>#REF!</formula>
    </cfRule>
  </conditionalFormatting>
  <conditionalFormatting sqref="AO20:AP20">
    <cfRule type="cellIs" dxfId="75" priority="3" stopIfTrue="1" operator="equal">
      <formula>#REF!</formula>
    </cfRule>
  </conditionalFormatting>
  <conditionalFormatting sqref="AQ18:AV21">
    <cfRule type="cellIs" dxfId="74" priority="2" stopIfTrue="1" operator="equal">
      <formula>#REF!</formula>
    </cfRule>
  </conditionalFormatting>
  <conditionalFormatting sqref="AW18:BB22">
    <cfRule type="cellIs" dxfId="73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 E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/>
  <dimension ref="A1:CU59"/>
  <sheetViews>
    <sheetView zoomScale="85" zoomScaleNormal="85" workbookViewId="0">
      <pane xSplit="7" ySplit="1" topLeftCell="H38" activePane="bottomRight" state="frozen"/>
      <selection pane="topRight" activeCell="J1" sqref="J1"/>
      <selection pane="bottomLeft" activeCell="A9" sqref="A9"/>
      <selection pane="bottomRight" activeCell="E46" sqref="E46"/>
    </sheetView>
  </sheetViews>
  <sheetFormatPr baseColWidth="10" defaultColWidth="10.7109375" defaultRowHeight="15" x14ac:dyDescent="0.25"/>
  <cols>
    <col min="1" max="1" width="10.7109375" style="11"/>
    <col min="2" max="2" width="24.140625" style="11" bestFit="1" customWidth="1"/>
    <col min="3" max="3" width="57.85546875" style="11" bestFit="1" customWidth="1"/>
    <col min="4" max="4" width="10.7109375" style="12"/>
    <col min="5" max="5" width="14" style="11" customWidth="1"/>
    <col min="6" max="6" width="18" style="11" customWidth="1"/>
    <col min="7" max="7" width="18.28515625" style="39" bestFit="1" customWidth="1"/>
    <col min="8" max="10" width="10.7109375" style="39"/>
    <col min="11" max="11" width="11.42578125" style="39" bestFit="1" customWidth="1"/>
    <col min="12" max="15" width="10.7109375" style="39"/>
    <col min="16" max="16" width="11.42578125" style="39" bestFit="1" customWidth="1"/>
    <col min="17" max="17" width="10.7109375" style="39"/>
    <col min="18" max="18" width="11.42578125" style="39" bestFit="1" customWidth="1"/>
    <col min="19" max="19" width="10.7109375" style="39"/>
    <col min="20" max="20" width="11.42578125" style="39" bestFit="1" customWidth="1"/>
    <col min="21" max="27" width="10.7109375" style="39"/>
    <col min="28" max="39" width="11.42578125" style="39" bestFit="1" customWidth="1"/>
    <col min="40" max="40" width="12.28515625" style="39" bestFit="1" customWidth="1"/>
    <col min="41" max="55" width="10.7109375" style="39"/>
    <col min="56" max="98" width="10.7109375" style="11"/>
    <col min="99" max="99" width="12.28515625" style="11" bestFit="1" customWidth="1"/>
    <col min="100" max="100" width="12.85546875" style="11" bestFit="1" customWidth="1"/>
    <col min="101" max="16384" width="10.7109375" style="11"/>
  </cols>
  <sheetData>
    <row r="1" spans="1:99" x14ac:dyDescent="0.25">
      <c r="A1" s="43" t="s">
        <v>191</v>
      </c>
      <c r="B1" s="43" t="s">
        <v>192</v>
      </c>
      <c r="C1" s="43" t="s">
        <v>193</v>
      </c>
      <c r="D1" s="44" t="s">
        <v>184</v>
      </c>
      <c r="E1" s="16" t="s">
        <v>194</v>
      </c>
      <c r="F1" s="16" t="s">
        <v>195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46</v>
      </c>
      <c r="M1" s="17" t="s">
        <v>47</v>
      </c>
      <c r="N1" s="17" t="s">
        <v>48</v>
      </c>
      <c r="O1" s="17" t="s">
        <v>49</v>
      </c>
      <c r="P1" s="17" t="s">
        <v>50</v>
      </c>
      <c r="Q1" s="17" t="s">
        <v>51</v>
      </c>
      <c r="R1" s="17" t="s">
        <v>52</v>
      </c>
      <c r="S1" s="17" t="s">
        <v>53</v>
      </c>
      <c r="T1" s="17" t="s">
        <v>54</v>
      </c>
      <c r="U1" s="17" t="s">
        <v>55</v>
      </c>
      <c r="V1" s="17" t="s">
        <v>56</v>
      </c>
      <c r="W1" s="17" t="s">
        <v>57</v>
      </c>
      <c r="X1" s="17" t="s">
        <v>58</v>
      </c>
      <c r="Y1" s="17" t="s">
        <v>59</v>
      </c>
      <c r="Z1" s="17" t="s">
        <v>60</v>
      </c>
      <c r="AA1" s="17" t="s">
        <v>61</v>
      </c>
      <c r="AB1" s="17" t="s">
        <v>62</v>
      </c>
      <c r="AC1" s="17" t="s">
        <v>63</v>
      </c>
      <c r="AD1" s="17" t="s">
        <v>64</v>
      </c>
      <c r="AE1" s="17" t="s">
        <v>65</v>
      </c>
      <c r="AF1" s="17" t="s">
        <v>66</v>
      </c>
      <c r="AG1" s="17" t="s">
        <v>67</v>
      </c>
      <c r="AH1" s="17" t="s">
        <v>68</v>
      </c>
      <c r="AI1" s="17" t="s">
        <v>69</v>
      </c>
      <c r="AJ1" s="17" t="s">
        <v>70</v>
      </c>
      <c r="AK1" s="17" t="s">
        <v>71</v>
      </c>
      <c r="AL1" s="17" t="s">
        <v>72</v>
      </c>
      <c r="AM1" s="17" t="s">
        <v>73</v>
      </c>
      <c r="AN1" s="17" t="s">
        <v>74</v>
      </c>
      <c r="AO1" s="17" t="s">
        <v>75</v>
      </c>
      <c r="AP1" s="17" t="s">
        <v>76</v>
      </c>
      <c r="AQ1" s="17" t="s">
        <v>77</v>
      </c>
      <c r="AR1" s="17" t="s">
        <v>78</v>
      </c>
      <c r="AS1" s="17" t="s">
        <v>79</v>
      </c>
      <c r="AT1" s="17" t="s">
        <v>80</v>
      </c>
      <c r="AU1" s="17" t="s">
        <v>81</v>
      </c>
      <c r="AV1" s="17" t="s">
        <v>82</v>
      </c>
      <c r="AW1" s="17" t="s">
        <v>83</v>
      </c>
      <c r="AX1" s="17" t="s">
        <v>84</v>
      </c>
      <c r="AY1" s="17" t="s">
        <v>85</v>
      </c>
      <c r="AZ1" s="17" t="s">
        <v>86</v>
      </c>
      <c r="BA1" s="17" t="s">
        <v>87</v>
      </c>
      <c r="BB1" s="17" t="s">
        <v>88</v>
      </c>
      <c r="BC1" s="17" t="s">
        <v>89</v>
      </c>
      <c r="BD1" s="17" t="s">
        <v>96</v>
      </c>
      <c r="BE1" s="17" t="s">
        <v>97</v>
      </c>
      <c r="BF1" s="17" t="s">
        <v>98</v>
      </c>
      <c r="BG1" s="17" t="s">
        <v>99</v>
      </c>
      <c r="BH1" s="17" t="s">
        <v>100</v>
      </c>
      <c r="BI1" s="17" t="s">
        <v>101</v>
      </c>
      <c r="BJ1" s="17" t="s">
        <v>102</v>
      </c>
      <c r="BK1" s="17" t="s">
        <v>103</v>
      </c>
      <c r="BL1" s="17" t="s">
        <v>104</v>
      </c>
      <c r="BM1" s="17" t="s">
        <v>105</v>
      </c>
      <c r="BN1" s="17" t="s">
        <v>106</v>
      </c>
      <c r="BO1" s="17" t="s">
        <v>107</v>
      </c>
      <c r="BP1" s="17" t="s">
        <v>108</v>
      </c>
      <c r="BQ1" s="17" t="s">
        <v>109</v>
      </c>
      <c r="BR1" s="17" t="s">
        <v>110</v>
      </c>
      <c r="BS1" s="17" t="s">
        <v>111</v>
      </c>
      <c r="BT1" s="17" t="s">
        <v>112</v>
      </c>
      <c r="BU1" s="17" t="s">
        <v>113</v>
      </c>
      <c r="BV1" s="17" t="s">
        <v>114</v>
      </c>
      <c r="BW1" s="17" t="s">
        <v>115</v>
      </c>
      <c r="BX1" s="17" t="s">
        <v>116</v>
      </c>
      <c r="BY1" s="17" t="s">
        <v>117</v>
      </c>
      <c r="BZ1" s="17" t="s">
        <v>118</v>
      </c>
      <c r="CA1" s="17" t="s">
        <v>119</v>
      </c>
      <c r="CB1" s="17" t="s">
        <v>120</v>
      </c>
      <c r="CC1" s="17" t="s">
        <v>121</v>
      </c>
      <c r="CD1" s="17" t="s">
        <v>122</v>
      </c>
      <c r="CE1" s="17" t="s">
        <v>123</v>
      </c>
      <c r="CF1" s="17" t="s">
        <v>124</v>
      </c>
      <c r="CG1" s="17" t="s">
        <v>125</v>
      </c>
      <c r="CH1" s="17" t="s">
        <v>126</v>
      </c>
      <c r="CI1" s="17" t="s">
        <v>127</v>
      </c>
      <c r="CJ1" s="17" t="s">
        <v>128</v>
      </c>
      <c r="CK1" s="17" t="s">
        <v>129</v>
      </c>
      <c r="CL1" s="17" t="s">
        <v>130</v>
      </c>
      <c r="CM1" s="17" t="s">
        <v>131</v>
      </c>
      <c r="CN1" s="17" t="s">
        <v>132</v>
      </c>
      <c r="CO1" s="17" t="s">
        <v>133</v>
      </c>
      <c r="CP1" s="17" t="s">
        <v>134</v>
      </c>
      <c r="CQ1" s="17" t="s">
        <v>135</v>
      </c>
      <c r="CR1" s="17" t="s">
        <v>136</v>
      </c>
      <c r="CS1" s="17" t="s">
        <v>137</v>
      </c>
      <c r="CT1" s="17" t="s">
        <v>138</v>
      </c>
      <c r="CU1" s="17" t="s">
        <v>139</v>
      </c>
    </row>
    <row r="2" spans="1:99" x14ac:dyDescent="0.25">
      <c r="A2" s="11" t="s">
        <v>4</v>
      </c>
      <c r="B2" s="11" t="s">
        <v>159</v>
      </c>
      <c r="C2" s="11" t="s">
        <v>31</v>
      </c>
      <c r="D2" s="40">
        <v>1</v>
      </c>
      <c r="E2" s="18">
        <v>5800</v>
      </c>
      <c r="F2" s="19">
        <f>D2*E2</f>
        <v>5800</v>
      </c>
      <c r="G2" s="20">
        <v>-5800</v>
      </c>
      <c r="H2" s="21">
        <v>0</v>
      </c>
      <c r="I2" s="21">
        <f>G2</f>
        <v>-5800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1">
        <v>0</v>
      </c>
      <c r="AG2" s="21">
        <v>0</v>
      </c>
      <c r="AH2" s="21">
        <v>0</v>
      </c>
      <c r="AI2" s="21">
        <v>0</v>
      </c>
      <c r="AJ2" s="21">
        <v>0</v>
      </c>
      <c r="AK2" s="21">
        <v>0</v>
      </c>
      <c r="AL2" s="21">
        <v>0</v>
      </c>
      <c r="AM2" s="21">
        <v>0</v>
      </c>
      <c r="AN2" s="21">
        <v>0</v>
      </c>
      <c r="AO2" s="21">
        <v>0</v>
      </c>
      <c r="AP2" s="21">
        <v>0</v>
      </c>
      <c r="AQ2" s="21">
        <v>0</v>
      </c>
      <c r="AR2" s="21">
        <v>0</v>
      </c>
      <c r="AS2" s="21">
        <v>0</v>
      </c>
      <c r="AT2" s="21">
        <v>0</v>
      </c>
      <c r="AU2" s="21">
        <v>0</v>
      </c>
      <c r="AV2" s="21">
        <v>0</v>
      </c>
      <c r="AW2" s="21">
        <v>0</v>
      </c>
      <c r="AX2" s="21">
        <v>0</v>
      </c>
      <c r="AY2" s="21">
        <v>0</v>
      </c>
      <c r="AZ2" s="21">
        <v>0</v>
      </c>
      <c r="BA2" s="21">
        <v>0</v>
      </c>
      <c r="BB2" s="21">
        <v>0</v>
      </c>
      <c r="BC2" s="21">
        <v>0</v>
      </c>
      <c r="BD2" s="21">
        <v>0</v>
      </c>
      <c r="BE2" s="21">
        <v>0</v>
      </c>
      <c r="BF2" s="21">
        <v>0</v>
      </c>
      <c r="BG2" s="21">
        <v>0</v>
      </c>
      <c r="BH2" s="21">
        <v>0</v>
      </c>
      <c r="BI2" s="21">
        <v>0</v>
      </c>
      <c r="BJ2" s="21">
        <v>0</v>
      </c>
      <c r="BK2" s="21">
        <v>0</v>
      </c>
      <c r="BL2" s="21">
        <v>0</v>
      </c>
      <c r="BM2" s="21">
        <v>0</v>
      </c>
      <c r="BN2" s="21">
        <v>0</v>
      </c>
      <c r="BO2" s="21">
        <v>0</v>
      </c>
      <c r="BP2" s="21">
        <v>0</v>
      </c>
      <c r="BQ2" s="21">
        <v>0</v>
      </c>
      <c r="BR2" s="21">
        <v>0</v>
      </c>
      <c r="BS2" s="21">
        <v>0</v>
      </c>
      <c r="BT2" s="21">
        <v>0</v>
      </c>
      <c r="BU2" s="21">
        <v>0</v>
      </c>
      <c r="BV2" s="21">
        <v>0</v>
      </c>
      <c r="BW2" s="21">
        <v>0</v>
      </c>
      <c r="BX2" s="21">
        <v>0</v>
      </c>
      <c r="BY2" s="21">
        <v>0</v>
      </c>
      <c r="BZ2" s="21">
        <v>0</v>
      </c>
      <c r="CA2" s="21">
        <v>0</v>
      </c>
      <c r="CB2" s="21">
        <v>0</v>
      </c>
      <c r="CC2" s="21">
        <v>0</v>
      </c>
      <c r="CD2" s="21">
        <v>0</v>
      </c>
      <c r="CE2" s="21">
        <v>0</v>
      </c>
      <c r="CF2" s="21">
        <v>0</v>
      </c>
      <c r="CG2" s="21">
        <v>0</v>
      </c>
      <c r="CH2" s="21">
        <v>0</v>
      </c>
      <c r="CI2" s="21">
        <v>0</v>
      </c>
      <c r="CJ2" s="21">
        <v>0</v>
      </c>
      <c r="CK2" s="21">
        <v>0</v>
      </c>
      <c r="CL2" s="21">
        <v>0</v>
      </c>
      <c r="CM2" s="21">
        <v>0</v>
      </c>
      <c r="CN2" s="21">
        <v>0</v>
      </c>
      <c r="CO2" s="21">
        <v>0</v>
      </c>
      <c r="CP2" s="21">
        <v>0</v>
      </c>
      <c r="CQ2" s="21">
        <v>0</v>
      </c>
      <c r="CR2" s="21">
        <v>0</v>
      </c>
      <c r="CS2" s="21">
        <v>0</v>
      </c>
      <c r="CT2" s="21">
        <v>0</v>
      </c>
      <c r="CU2" s="21">
        <v>0</v>
      </c>
    </row>
    <row r="3" spans="1:99" x14ac:dyDescent="0.25">
      <c r="A3" s="11" t="s">
        <v>4</v>
      </c>
      <c r="B3" s="11" t="s">
        <v>159</v>
      </c>
      <c r="C3" s="11" t="s">
        <v>18</v>
      </c>
      <c r="D3" s="41">
        <v>1</v>
      </c>
      <c r="E3" s="19">
        <v>1200</v>
      </c>
      <c r="F3" s="19">
        <f>D3*E3</f>
        <v>1200</v>
      </c>
      <c r="G3" s="13">
        <v>-1200</v>
      </c>
      <c r="H3" s="14">
        <v>0</v>
      </c>
      <c r="I3" s="14">
        <v>0</v>
      </c>
      <c r="J3" s="14">
        <v>0</v>
      </c>
      <c r="K3" s="14">
        <f>G3</f>
        <v>-1200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14">
        <v>0</v>
      </c>
      <c r="BU3" s="14">
        <v>0</v>
      </c>
      <c r="BV3" s="14">
        <v>0</v>
      </c>
      <c r="BW3" s="14">
        <v>0</v>
      </c>
      <c r="BX3" s="14">
        <v>0</v>
      </c>
      <c r="BY3" s="14">
        <v>0</v>
      </c>
      <c r="BZ3" s="14">
        <v>0</v>
      </c>
      <c r="CA3" s="14">
        <v>0</v>
      </c>
      <c r="CB3" s="14">
        <v>0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H3" s="14">
        <v>0</v>
      </c>
      <c r="CI3" s="14">
        <v>0</v>
      </c>
      <c r="CJ3" s="14">
        <v>0</v>
      </c>
      <c r="CK3" s="14">
        <v>0</v>
      </c>
      <c r="CL3" s="14">
        <v>0</v>
      </c>
      <c r="CM3" s="14">
        <v>0</v>
      </c>
      <c r="CN3" s="14">
        <v>0</v>
      </c>
      <c r="CO3" s="14">
        <v>0</v>
      </c>
      <c r="CP3" s="14">
        <v>0</v>
      </c>
      <c r="CQ3" s="14">
        <v>0</v>
      </c>
      <c r="CR3" s="14">
        <v>0</v>
      </c>
      <c r="CS3" s="14">
        <v>0</v>
      </c>
      <c r="CT3" s="14">
        <v>0</v>
      </c>
      <c r="CU3" s="14">
        <v>0</v>
      </c>
    </row>
    <row r="4" spans="1:99" x14ac:dyDescent="0.25">
      <c r="A4" s="11" t="s">
        <v>4</v>
      </c>
      <c r="B4" s="11" t="s">
        <v>159</v>
      </c>
      <c r="C4" s="11" t="s">
        <v>19</v>
      </c>
      <c r="D4" s="41">
        <v>1</v>
      </c>
      <c r="E4" s="19">
        <v>4500</v>
      </c>
      <c r="F4" s="19">
        <f>E4*D4</f>
        <v>4500</v>
      </c>
      <c r="G4" s="13">
        <v>-4500</v>
      </c>
      <c r="H4" s="14">
        <v>0</v>
      </c>
      <c r="I4" s="14">
        <v>0</v>
      </c>
      <c r="J4" s="14">
        <v>0</v>
      </c>
      <c r="K4" s="14">
        <f>G4</f>
        <v>-4500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14">
        <v>0</v>
      </c>
      <c r="BV4" s="14">
        <v>0</v>
      </c>
      <c r="BW4" s="14">
        <v>0</v>
      </c>
      <c r="BX4" s="14">
        <v>0</v>
      </c>
      <c r="BY4" s="14">
        <v>0</v>
      </c>
      <c r="BZ4" s="14">
        <v>0</v>
      </c>
      <c r="CA4" s="14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  <c r="CN4" s="14">
        <v>0</v>
      </c>
      <c r="CO4" s="14">
        <v>0</v>
      </c>
      <c r="CP4" s="14">
        <v>0</v>
      </c>
      <c r="CQ4" s="14">
        <v>0</v>
      </c>
      <c r="CR4" s="14">
        <v>0</v>
      </c>
      <c r="CS4" s="14">
        <v>0</v>
      </c>
      <c r="CT4" s="14">
        <v>0</v>
      </c>
      <c r="CU4" s="14">
        <v>0</v>
      </c>
    </row>
    <row r="5" spans="1:99" x14ac:dyDescent="0.25">
      <c r="A5" s="11" t="s">
        <v>4</v>
      </c>
      <c r="B5" s="11" t="s">
        <v>159</v>
      </c>
      <c r="C5" s="11" t="s">
        <v>9</v>
      </c>
      <c r="D5" s="41">
        <v>0.21</v>
      </c>
      <c r="E5" s="19">
        <f>F3+F4+F2</f>
        <v>11500</v>
      </c>
      <c r="F5" s="19">
        <f>D5*E5</f>
        <v>2415</v>
      </c>
      <c r="G5" s="13">
        <f>(G2+G3+G4)*0.21</f>
        <v>-2415</v>
      </c>
      <c r="H5" s="14">
        <f>(H2+H3+H4)*0.21</f>
        <v>0</v>
      </c>
      <c r="I5" s="14">
        <f>(I2+I3+I4)*0.21</f>
        <v>-1218</v>
      </c>
      <c r="J5" s="14">
        <v>0</v>
      </c>
      <c r="K5" s="14">
        <f>(K2+K3+K4)*0.21</f>
        <v>-1197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</row>
    <row r="6" spans="1:99" x14ac:dyDescent="0.25">
      <c r="A6" s="11" t="s">
        <v>4</v>
      </c>
      <c r="B6" s="11" t="s">
        <v>160</v>
      </c>
      <c r="C6" s="11" t="s">
        <v>15</v>
      </c>
      <c r="D6" s="12">
        <v>5.6099999999999997E-2</v>
      </c>
      <c r="E6" s="11">
        <f>F16</f>
        <v>96887.7</v>
      </c>
      <c r="F6" s="11">
        <f>E6*D6</f>
        <v>5435.3999699999995</v>
      </c>
      <c r="G6" s="20">
        <f t="shared" ref="G6:G37" si="0">-F6</f>
        <v>-5435.3999699999995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f>G6</f>
        <v>-5435.3999699999995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1">
        <v>0</v>
      </c>
      <c r="BA6" s="21">
        <v>0</v>
      </c>
      <c r="BB6" s="21">
        <v>0</v>
      </c>
      <c r="BC6" s="21">
        <v>0</v>
      </c>
      <c r="BD6" s="21">
        <v>0</v>
      </c>
      <c r="BE6" s="21">
        <v>0</v>
      </c>
      <c r="BF6" s="21">
        <v>0</v>
      </c>
      <c r="BG6" s="21">
        <v>0</v>
      </c>
      <c r="BH6" s="21">
        <v>0</v>
      </c>
      <c r="BI6" s="21">
        <v>0</v>
      </c>
      <c r="BJ6" s="21">
        <v>0</v>
      </c>
      <c r="BK6" s="21">
        <v>0</v>
      </c>
      <c r="BL6" s="21">
        <v>0</v>
      </c>
      <c r="BM6" s="21">
        <v>0</v>
      </c>
      <c r="BN6" s="21">
        <v>0</v>
      </c>
      <c r="BO6" s="21">
        <v>0</v>
      </c>
      <c r="BP6" s="21">
        <v>0</v>
      </c>
      <c r="BQ6" s="21">
        <v>0</v>
      </c>
      <c r="BR6" s="21">
        <v>0</v>
      </c>
      <c r="BS6" s="21">
        <v>0</v>
      </c>
      <c r="BT6" s="21">
        <v>0</v>
      </c>
      <c r="BU6" s="21">
        <v>0</v>
      </c>
      <c r="BV6" s="21">
        <v>0</v>
      </c>
      <c r="BW6" s="21">
        <v>0</v>
      </c>
      <c r="BX6" s="21">
        <v>0</v>
      </c>
      <c r="BY6" s="21">
        <v>0</v>
      </c>
      <c r="BZ6" s="21">
        <v>0</v>
      </c>
      <c r="CA6" s="21">
        <v>0</v>
      </c>
      <c r="CB6" s="21">
        <v>0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0</v>
      </c>
      <c r="CI6" s="21">
        <v>0</v>
      </c>
      <c r="CJ6" s="21">
        <v>0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</row>
    <row r="7" spans="1:99" x14ac:dyDescent="0.25">
      <c r="A7" s="11" t="s">
        <v>4</v>
      </c>
      <c r="B7" s="11" t="s">
        <v>160</v>
      </c>
      <c r="C7" s="11" t="s">
        <v>16</v>
      </c>
      <c r="D7" s="12">
        <v>4.7699999999999999E-2</v>
      </c>
      <c r="E7" s="11">
        <f>F16</f>
        <v>96887.7</v>
      </c>
      <c r="F7" s="11">
        <f>E7*D7</f>
        <v>4621.5432899999996</v>
      </c>
      <c r="G7" s="13">
        <f t="shared" si="0"/>
        <v>-4621.5432899999996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f>G7*0.3</f>
        <v>-1386.4629869999999</v>
      </c>
      <c r="Y7" s="14">
        <f>0.7*G7</f>
        <v>-3235.0803029999997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</row>
    <row r="8" spans="1:99" x14ac:dyDescent="0.25">
      <c r="A8" s="11" t="s">
        <v>4</v>
      </c>
      <c r="B8" s="11" t="s">
        <v>160</v>
      </c>
      <c r="C8" s="11" t="s">
        <v>161</v>
      </c>
      <c r="D8" s="12">
        <v>7.0000000000000001E-3</v>
      </c>
      <c r="E8" s="11">
        <f>F16</f>
        <v>96887.7</v>
      </c>
      <c r="F8" s="11">
        <f t="shared" ref="F8:F19" si="1">D8*E8</f>
        <v>678.21389999999997</v>
      </c>
      <c r="G8" s="13">
        <f t="shared" si="0"/>
        <v>-678.21389999999997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f>G8*0.5</f>
        <v>-339.10694999999998</v>
      </c>
      <c r="Y8" s="14">
        <f>G8*0.5</f>
        <v>-339.10694999999998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</row>
    <row r="9" spans="1:99" x14ac:dyDescent="0.25">
      <c r="A9" s="11" t="s">
        <v>4</v>
      </c>
      <c r="B9" s="11" t="s">
        <v>160</v>
      </c>
      <c r="C9" s="11" t="s">
        <v>13</v>
      </c>
      <c r="D9" s="12">
        <v>5.6099999999999997E-2</v>
      </c>
      <c r="E9" s="11">
        <f>F18+F19</f>
        <v>2853434.5848000003</v>
      </c>
      <c r="F9" s="11">
        <f t="shared" si="1"/>
        <v>160077.68020728001</v>
      </c>
      <c r="G9" s="13">
        <f t="shared" si="0"/>
        <v>-160077.68020728001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f>G9*0.4</f>
        <v>-64031.072082912004</v>
      </c>
      <c r="N9" s="14">
        <v>0</v>
      </c>
      <c r="O9" s="14">
        <v>0</v>
      </c>
      <c r="P9" s="14">
        <f>G9*0.6</f>
        <v>-96046.608124367995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</row>
    <row r="10" spans="1:99" x14ac:dyDescent="0.25">
      <c r="A10" s="11" t="s">
        <v>4</v>
      </c>
      <c r="B10" s="11" t="s">
        <v>160</v>
      </c>
      <c r="C10" s="11" t="s">
        <v>14</v>
      </c>
      <c r="D10" s="12">
        <v>4.7699999999999999E-2</v>
      </c>
      <c r="E10" s="11">
        <f>F18+F19</f>
        <v>2853434.5848000003</v>
      </c>
      <c r="F10" s="11">
        <f t="shared" si="1"/>
        <v>136108.82969496</v>
      </c>
      <c r="G10" s="13">
        <f t="shared" si="0"/>
        <v>-136108.82969496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f>$G10/14</f>
        <v>-9722.0592639257138</v>
      </c>
      <c r="AA10" s="14">
        <f t="shared" ref="AA10:AM10" si="2">$G10/14</f>
        <v>-9722.0592639257138</v>
      </c>
      <c r="AB10" s="14">
        <f t="shared" si="2"/>
        <v>-9722.0592639257138</v>
      </c>
      <c r="AC10" s="14">
        <f t="shared" si="2"/>
        <v>-9722.0592639257138</v>
      </c>
      <c r="AD10" s="14">
        <f t="shared" si="2"/>
        <v>-9722.0592639257138</v>
      </c>
      <c r="AE10" s="14">
        <f t="shared" si="2"/>
        <v>-9722.0592639257138</v>
      </c>
      <c r="AF10" s="14">
        <f t="shared" si="2"/>
        <v>-9722.0592639257138</v>
      </c>
      <c r="AG10" s="14">
        <f t="shared" si="2"/>
        <v>-9722.0592639257138</v>
      </c>
      <c r="AH10" s="14">
        <f t="shared" si="2"/>
        <v>-9722.0592639257138</v>
      </c>
      <c r="AI10" s="14">
        <f t="shared" si="2"/>
        <v>-9722.0592639257138</v>
      </c>
      <c r="AJ10" s="14">
        <f t="shared" si="2"/>
        <v>-9722.0592639257138</v>
      </c>
      <c r="AK10" s="14">
        <f t="shared" si="2"/>
        <v>-9722.0592639257138</v>
      </c>
      <c r="AL10" s="14">
        <f t="shared" si="2"/>
        <v>-9722.0592639257138</v>
      </c>
      <c r="AM10" s="14">
        <f t="shared" si="2"/>
        <v>-9722.0592639257138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</row>
    <row r="11" spans="1:99" x14ac:dyDescent="0.25">
      <c r="A11" s="11" t="s">
        <v>4</v>
      </c>
      <c r="B11" s="11" t="s">
        <v>160</v>
      </c>
      <c r="C11" s="11" t="s">
        <v>162</v>
      </c>
      <c r="D11" s="12">
        <v>7.0000000000000001E-3</v>
      </c>
      <c r="E11" s="11">
        <f>F18+F19</f>
        <v>2853434.5848000003</v>
      </c>
      <c r="F11" s="11">
        <f t="shared" si="1"/>
        <v>19974.042093600001</v>
      </c>
      <c r="G11" s="13">
        <f t="shared" si="0"/>
        <v>-19974.042093600001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f>$G$11/14</f>
        <v>-1426.7172924000001</v>
      </c>
      <c r="AA11" s="14">
        <f t="shared" ref="AA11:AM11" si="3">$G$11/14</f>
        <v>-1426.7172924000001</v>
      </c>
      <c r="AB11" s="14">
        <f t="shared" si="3"/>
        <v>-1426.7172924000001</v>
      </c>
      <c r="AC11" s="14">
        <f t="shared" si="3"/>
        <v>-1426.7172924000001</v>
      </c>
      <c r="AD11" s="14">
        <f t="shared" si="3"/>
        <v>-1426.7172924000001</v>
      </c>
      <c r="AE11" s="14">
        <f t="shared" si="3"/>
        <v>-1426.7172924000001</v>
      </c>
      <c r="AF11" s="14">
        <f t="shared" si="3"/>
        <v>-1426.7172924000001</v>
      </c>
      <c r="AG11" s="14">
        <f t="shared" si="3"/>
        <v>-1426.7172924000001</v>
      </c>
      <c r="AH11" s="14">
        <f t="shared" si="3"/>
        <v>-1426.7172924000001</v>
      </c>
      <c r="AI11" s="14">
        <f t="shared" si="3"/>
        <v>-1426.7172924000001</v>
      </c>
      <c r="AJ11" s="14">
        <f t="shared" si="3"/>
        <v>-1426.7172924000001</v>
      </c>
      <c r="AK11" s="14">
        <f t="shared" si="3"/>
        <v>-1426.7172924000001</v>
      </c>
      <c r="AL11" s="14">
        <f t="shared" si="3"/>
        <v>-1426.7172924000001</v>
      </c>
      <c r="AM11" s="14">
        <f t="shared" si="3"/>
        <v>-1426.7172924000001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</row>
    <row r="12" spans="1:99" x14ac:dyDescent="0.25">
      <c r="A12" s="11" t="s">
        <v>4</v>
      </c>
      <c r="B12" s="11" t="s">
        <v>160</v>
      </c>
      <c r="C12" s="11" t="s">
        <v>140</v>
      </c>
      <c r="D12" s="12">
        <v>0.02</v>
      </c>
      <c r="E12" s="11">
        <f>F19+F18+F16</f>
        <v>2950322.2848000005</v>
      </c>
      <c r="F12" s="11">
        <f t="shared" si="1"/>
        <v>59006.44569600001</v>
      </c>
      <c r="G12" s="13">
        <f t="shared" si="0"/>
        <v>-59006.44569600001</v>
      </c>
      <c r="H12" s="14">
        <v>0</v>
      </c>
      <c r="I12" s="14">
        <v>0</v>
      </c>
      <c r="J12" s="14">
        <v>0</v>
      </c>
      <c r="K12" s="14">
        <f>G12*0.05</f>
        <v>-2950.3222848000005</v>
      </c>
      <c r="L12" s="14">
        <v>0</v>
      </c>
      <c r="M12" s="14">
        <v>0</v>
      </c>
      <c r="N12" s="14">
        <v>0</v>
      </c>
      <c r="O12" s="14">
        <v>0</v>
      </c>
      <c r="P12" s="14">
        <f>G12*0.15</f>
        <v>-8850.9668544000015</v>
      </c>
      <c r="Q12" s="14">
        <v>0</v>
      </c>
      <c r="R12" s="14">
        <f>G12*0.05</f>
        <v>-2950.3222848000005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f t="shared" ref="X12:AL12" si="4">$G$12*0.04</f>
        <v>-2360.2578278400006</v>
      </c>
      <c r="Y12" s="14">
        <f t="shared" si="4"/>
        <v>-2360.2578278400006</v>
      </c>
      <c r="Z12" s="14">
        <f t="shared" si="4"/>
        <v>-2360.2578278400006</v>
      </c>
      <c r="AA12" s="14">
        <f t="shared" si="4"/>
        <v>-2360.2578278400006</v>
      </c>
      <c r="AB12" s="14">
        <f t="shared" si="4"/>
        <v>-2360.2578278400006</v>
      </c>
      <c r="AC12" s="14">
        <f t="shared" si="4"/>
        <v>-2360.2578278400006</v>
      </c>
      <c r="AD12" s="14">
        <f t="shared" si="4"/>
        <v>-2360.2578278400006</v>
      </c>
      <c r="AE12" s="14">
        <f t="shared" si="4"/>
        <v>-2360.2578278400006</v>
      </c>
      <c r="AF12" s="14">
        <f t="shared" si="4"/>
        <v>-2360.2578278400006</v>
      </c>
      <c r="AG12" s="14">
        <f t="shared" si="4"/>
        <v>-2360.2578278400006</v>
      </c>
      <c r="AH12" s="14">
        <f t="shared" si="4"/>
        <v>-2360.2578278400006</v>
      </c>
      <c r="AI12" s="14">
        <f t="shared" si="4"/>
        <v>-2360.2578278400006</v>
      </c>
      <c r="AJ12" s="14">
        <f t="shared" si="4"/>
        <v>-2360.2578278400006</v>
      </c>
      <c r="AK12" s="14">
        <f t="shared" si="4"/>
        <v>-2360.2578278400006</v>
      </c>
      <c r="AL12" s="14">
        <f t="shared" si="4"/>
        <v>-2360.2578278400006</v>
      </c>
      <c r="AM12" s="14">
        <f>$G$12*0.04</f>
        <v>-2360.2578278400006</v>
      </c>
      <c r="AN12" s="14">
        <f>G12*0.11</f>
        <v>-6490.7090265600009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</row>
    <row r="13" spans="1:99" x14ac:dyDescent="0.25">
      <c r="A13" s="11" t="s">
        <v>4</v>
      </c>
      <c r="B13" s="11" t="s">
        <v>160</v>
      </c>
      <c r="C13" s="11" t="s">
        <v>163</v>
      </c>
      <c r="D13" s="12">
        <v>0.21</v>
      </c>
      <c r="E13" s="11">
        <f>F6+F7+F8</f>
        <v>10735.157160000001</v>
      </c>
      <c r="F13" s="11">
        <f t="shared" si="1"/>
        <v>2254.3830035999999</v>
      </c>
      <c r="G13" s="13">
        <f t="shared" si="0"/>
        <v>-2254.3830035999999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f>SUM(M6:M8)*0.21</f>
        <v>-1141.4339936999997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f>(X7+X8)*0.21</f>
        <v>-362.36968676999993</v>
      </c>
      <c r="Y13" s="14">
        <f>(Y7+Y8)*0.21</f>
        <v>-750.57932312999992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</row>
    <row r="14" spans="1:99" x14ac:dyDescent="0.25">
      <c r="A14" s="11" t="s">
        <v>4</v>
      </c>
      <c r="B14" s="11" t="s">
        <v>160</v>
      </c>
      <c r="C14" s="11" t="s">
        <v>164</v>
      </c>
      <c r="D14" s="12">
        <v>0.21</v>
      </c>
      <c r="E14" s="11">
        <f>F9+F10+F11+F12</f>
        <v>375166.99769184005</v>
      </c>
      <c r="F14" s="11">
        <f t="shared" si="1"/>
        <v>78785.069515286406</v>
      </c>
      <c r="G14" s="13">
        <f t="shared" si="0"/>
        <v>-78785.069515286406</v>
      </c>
      <c r="H14" s="14">
        <v>0</v>
      </c>
      <c r="I14" s="14">
        <v>0</v>
      </c>
      <c r="J14" s="14">
        <v>0</v>
      </c>
      <c r="K14" s="14">
        <f>SUM(K9:K12)*0.21</f>
        <v>-619.56767980800009</v>
      </c>
      <c r="L14" s="14">
        <v>0</v>
      </c>
      <c r="M14" s="14">
        <f>SUM(M9:M12)*0.21</f>
        <v>-13446.52513741152</v>
      </c>
      <c r="N14" s="14">
        <v>0</v>
      </c>
      <c r="O14" s="14">
        <v>0</v>
      </c>
      <c r="P14" s="14">
        <f>SUM(P9:P12)*0.21</f>
        <v>-22028.490745541279</v>
      </c>
      <c r="Q14" s="14">
        <v>0</v>
      </c>
      <c r="R14" s="14">
        <f>SUM(R9:R12)*0.21</f>
        <v>-619.56767980800009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f t="shared" ref="X14:AN14" si="5">SUM(X9:X12)*0.21</f>
        <v>-495.65414384640007</v>
      </c>
      <c r="Y14" s="14">
        <f t="shared" si="5"/>
        <v>-495.65414384640007</v>
      </c>
      <c r="Z14" s="14">
        <f t="shared" si="5"/>
        <v>-2836.8972206748003</v>
      </c>
      <c r="AA14" s="14">
        <f t="shared" si="5"/>
        <v>-2836.8972206748003</v>
      </c>
      <c r="AB14" s="14">
        <f t="shared" si="5"/>
        <v>-2836.8972206748003</v>
      </c>
      <c r="AC14" s="14">
        <f t="shared" si="5"/>
        <v>-2836.8972206748003</v>
      </c>
      <c r="AD14" s="14">
        <f t="shared" si="5"/>
        <v>-2836.8972206748003</v>
      </c>
      <c r="AE14" s="14">
        <f t="shared" si="5"/>
        <v>-2836.8972206748003</v>
      </c>
      <c r="AF14" s="14">
        <f t="shared" si="5"/>
        <v>-2836.8972206748003</v>
      </c>
      <c r="AG14" s="14">
        <f t="shared" si="5"/>
        <v>-2836.8972206748003</v>
      </c>
      <c r="AH14" s="14">
        <f t="shared" si="5"/>
        <v>-2836.8972206748003</v>
      </c>
      <c r="AI14" s="14">
        <f t="shared" si="5"/>
        <v>-2836.8972206748003</v>
      </c>
      <c r="AJ14" s="14">
        <f t="shared" si="5"/>
        <v>-2836.8972206748003</v>
      </c>
      <c r="AK14" s="14">
        <f t="shared" si="5"/>
        <v>-2836.8972206748003</v>
      </c>
      <c r="AL14" s="14">
        <f t="shared" si="5"/>
        <v>-2836.8972206748003</v>
      </c>
      <c r="AM14" s="14">
        <f t="shared" si="5"/>
        <v>-2836.8972206748003</v>
      </c>
      <c r="AN14" s="14">
        <f t="shared" si="5"/>
        <v>-1363.0488955776002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</row>
    <row r="15" spans="1:99" x14ac:dyDescent="0.25">
      <c r="A15" s="11" t="s">
        <v>4</v>
      </c>
      <c r="B15" s="11" t="s">
        <v>160</v>
      </c>
      <c r="C15" s="11" t="s">
        <v>20</v>
      </c>
      <c r="D15" s="12">
        <v>3.0000000000000001E-3</v>
      </c>
      <c r="E15" s="11">
        <f>F18+F19</f>
        <v>2853434.5848000003</v>
      </c>
      <c r="F15" s="11">
        <f t="shared" si="1"/>
        <v>8560.3037544000017</v>
      </c>
      <c r="G15" s="13">
        <f t="shared" si="0"/>
        <v>-8560.3037544000017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f>$G$15/14</f>
        <v>-611.45026817142866</v>
      </c>
      <c r="AA15" s="14">
        <f t="shared" ref="AA15:AM15" si="6">$G$15/14</f>
        <v>-611.45026817142866</v>
      </c>
      <c r="AB15" s="14">
        <f t="shared" si="6"/>
        <v>-611.45026817142866</v>
      </c>
      <c r="AC15" s="14">
        <f t="shared" si="6"/>
        <v>-611.45026817142866</v>
      </c>
      <c r="AD15" s="14">
        <f t="shared" si="6"/>
        <v>-611.45026817142866</v>
      </c>
      <c r="AE15" s="14">
        <f t="shared" si="6"/>
        <v>-611.45026817142866</v>
      </c>
      <c r="AF15" s="14">
        <f t="shared" si="6"/>
        <v>-611.45026817142866</v>
      </c>
      <c r="AG15" s="14">
        <f t="shared" si="6"/>
        <v>-611.45026817142866</v>
      </c>
      <c r="AH15" s="14">
        <f t="shared" si="6"/>
        <v>-611.45026817142866</v>
      </c>
      <c r="AI15" s="14">
        <f t="shared" si="6"/>
        <v>-611.45026817142866</v>
      </c>
      <c r="AJ15" s="14">
        <f t="shared" si="6"/>
        <v>-611.45026817142866</v>
      </c>
      <c r="AK15" s="14">
        <f t="shared" si="6"/>
        <v>-611.45026817142866</v>
      </c>
      <c r="AL15" s="14">
        <f t="shared" si="6"/>
        <v>-611.45026817142866</v>
      </c>
      <c r="AM15" s="14">
        <f t="shared" si="6"/>
        <v>-611.45026817142866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</row>
    <row r="16" spans="1:99" x14ac:dyDescent="0.25">
      <c r="A16" s="11" t="s">
        <v>4</v>
      </c>
      <c r="B16" s="11" t="s">
        <v>165</v>
      </c>
      <c r="C16" s="11" t="s">
        <v>8</v>
      </c>
      <c r="D16" s="12">
        <f>(98.3*7*3)+(59.1*7*3)+(62.3*7*3)</f>
        <v>4613.7</v>
      </c>
      <c r="E16" s="11">
        <v>21</v>
      </c>
      <c r="F16" s="11">
        <f t="shared" si="1"/>
        <v>96887.7</v>
      </c>
      <c r="G16" s="13">
        <f t="shared" si="0"/>
        <v>-96887.7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f>G16*0.4</f>
        <v>-38755.08</v>
      </c>
      <c r="Y16" s="14">
        <f>G16*0.6</f>
        <v>-58132.619999999995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</row>
    <row r="17" spans="1:99" x14ac:dyDescent="0.25">
      <c r="A17" s="11" t="s">
        <v>4</v>
      </c>
      <c r="B17" s="11" t="s">
        <v>165</v>
      </c>
      <c r="C17" s="11" t="s">
        <v>12</v>
      </c>
      <c r="D17" s="41">
        <v>575</v>
      </c>
      <c r="E17" s="11">
        <v>5.75</v>
      </c>
      <c r="F17" s="11">
        <f t="shared" si="1"/>
        <v>3306.25</v>
      </c>
      <c r="G17" s="13">
        <f t="shared" si="0"/>
        <v>-3306.25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f>G17*0.4</f>
        <v>-1322.5</v>
      </c>
      <c r="Y17" s="14">
        <f>G17*0.6</f>
        <v>-1983.75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</row>
    <row r="18" spans="1:99" x14ac:dyDescent="0.25">
      <c r="A18" s="11" t="s">
        <v>4</v>
      </c>
      <c r="B18" s="11" t="s">
        <v>165</v>
      </c>
      <c r="C18" s="11" t="s">
        <v>2</v>
      </c>
      <c r="D18" s="12">
        <f>22*65*1.2</f>
        <v>1716</v>
      </c>
      <c r="E18" s="11">
        <v>725.70780000000002</v>
      </c>
      <c r="F18" s="11">
        <f t="shared" si="1"/>
        <v>1245314.5848000001</v>
      </c>
      <c r="G18" s="13">
        <f t="shared" si="0"/>
        <v>-1245314.5848000001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f>'evolucion certificaciones nuevo'!J26</f>
        <v>-37359.437544</v>
      </c>
      <c r="AF18" s="14">
        <f>'evolucion certificaciones nuevo'!K26</f>
        <v>-49812.583392</v>
      </c>
      <c r="AG18" s="14">
        <f>'evolucion certificaciones nuevo'!L26</f>
        <v>-115814.25638640001</v>
      </c>
      <c r="AH18" s="14">
        <f>'evolucion certificaciones nuevo'!M26</f>
        <v>-130758.03140400001</v>
      </c>
      <c r="AI18" s="14">
        <f>'evolucion certificaciones nuevo'!N26</f>
        <v>-205476.90649200001</v>
      </c>
      <c r="AJ18" s="14">
        <f>'evolucion certificaciones nuevo'!O26</f>
        <v>-255289.48988400001</v>
      </c>
      <c r="AK18" s="14">
        <f>'evolucion certificaciones nuevo'!P26</f>
        <v>-259025.43363839999</v>
      </c>
      <c r="AL18" s="14">
        <f>'evolucion certificaciones nuevo'!Q26</f>
        <v>-102115.79595360001</v>
      </c>
      <c r="AM18" s="14">
        <f>'evolucion certificaciones nuevo'!R26</f>
        <v>-89662.650105599998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</row>
    <row r="19" spans="1:99" x14ac:dyDescent="0.25">
      <c r="A19" s="11" t="s">
        <v>4</v>
      </c>
      <c r="B19" s="11" t="s">
        <v>165</v>
      </c>
      <c r="C19" s="11" t="s">
        <v>40</v>
      </c>
      <c r="D19" s="12">
        <v>1</v>
      </c>
      <c r="E19" s="11">
        <v>1608120</v>
      </c>
      <c r="F19" s="11">
        <f t="shared" si="1"/>
        <v>1608120</v>
      </c>
      <c r="G19" s="13">
        <f t="shared" si="0"/>
        <v>-1608120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f>'evolucion certificaciones nuevo'!E28</f>
        <v>-9648.7199999999993</v>
      </c>
      <c r="AA19" s="14">
        <f>'evolucion certificaciones nuevo'!F28</f>
        <v>-25729.920000000002</v>
      </c>
      <c r="AB19" s="14">
        <f>'evolucion certificaciones nuevo'!G28</f>
        <v>-64324.800000000003</v>
      </c>
      <c r="AC19" s="14">
        <f>'evolucion certificaciones nuevo'!H28</f>
        <v>-60304.5</v>
      </c>
      <c r="AD19" s="14">
        <f>'evolucion certificaciones nuevo'!I28</f>
        <v>-72365.399999999994</v>
      </c>
      <c r="AE19" s="14">
        <f>'evolucion certificaciones nuevo'!J28</f>
        <v>-151967.34</v>
      </c>
      <c r="AF19" s="14">
        <f>'evolucion certificaciones nuevo'!K28</f>
        <v>-188954.09999999998</v>
      </c>
      <c r="AG19" s="14">
        <f>'evolucion certificaciones nuevo'!L28</f>
        <v>-128649.60000000001</v>
      </c>
      <c r="AH19" s="14">
        <f>'evolucion certificaciones nuevo'!M28</f>
        <v>-213879.96000000002</v>
      </c>
      <c r="AI19" s="14">
        <f>'evolucion certificaciones nuevo'!N28</f>
        <v>-191366.28</v>
      </c>
      <c r="AJ19" s="14">
        <f>'evolucion certificaciones nuevo'!O28</f>
        <v>-238805.81999999998</v>
      </c>
      <c r="AK19" s="14">
        <f>'evolucion certificaciones nuevo'!P28</f>
        <v>-94075.02</v>
      </c>
      <c r="AL19" s="14">
        <f>'evolucion certificaciones nuevo'!Q28</f>
        <v>-168048.53999999998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</row>
    <row r="20" spans="1:99" x14ac:dyDescent="0.25">
      <c r="A20" s="11" t="s">
        <v>4</v>
      </c>
      <c r="B20" s="11" t="s">
        <v>165</v>
      </c>
      <c r="C20" s="11" t="s">
        <v>11</v>
      </c>
      <c r="D20" s="12">
        <v>0.21</v>
      </c>
      <c r="E20" s="11">
        <f>F16</f>
        <v>96887.7</v>
      </c>
      <c r="F20" s="11">
        <f>E20*D20</f>
        <v>20346.416999999998</v>
      </c>
      <c r="G20" s="13">
        <f t="shared" si="0"/>
        <v>-20346.416999999998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f>X16*0.21</f>
        <v>-8138.5668000000005</v>
      </c>
      <c r="Y20" s="14">
        <f>Y16*0.21</f>
        <v>-12207.850199999999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</row>
    <row r="21" spans="1:99" x14ac:dyDescent="0.25">
      <c r="A21" s="11" t="s">
        <v>4</v>
      </c>
      <c r="B21" s="11" t="s">
        <v>165</v>
      </c>
      <c r="C21" s="11" t="s">
        <v>10</v>
      </c>
      <c r="D21" s="12">
        <v>0.1</v>
      </c>
      <c r="E21" s="11">
        <f>F18+F19</f>
        <v>2853434.5848000003</v>
      </c>
      <c r="F21" s="11">
        <f>E21*D21</f>
        <v>285343.45848000003</v>
      </c>
      <c r="G21" s="13">
        <f t="shared" si="0"/>
        <v>-285343.45848000003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f t="shared" ref="Z21:AM21" si="7">(Z18+Z19)*0.1</f>
        <v>-964.87199999999996</v>
      </c>
      <c r="AA21" s="14">
        <f t="shared" si="7"/>
        <v>-2572.9920000000002</v>
      </c>
      <c r="AB21" s="14">
        <f t="shared" si="7"/>
        <v>-6432.4800000000005</v>
      </c>
      <c r="AC21" s="14">
        <f t="shared" si="7"/>
        <v>-6030.4500000000007</v>
      </c>
      <c r="AD21" s="14">
        <f t="shared" si="7"/>
        <v>-7236.54</v>
      </c>
      <c r="AE21" s="14">
        <f t="shared" si="7"/>
        <v>-18932.677754400003</v>
      </c>
      <c r="AF21" s="14">
        <f t="shared" si="7"/>
        <v>-23876.668339199998</v>
      </c>
      <c r="AG21" s="14">
        <f t="shared" si="7"/>
        <v>-24446.38563864</v>
      </c>
      <c r="AH21" s="14">
        <f t="shared" si="7"/>
        <v>-34463.799140400006</v>
      </c>
      <c r="AI21" s="14">
        <f t="shared" si="7"/>
        <v>-39684.318649200002</v>
      </c>
      <c r="AJ21" s="14">
        <f t="shared" si="7"/>
        <v>-49409.530988400002</v>
      </c>
      <c r="AK21" s="14">
        <f t="shared" si="7"/>
        <v>-35310.045363839999</v>
      </c>
      <c r="AL21" s="14">
        <f t="shared" si="7"/>
        <v>-27016.433595360002</v>
      </c>
      <c r="AM21" s="14">
        <f t="shared" si="7"/>
        <v>-8966.2650105600005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</row>
    <row r="22" spans="1:99" x14ac:dyDescent="0.25">
      <c r="A22" s="11" t="s">
        <v>4</v>
      </c>
      <c r="B22" s="11" t="s">
        <v>165</v>
      </c>
      <c r="C22" s="11" t="s">
        <v>21</v>
      </c>
      <c r="D22" s="12">
        <v>1</v>
      </c>
      <c r="E22" s="11">
        <v>700</v>
      </c>
      <c r="F22" s="11">
        <f t="shared" ref="F22:F37" si="8">D22*E22</f>
        <v>700</v>
      </c>
      <c r="G22" s="13">
        <f t="shared" si="0"/>
        <v>-700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f>G22</f>
        <v>-700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</row>
    <row r="23" spans="1:99" x14ac:dyDescent="0.25">
      <c r="A23" s="11" t="s">
        <v>4</v>
      </c>
      <c r="B23" s="11" t="s">
        <v>0</v>
      </c>
      <c r="C23" s="11" t="s">
        <v>7</v>
      </c>
      <c r="D23" s="12">
        <f>5%</f>
        <v>0.05</v>
      </c>
      <c r="E23" s="11">
        <f>(F18+F19)</f>
        <v>2853434.5848000003</v>
      </c>
      <c r="F23" s="11">
        <f t="shared" si="8"/>
        <v>142671.72924000002</v>
      </c>
      <c r="G23" s="20">
        <f t="shared" si="0"/>
        <v>-142671.72924000002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f>G23*0.2</f>
        <v>-28534.345848000004</v>
      </c>
      <c r="R23" s="21">
        <v>0</v>
      </c>
      <c r="S23" s="21">
        <v>0</v>
      </c>
      <c r="T23" s="21">
        <f>G23*0.8</f>
        <v>-114137.38339200002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</row>
    <row r="24" spans="1:99" x14ac:dyDescent="0.25">
      <c r="A24" s="11" t="s">
        <v>4</v>
      </c>
      <c r="B24" s="11" t="s">
        <v>0</v>
      </c>
      <c r="C24" s="11" t="s">
        <v>6</v>
      </c>
      <c r="D24" s="12">
        <f>5%</f>
        <v>0.05</v>
      </c>
      <c r="E24" s="11">
        <f>F16</f>
        <v>96887.7</v>
      </c>
      <c r="F24" s="11">
        <f t="shared" si="8"/>
        <v>4844.3850000000002</v>
      </c>
      <c r="G24" s="13">
        <f t="shared" si="0"/>
        <v>-4844.3850000000002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f>G24*0.2</f>
        <v>-968.87700000000007</v>
      </c>
      <c r="O24" s="14">
        <v>0</v>
      </c>
      <c r="P24" s="14">
        <f>G24*0.8</f>
        <v>-3875.5080000000003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</row>
    <row r="25" spans="1:99" x14ac:dyDescent="0.25">
      <c r="A25" s="11" t="s">
        <v>4</v>
      </c>
      <c r="B25" s="11" t="s">
        <v>0</v>
      </c>
      <c r="C25" s="11" t="s">
        <v>166</v>
      </c>
      <c r="D25" s="12">
        <v>2.9999999999999997E-4</v>
      </c>
      <c r="E25" s="11">
        <f>F18</f>
        <v>1245314.5848000001</v>
      </c>
      <c r="F25" s="11">
        <f t="shared" si="8"/>
        <v>373.59437543999996</v>
      </c>
      <c r="G25" s="13">
        <f t="shared" si="0"/>
        <v>-373.59437543999996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f>G25</f>
        <v>-373.59437543999996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</row>
    <row r="26" spans="1:99" x14ac:dyDescent="0.25">
      <c r="A26" s="11" t="s">
        <v>4</v>
      </c>
      <c r="B26" s="11" t="s">
        <v>0</v>
      </c>
      <c r="C26" s="11" t="s">
        <v>167</v>
      </c>
      <c r="D26" s="12">
        <v>2.0000000000000001E-4</v>
      </c>
      <c r="E26" s="11">
        <f>F18</f>
        <v>1245314.5848000001</v>
      </c>
      <c r="F26" s="11">
        <f t="shared" si="8"/>
        <v>249.06291696000002</v>
      </c>
      <c r="G26" s="13">
        <f t="shared" si="0"/>
        <v>-249.06291696000002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f>G26</f>
        <v>-249.06291696000002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</row>
    <row r="27" spans="1:99" x14ac:dyDescent="0.25">
      <c r="A27" s="11" t="s">
        <v>4</v>
      </c>
      <c r="B27" s="11" t="s">
        <v>0</v>
      </c>
      <c r="C27" s="11" t="s">
        <v>168</v>
      </c>
      <c r="D27" s="12">
        <v>1</v>
      </c>
      <c r="E27" s="11">
        <v>250</v>
      </c>
      <c r="F27" s="11">
        <f t="shared" si="8"/>
        <v>250</v>
      </c>
      <c r="G27" s="13">
        <f t="shared" si="0"/>
        <v>-250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f>G27</f>
        <v>-250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</row>
    <row r="28" spans="1:99" x14ac:dyDescent="0.25">
      <c r="A28" s="11" t="s">
        <v>4</v>
      </c>
      <c r="B28" s="11" t="s">
        <v>0</v>
      </c>
      <c r="C28" s="11" t="s">
        <v>169</v>
      </c>
      <c r="D28" s="12">
        <v>2.9999999999999997E-4</v>
      </c>
      <c r="E28" s="11">
        <f>F18</f>
        <v>1245314.5848000001</v>
      </c>
      <c r="F28" s="11">
        <f t="shared" si="8"/>
        <v>373.59437543999996</v>
      </c>
      <c r="G28" s="13">
        <f t="shared" si="0"/>
        <v>-373.59437543999996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f>G28</f>
        <v>-373.59437543999996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</row>
    <row r="29" spans="1:99" x14ac:dyDescent="0.25">
      <c r="A29" s="11" t="s">
        <v>4</v>
      </c>
      <c r="B29" s="11" t="s">
        <v>0</v>
      </c>
      <c r="C29" s="11" t="s">
        <v>170</v>
      </c>
      <c r="D29" s="12">
        <v>2.0000000000000001E-4</v>
      </c>
      <c r="E29" s="11">
        <f>F18</f>
        <v>1245314.5848000001</v>
      </c>
      <c r="F29" s="11">
        <f t="shared" si="8"/>
        <v>249.06291696000002</v>
      </c>
      <c r="G29" s="13">
        <f t="shared" si="0"/>
        <v>-249.06291696000002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f t="shared" ref="AN29:AN32" si="9">G29</f>
        <v>-249.06291696000002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</row>
    <row r="30" spans="1:99" x14ac:dyDescent="0.25">
      <c r="A30" s="11" t="s">
        <v>4</v>
      </c>
      <c r="B30" s="11" t="s">
        <v>0</v>
      </c>
      <c r="C30" s="11" t="s">
        <v>171</v>
      </c>
      <c r="D30" s="12">
        <v>1</v>
      </c>
      <c r="E30" s="11">
        <v>250</v>
      </c>
      <c r="F30" s="11">
        <f t="shared" si="8"/>
        <v>250</v>
      </c>
      <c r="G30" s="13">
        <f t="shared" si="0"/>
        <v>-250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f t="shared" si="9"/>
        <v>-250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</row>
    <row r="31" spans="1:99" x14ac:dyDescent="0.25">
      <c r="A31" s="11" t="s">
        <v>4</v>
      </c>
      <c r="B31" s="11" t="s">
        <v>0</v>
      </c>
      <c r="C31" s="11" t="s">
        <v>23</v>
      </c>
      <c r="D31" s="12">
        <v>8.9999999999999993E-3</v>
      </c>
      <c r="E31" s="11">
        <f>F18</f>
        <v>1245314.5848000001</v>
      </c>
      <c r="F31" s="11">
        <f t="shared" si="8"/>
        <v>11207.8312632</v>
      </c>
      <c r="G31" s="13">
        <f t="shared" si="0"/>
        <v>-11207.8312632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f>$G$31/16</f>
        <v>-700.48945394999998</v>
      </c>
      <c r="Y31" s="14">
        <f t="shared" ref="Y31:AM31" si="10">$G$31/16</f>
        <v>-700.48945394999998</v>
      </c>
      <c r="Z31" s="14">
        <f t="shared" si="10"/>
        <v>-700.48945394999998</v>
      </c>
      <c r="AA31" s="14">
        <f t="shared" si="10"/>
        <v>-700.48945394999998</v>
      </c>
      <c r="AB31" s="14">
        <f t="shared" si="10"/>
        <v>-700.48945394999998</v>
      </c>
      <c r="AC31" s="14">
        <f t="shared" si="10"/>
        <v>-700.48945394999998</v>
      </c>
      <c r="AD31" s="14">
        <f t="shared" si="10"/>
        <v>-700.48945394999998</v>
      </c>
      <c r="AE31" s="14">
        <f t="shared" si="10"/>
        <v>-700.48945394999998</v>
      </c>
      <c r="AF31" s="14">
        <f t="shared" si="10"/>
        <v>-700.48945394999998</v>
      </c>
      <c r="AG31" s="14">
        <f t="shared" si="10"/>
        <v>-700.48945394999998</v>
      </c>
      <c r="AH31" s="14">
        <f t="shared" si="10"/>
        <v>-700.48945394999998</v>
      </c>
      <c r="AI31" s="14">
        <f t="shared" si="10"/>
        <v>-700.48945394999998</v>
      </c>
      <c r="AJ31" s="14">
        <f t="shared" si="10"/>
        <v>-700.48945394999998</v>
      </c>
      <c r="AK31" s="14">
        <f t="shared" si="10"/>
        <v>-700.48945394999998</v>
      </c>
      <c r="AL31" s="14">
        <f t="shared" si="10"/>
        <v>-700.48945394999998</v>
      </c>
      <c r="AM31" s="14">
        <f t="shared" si="10"/>
        <v>-700.48945394999998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</row>
    <row r="32" spans="1:99" x14ac:dyDescent="0.25">
      <c r="A32" s="11" t="s">
        <v>4</v>
      </c>
      <c r="B32" s="11" t="s">
        <v>0</v>
      </c>
      <c r="C32" s="11" t="s">
        <v>172</v>
      </c>
      <c r="D32" s="12">
        <v>2.5000000000000001E-3</v>
      </c>
      <c r="E32" s="11">
        <f>22*65*1.2*725.71</f>
        <v>1245318.3600000001</v>
      </c>
      <c r="F32" s="11">
        <f t="shared" si="8"/>
        <v>3113.2959000000005</v>
      </c>
      <c r="G32" s="13">
        <f t="shared" si="0"/>
        <v>-3113.2959000000005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f t="shared" si="9"/>
        <v>-3113.2959000000005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</row>
    <row r="33" spans="1:99" x14ac:dyDescent="0.25">
      <c r="A33" s="11" t="s">
        <v>4</v>
      </c>
      <c r="B33" s="11" t="s">
        <v>24</v>
      </c>
      <c r="C33" s="11" t="s">
        <v>27</v>
      </c>
      <c r="D33" s="40">
        <v>1</v>
      </c>
      <c r="E33" s="22">
        <v>2500</v>
      </c>
      <c r="F33" s="22">
        <f t="shared" si="8"/>
        <v>2500</v>
      </c>
      <c r="G33" s="23">
        <f t="shared" si="0"/>
        <v>-2500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5">
        <v>0</v>
      </c>
      <c r="W33" s="25">
        <f>G33</f>
        <v>-2500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>
        <v>0</v>
      </c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  <c r="BO33" s="25">
        <v>0</v>
      </c>
      <c r="BP33" s="25">
        <v>0</v>
      </c>
      <c r="BQ33" s="25">
        <v>0</v>
      </c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</v>
      </c>
      <c r="CD33" s="25">
        <v>0</v>
      </c>
      <c r="CE33" s="25">
        <v>0</v>
      </c>
      <c r="CF33" s="25">
        <v>0</v>
      </c>
      <c r="CG33" s="25">
        <v>0</v>
      </c>
      <c r="CH33" s="25">
        <v>0</v>
      </c>
      <c r="CI33" s="25">
        <v>0</v>
      </c>
      <c r="CJ33" s="25">
        <v>0</v>
      </c>
      <c r="CK33" s="25">
        <v>0</v>
      </c>
      <c r="CL33" s="25">
        <v>0</v>
      </c>
      <c r="CM33" s="25">
        <v>0</v>
      </c>
      <c r="CN33" s="25">
        <v>0</v>
      </c>
      <c r="CO33" s="25">
        <v>0</v>
      </c>
      <c r="CP33" s="25">
        <v>0</v>
      </c>
      <c r="CQ33" s="25">
        <v>0</v>
      </c>
      <c r="CR33" s="25">
        <v>0</v>
      </c>
      <c r="CS33" s="25">
        <v>0</v>
      </c>
      <c r="CT33" s="25">
        <v>0</v>
      </c>
      <c r="CU33" s="25">
        <v>0</v>
      </c>
    </row>
    <row r="34" spans="1:99" x14ac:dyDescent="0.25">
      <c r="A34" s="11" t="s">
        <v>4</v>
      </c>
      <c r="B34" s="11" t="s">
        <v>24</v>
      </c>
      <c r="C34" s="11" t="s">
        <v>173</v>
      </c>
      <c r="D34" s="42">
        <v>2.5000000000000001E-3</v>
      </c>
      <c r="E34" s="22">
        <f>-0.8*SUM(G2:G32,G41:G42)</f>
        <v>3257134.3019145005</v>
      </c>
      <c r="F34" s="22">
        <f t="shared" si="8"/>
        <v>8142.8357547862515</v>
      </c>
      <c r="G34" s="13">
        <f t="shared" si="0"/>
        <v>-8142.8357547862515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f>G34</f>
        <v>-8142.8357547862515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</row>
    <row r="35" spans="1:99" x14ac:dyDescent="0.25">
      <c r="A35" s="11" t="s">
        <v>4</v>
      </c>
      <c r="B35" s="11" t="s">
        <v>24</v>
      </c>
      <c r="C35" s="11" t="s">
        <v>28</v>
      </c>
      <c r="D35" s="40">
        <v>1</v>
      </c>
      <c r="E35" s="22">
        <v>250</v>
      </c>
      <c r="F35" s="22">
        <f t="shared" si="8"/>
        <v>250</v>
      </c>
      <c r="G35" s="13">
        <f t="shared" si="0"/>
        <v>-250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f>G35</f>
        <v>-250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</row>
    <row r="36" spans="1:99" x14ac:dyDescent="0.25">
      <c r="A36" s="11" t="s">
        <v>4</v>
      </c>
      <c r="B36" s="11" t="s">
        <v>24</v>
      </c>
      <c r="C36" s="11" t="s">
        <v>29</v>
      </c>
      <c r="D36" s="42">
        <v>2.5000000000000001E-3</v>
      </c>
      <c r="E36" s="22">
        <f>-0.8*SUM(G2:G32,G41:G42)</f>
        <v>3257134.3019145005</v>
      </c>
      <c r="F36" s="22">
        <f t="shared" si="8"/>
        <v>8142.8357547862515</v>
      </c>
      <c r="G36" s="13">
        <f t="shared" si="0"/>
        <v>-8142.8357547862515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f>G36</f>
        <v>-8142.8357547862515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</row>
    <row r="37" spans="1:99" x14ac:dyDescent="0.25">
      <c r="A37" s="11" t="s">
        <v>4</v>
      </c>
      <c r="B37" s="11" t="s">
        <v>24</v>
      </c>
      <c r="C37" s="11" t="s">
        <v>25</v>
      </c>
      <c r="D37" s="42">
        <v>1E-3</v>
      </c>
      <c r="E37" s="22">
        <f>-0.8*SUM(G2:G32,G41:G42)</f>
        <v>3257134.3019145005</v>
      </c>
      <c r="F37" s="22">
        <f t="shared" si="8"/>
        <v>3257.1343019145006</v>
      </c>
      <c r="G37" s="13">
        <f t="shared" si="0"/>
        <v>-3257.1343019145006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f>G37</f>
        <v>-3257.1343019145006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</row>
    <row r="38" spans="1:99" x14ac:dyDescent="0.25">
      <c r="A38" s="11" t="s">
        <v>4</v>
      </c>
      <c r="B38" s="11" t="s">
        <v>24</v>
      </c>
      <c r="C38" s="11" t="s">
        <v>95</v>
      </c>
      <c r="D38" s="42">
        <f>intereses!C5</f>
        <v>3.5000000000000003E-2</v>
      </c>
      <c r="E38" s="22">
        <f>0.8*(SUM(F2:F42)-F44-F45)</f>
        <v>2600243.0711675193</v>
      </c>
      <c r="F38" s="22">
        <v>237934.46</v>
      </c>
      <c r="G38" s="13"/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-7584.0422874999995</v>
      </c>
      <c r="AO38" s="14">
        <v>-7468.1954477007021</v>
      </c>
      <c r="AP38" s="14">
        <v>-7352.0107212853227</v>
      </c>
      <c r="AQ38" s="14">
        <v>-7235.4871227512313</v>
      </c>
      <c r="AR38" s="14">
        <v>-7118.6236637214151</v>
      </c>
      <c r="AS38" s="14">
        <v>-7001.4193529360964</v>
      </c>
      <c r="AT38" s="14">
        <v>-6883.8731962443208</v>
      </c>
      <c r="AU38" s="14">
        <v>-6765.9841965955266</v>
      </c>
      <c r="AV38" s="14">
        <v>-6647.7513540310902</v>
      </c>
      <c r="AW38" s="14">
        <v>-6529.1736656758412</v>
      </c>
      <c r="AX38" s="14">
        <v>-6410.2501257295553</v>
      </c>
      <c r="AY38" s="14">
        <v>-6290.9797254584273</v>
      </c>
      <c r="AZ38" s="14">
        <v>-6171.361453186506</v>
      </c>
      <c r="BA38" s="14">
        <v>-6051.3942942871281</v>
      </c>
      <c r="BB38" s="14">
        <v>-5931.0772311742921</v>
      </c>
      <c r="BC38" s="14">
        <v>-5810.4092432940433</v>
      </c>
      <c r="BD38" s="26">
        <v>-5689.3893071158109</v>
      </c>
      <c r="BE38" s="26">
        <v>-5568.0163961237258</v>
      </c>
      <c r="BF38" s="26">
        <v>-5446.2894808079136</v>
      </c>
      <c r="BG38" s="26">
        <v>-5324.2075286557629</v>
      </c>
      <c r="BH38" s="26">
        <v>-5201.769504143168</v>
      </c>
      <c r="BI38" s="26">
        <v>-5078.974368725746</v>
      </c>
      <c r="BJ38" s="26">
        <v>-4955.8210808300228</v>
      </c>
      <c r="BK38" s="26">
        <v>-4832.3085958446036</v>
      </c>
      <c r="BL38" s="26">
        <v>-4708.4358661113101</v>
      </c>
      <c r="BM38" s="26">
        <v>-4584.2018409162956</v>
      </c>
      <c r="BN38" s="26">
        <v>-4459.6054664811272</v>
      </c>
      <c r="BO38" s="26">
        <v>-4334.6456859538584</v>
      </c>
      <c r="BP38" s="26">
        <v>-4209.3214394000506</v>
      </c>
      <c r="BQ38" s="26">
        <v>-4083.6316637937935</v>
      </c>
      <c r="BR38" s="26">
        <v>-3957.5752930086851</v>
      </c>
      <c r="BS38" s="26">
        <v>-3831.1512578087877</v>
      </c>
      <c r="BT38" s="26">
        <v>-3704.3584858395561</v>
      </c>
      <c r="BU38" s="26">
        <v>-3577.1959016187484</v>
      </c>
      <c r="BV38" s="26">
        <v>-3449.6624265272972</v>
      </c>
      <c r="BW38" s="26">
        <v>-3321.7569788001615</v>
      </c>
      <c r="BX38" s="26">
        <v>-3193.4784735171552</v>
      </c>
      <c r="BY38" s="26">
        <v>-3064.8258225937402</v>
      </c>
      <c r="BZ38" s="26">
        <v>-2935.7979347717983</v>
      </c>
      <c r="CA38" s="26">
        <v>-2806.3937156103757</v>
      </c>
      <c r="CB38" s="26">
        <v>-2676.6120674763997</v>
      </c>
      <c r="CC38" s="26">
        <v>-2546.4518895353663</v>
      </c>
      <c r="CD38" s="26">
        <v>-2415.9120777420044</v>
      </c>
      <c r="CE38" s="26">
        <v>-2284.9915248309117</v>
      </c>
      <c r="CF38" s="26">
        <v>-2153.6891203071618</v>
      </c>
      <c r="CG38" s="26">
        <v>-2022.0037504368843</v>
      </c>
      <c r="CH38" s="26">
        <v>-1889.9342982378187</v>
      </c>
      <c r="CI38" s="26">
        <v>-1757.4796434698387</v>
      </c>
      <c r="CJ38" s="26">
        <v>-1624.6386626254525</v>
      </c>
      <c r="CK38" s="26">
        <v>-1491.4102289202704</v>
      </c>
      <c r="CL38" s="26">
        <v>-1357.7932122834479</v>
      </c>
      <c r="CM38" s="26">
        <v>-1223.786479348101</v>
      </c>
      <c r="CN38" s="26">
        <v>-1089.388893441693</v>
      </c>
      <c r="CO38" s="26">
        <v>-954.59931457639141</v>
      </c>
      <c r="CP38" s="26">
        <v>-819.41659943939931</v>
      </c>
      <c r="CQ38" s="26">
        <v>-683.83960138325733</v>
      </c>
      <c r="CR38" s="26">
        <v>-547.8671704161186</v>
      </c>
      <c r="CS38" s="26">
        <v>-411.49815319199234</v>
      </c>
      <c r="CT38" s="26">
        <v>-274.73139300096238</v>
      </c>
      <c r="CU38" s="26">
        <v>-137.56572975937513</v>
      </c>
    </row>
    <row r="39" spans="1:99" x14ac:dyDescent="0.25">
      <c r="A39" s="11" t="s">
        <v>4</v>
      </c>
      <c r="B39" s="11" t="s">
        <v>24</v>
      </c>
      <c r="C39" s="11" t="s">
        <v>39</v>
      </c>
      <c r="D39" s="42">
        <f>intereses!E5</f>
        <v>0.05</v>
      </c>
      <c r="E39" s="22">
        <f>-0.8*SUM(G2:G32,G41:G42)</f>
        <v>3257134.3019145005</v>
      </c>
      <c r="F39" s="22">
        <v>116555.86</v>
      </c>
      <c r="G39" s="13"/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-13571.392916666666</v>
      </c>
      <c r="Y39" s="14">
        <v>-12749.375233955998</v>
      </c>
      <c r="Z39" s="14">
        <v>-11923.93247756737</v>
      </c>
      <c r="AA39" s="14">
        <v>-11095.050376360454</v>
      </c>
      <c r="AB39" s="14">
        <v>-10262.714599731844</v>
      </c>
      <c r="AC39" s="14">
        <v>-9426.9107573672791</v>
      </c>
      <c r="AD39" s="14">
        <v>-8587.6243989928626</v>
      </c>
      <c r="AE39" s="14">
        <v>-7744.8410141252216</v>
      </c>
      <c r="AF39" s="14">
        <v>-6898.5460318206306</v>
      </c>
      <c r="AG39" s="14">
        <v>-6048.7248204231037</v>
      </c>
      <c r="AH39" s="14">
        <v>-5195.3626873114217</v>
      </c>
      <c r="AI39" s="14">
        <v>-4338.4448786451057</v>
      </c>
      <c r="AJ39" s="14">
        <v>-3477.9565791093473</v>
      </c>
      <c r="AK39" s="14">
        <v>-2613.8829116588577</v>
      </c>
      <c r="AL39" s="14">
        <v>-1746.2089372606567</v>
      </c>
      <c r="AM39" s="14">
        <v>-874.91965463579675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</row>
    <row r="40" spans="1:99" x14ac:dyDescent="0.25">
      <c r="A40" s="11" t="s">
        <v>4</v>
      </c>
      <c r="B40" s="11" t="s">
        <v>24</v>
      </c>
      <c r="C40" s="11" t="s">
        <v>26</v>
      </c>
      <c r="D40" s="42">
        <v>2.5000000000000001E-3</v>
      </c>
      <c r="E40" s="22">
        <f>-0.8*SUM(G2:G32,G41:G42)</f>
        <v>3257134.3019145005</v>
      </c>
      <c r="F40" s="22">
        <f t="shared" ref="F40:F47" si="11">D40*E40</f>
        <v>8142.8357547862515</v>
      </c>
      <c r="G40" s="13">
        <f>-F40</f>
        <v>-8142.8357547862515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0</v>
      </c>
      <c r="CU40" s="14">
        <f>G40</f>
        <v>-8142.8357547862515</v>
      </c>
    </row>
    <row r="41" spans="1:99" x14ac:dyDescent="0.25">
      <c r="A41" s="11" t="s">
        <v>4</v>
      </c>
      <c r="B41" s="11" t="s">
        <v>1</v>
      </c>
      <c r="C41" s="11" t="s">
        <v>22</v>
      </c>
      <c r="D41" s="12">
        <f>22*8</f>
        <v>176</v>
      </c>
      <c r="E41" s="11">
        <v>700</v>
      </c>
      <c r="F41" s="22">
        <f t="shared" si="11"/>
        <v>123200</v>
      </c>
      <c r="G41" s="20">
        <f>-F41</f>
        <v>-123200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f t="shared" ref="Y41:AF41" si="12">$G$41/8</f>
        <v>-15400</v>
      </c>
      <c r="Z41" s="21">
        <f t="shared" si="12"/>
        <v>-15400</v>
      </c>
      <c r="AA41" s="21">
        <f t="shared" si="12"/>
        <v>-15400</v>
      </c>
      <c r="AB41" s="21">
        <f t="shared" si="12"/>
        <v>-15400</v>
      </c>
      <c r="AC41" s="21">
        <f t="shared" si="12"/>
        <v>-15400</v>
      </c>
      <c r="AD41" s="21">
        <f t="shared" si="12"/>
        <v>-15400</v>
      </c>
      <c r="AE41" s="21">
        <f t="shared" si="12"/>
        <v>-15400</v>
      </c>
      <c r="AF41" s="21">
        <f t="shared" si="12"/>
        <v>-15400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21">
        <v>0</v>
      </c>
      <c r="AZ41" s="21">
        <v>0</v>
      </c>
      <c r="BA41" s="21">
        <v>0</v>
      </c>
      <c r="BB41" s="21">
        <v>0</v>
      </c>
      <c r="BC41" s="21">
        <v>0</v>
      </c>
      <c r="BD41" s="21">
        <v>0</v>
      </c>
      <c r="BE41" s="21">
        <v>0</v>
      </c>
      <c r="BF41" s="21">
        <v>0</v>
      </c>
      <c r="BG41" s="21">
        <v>0</v>
      </c>
      <c r="BH41" s="21">
        <v>0</v>
      </c>
      <c r="BI41" s="21">
        <v>0</v>
      </c>
      <c r="BJ41" s="21">
        <v>0</v>
      </c>
      <c r="BK41" s="21">
        <v>0</v>
      </c>
      <c r="BL41" s="21">
        <v>0</v>
      </c>
      <c r="BM41" s="21">
        <v>0</v>
      </c>
      <c r="BN41" s="21">
        <v>0</v>
      </c>
      <c r="BO41" s="21">
        <v>0</v>
      </c>
      <c r="BP41" s="21">
        <v>0</v>
      </c>
      <c r="BQ41" s="21">
        <v>0</v>
      </c>
      <c r="BR41" s="21">
        <v>0</v>
      </c>
      <c r="BS41" s="21">
        <v>0</v>
      </c>
      <c r="BT41" s="21">
        <v>0</v>
      </c>
      <c r="BU41" s="21">
        <v>0</v>
      </c>
      <c r="BV41" s="21">
        <v>0</v>
      </c>
      <c r="BW41" s="21">
        <v>0</v>
      </c>
      <c r="BX41" s="21">
        <v>0</v>
      </c>
      <c r="BY41" s="21">
        <v>0</v>
      </c>
      <c r="BZ41" s="21">
        <v>0</v>
      </c>
      <c r="CA41" s="21">
        <v>0</v>
      </c>
      <c r="CB41" s="21">
        <v>0</v>
      </c>
      <c r="CC41" s="21">
        <v>0</v>
      </c>
      <c r="CD41" s="21">
        <v>0</v>
      </c>
      <c r="CE41" s="21">
        <v>0</v>
      </c>
      <c r="CF41" s="21">
        <v>0</v>
      </c>
      <c r="CG41" s="21">
        <v>0</v>
      </c>
      <c r="CH41" s="21">
        <v>0</v>
      </c>
      <c r="CI41" s="21">
        <v>0</v>
      </c>
      <c r="CJ41" s="21">
        <v>0</v>
      </c>
      <c r="CK41" s="21">
        <v>0</v>
      </c>
      <c r="CL41" s="21">
        <v>0</v>
      </c>
      <c r="CM41" s="21">
        <v>0</v>
      </c>
      <c r="CN41" s="21">
        <v>0</v>
      </c>
      <c r="CO41" s="21">
        <v>0</v>
      </c>
      <c r="CP41" s="21">
        <v>0</v>
      </c>
      <c r="CQ41" s="21">
        <v>0</v>
      </c>
      <c r="CR41" s="21">
        <v>0</v>
      </c>
      <c r="CS41" s="21">
        <v>0</v>
      </c>
      <c r="CT41" s="21">
        <v>0</v>
      </c>
      <c r="CU41" s="21">
        <v>0</v>
      </c>
    </row>
    <row r="42" spans="1:99" x14ac:dyDescent="0.25">
      <c r="A42" s="11" t="s">
        <v>4</v>
      </c>
      <c r="B42" s="11" t="s">
        <v>1</v>
      </c>
      <c r="C42" s="11" t="s">
        <v>17</v>
      </c>
      <c r="D42" s="12">
        <f>22*8</f>
        <v>176</v>
      </c>
      <c r="E42" s="11">
        <v>200</v>
      </c>
      <c r="F42" s="22">
        <f t="shared" si="11"/>
        <v>35200</v>
      </c>
      <c r="G42" s="13">
        <f>-$F$42</f>
        <v>-35200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f t="shared" ref="Y42:AF42" si="13">$G$42/8</f>
        <v>-4400</v>
      </c>
      <c r="Z42" s="14">
        <f t="shared" si="13"/>
        <v>-4400</v>
      </c>
      <c r="AA42" s="14">
        <f t="shared" si="13"/>
        <v>-4400</v>
      </c>
      <c r="AB42" s="14">
        <f t="shared" si="13"/>
        <v>-4400</v>
      </c>
      <c r="AC42" s="14">
        <f t="shared" si="13"/>
        <v>-4400</v>
      </c>
      <c r="AD42" s="14">
        <f t="shared" si="13"/>
        <v>-4400</v>
      </c>
      <c r="AE42" s="14">
        <f t="shared" si="13"/>
        <v>-4400</v>
      </c>
      <c r="AF42" s="14">
        <f t="shared" si="13"/>
        <v>-4400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</row>
    <row r="43" spans="1:99" x14ac:dyDescent="0.25">
      <c r="A43" s="11" t="s">
        <v>5</v>
      </c>
      <c r="B43" s="11" t="s">
        <v>174</v>
      </c>
      <c r="C43" s="11" t="s">
        <v>143</v>
      </c>
      <c r="D43" s="12">
        <v>22</v>
      </c>
      <c r="E43" s="11">
        <f>65*2183.04</f>
        <v>141897.60000000001</v>
      </c>
      <c r="F43" s="11">
        <f t="shared" si="11"/>
        <v>3121747.2</v>
      </c>
      <c r="G43" s="13">
        <f>F43</f>
        <v>3121747.2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f>G43</f>
        <v>3121747.2</v>
      </c>
    </row>
    <row r="44" spans="1:99" x14ac:dyDescent="0.25">
      <c r="A44" s="11" t="s">
        <v>5</v>
      </c>
      <c r="B44" s="11" t="s">
        <v>175</v>
      </c>
      <c r="C44" s="11" t="s">
        <v>176</v>
      </c>
      <c r="D44" s="12">
        <v>88</v>
      </c>
      <c r="E44" s="19">
        <v>2705</v>
      </c>
      <c r="F44" s="11">
        <f t="shared" si="11"/>
        <v>238040</v>
      </c>
      <c r="G44" s="13">
        <f>F44</f>
        <v>238040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f>G44</f>
        <v>238040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R44" s="14">
        <v>0</v>
      </c>
      <c r="CS44" s="14">
        <v>0</v>
      </c>
      <c r="CT44" s="14">
        <v>0</v>
      </c>
      <c r="CU44" s="14">
        <v>0</v>
      </c>
    </row>
    <row r="45" spans="1:99" x14ac:dyDescent="0.25">
      <c r="A45" s="11" t="s">
        <v>5</v>
      </c>
      <c r="B45" s="11" t="s">
        <v>175</v>
      </c>
      <c r="C45" s="11" t="s">
        <v>177</v>
      </c>
      <c r="D45" s="12">
        <v>88</v>
      </c>
      <c r="E45" s="11">
        <v>11000</v>
      </c>
      <c r="F45" s="11">
        <f t="shared" si="11"/>
        <v>968000</v>
      </c>
      <c r="G45" s="13">
        <f>F45</f>
        <v>968000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f>G45</f>
        <v>968000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</row>
    <row r="46" spans="1:99" x14ac:dyDescent="0.25">
      <c r="A46" s="11" t="s">
        <v>5</v>
      </c>
      <c r="B46" s="11" t="s">
        <v>178</v>
      </c>
      <c r="C46" s="11" t="s">
        <v>179</v>
      </c>
      <c r="D46" s="12">
        <f>22*60</f>
        <v>1320</v>
      </c>
      <c r="E46" s="11">
        <v>450</v>
      </c>
      <c r="F46" s="22">
        <f t="shared" si="11"/>
        <v>594000</v>
      </c>
      <c r="G46" s="13">
        <f>F46</f>
        <v>594000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f>($D$46*$E$46)/60</f>
        <v>9900</v>
      </c>
      <c r="AO46" s="14">
        <f t="shared" ref="AO46:CU46" si="14">($D$46*$E$46)/60</f>
        <v>9900</v>
      </c>
      <c r="AP46" s="14">
        <f t="shared" si="14"/>
        <v>9900</v>
      </c>
      <c r="AQ46" s="14">
        <f t="shared" si="14"/>
        <v>9900</v>
      </c>
      <c r="AR46" s="14">
        <f t="shared" si="14"/>
        <v>9900</v>
      </c>
      <c r="AS46" s="14">
        <f t="shared" si="14"/>
        <v>9900</v>
      </c>
      <c r="AT46" s="14">
        <f t="shared" si="14"/>
        <v>9900</v>
      </c>
      <c r="AU46" s="14">
        <f t="shared" si="14"/>
        <v>9900</v>
      </c>
      <c r="AV46" s="14">
        <f t="shared" si="14"/>
        <v>9900</v>
      </c>
      <c r="AW46" s="14">
        <f t="shared" si="14"/>
        <v>9900</v>
      </c>
      <c r="AX46" s="14">
        <f t="shared" si="14"/>
        <v>9900</v>
      </c>
      <c r="AY46" s="14">
        <f t="shared" si="14"/>
        <v>9900</v>
      </c>
      <c r="AZ46" s="14">
        <f t="shared" si="14"/>
        <v>9900</v>
      </c>
      <c r="BA46" s="14">
        <f t="shared" si="14"/>
        <v>9900</v>
      </c>
      <c r="BB46" s="14">
        <f t="shared" si="14"/>
        <v>9900</v>
      </c>
      <c r="BC46" s="14">
        <f t="shared" si="14"/>
        <v>9900</v>
      </c>
      <c r="BD46" s="14">
        <f t="shared" si="14"/>
        <v>9900</v>
      </c>
      <c r="BE46" s="14">
        <f t="shared" si="14"/>
        <v>9900</v>
      </c>
      <c r="BF46" s="14">
        <f t="shared" si="14"/>
        <v>9900</v>
      </c>
      <c r="BG46" s="14">
        <f t="shared" si="14"/>
        <v>9900</v>
      </c>
      <c r="BH46" s="14">
        <f t="shared" si="14"/>
        <v>9900</v>
      </c>
      <c r="BI46" s="14">
        <f t="shared" si="14"/>
        <v>9900</v>
      </c>
      <c r="BJ46" s="14">
        <f t="shared" si="14"/>
        <v>9900</v>
      </c>
      <c r="BK46" s="14">
        <f t="shared" si="14"/>
        <v>9900</v>
      </c>
      <c r="BL46" s="14">
        <f t="shared" si="14"/>
        <v>9900</v>
      </c>
      <c r="BM46" s="14">
        <f t="shared" si="14"/>
        <v>9900</v>
      </c>
      <c r="BN46" s="14">
        <f t="shared" si="14"/>
        <v>9900</v>
      </c>
      <c r="BO46" s="14">
        <f t="shared" si="14"/>
        <v>9900</v>
      </c>
      <c r="BP46" s="14">
        <f t="shared" si="14"/>
        <v>9900</v>
      </c>
      <c r="BQ46" s="14">
        <f t="shared" si="14"/>
        <v>9900</v>
      </c>
      <c r="BR46" s="14">
        <f t="shared" si="14"/>
        <v>9900</v>
      </c>
      <c r="BS46" s="14">
        <f t="shared" si="14"/>
        <v>9900</v>
      </c>
      <c r="BT46" s="14">
        <f t="shared" si="14"/>
        <v>9900</v>
      </c>
      <c r="BU46" s="14">
        <f t="shared" si="14"/>
        <v>9900</v>
      </c>
      <c r="BV46" s="14">
        <f t="shared" si="14"/>
        <v>9900</v>
      </c>
      <c r="BW46" s="14">
        <f t="shared" si="14"/>
        <v>9900</v>
      </c>
      <c r="BX46" s="14">
        <f t="shared" si="14"/>
        <v>9900</v>
      </c>
      <c r="BY46" s="14">
        <f t="shared" si="14"/>
        <v>9900</v>
      </c>
      <c r="BZ46" s="14">
        <f t="shared" si="14"/>
        <v>9900</v>
      </c>
      <c r="CA46" s="14">
        <f t="shared" si="14"/>
        <v>9900</v>
      </c>
      <c r="CB46" s="14">
        <f t="shared" si="14"/>
        <v>9900</v>
      </c>
      <c r="CC46" s="14">
        <f t="shared" si="14"/>
        <v>9900</v>
      </c>
      <c r="CD46" s="14">
        <f t="shared" si="14"/>
        <v>9900</v>
      </c>
      <c r="CE46" s="14">
        <f t="shared" si="14"/>
        <v>9900</v>
      </c>
      <c r="CF46" s="14">
        <f t="shared" si="14"/>
        <v>9900</v>
      </c>
      <c r="CG46" s="14">
        <f t="shared" si="14"/>
        <v>9900</v>
      </c>
      <c r="CH46" s="14">
        <f t="shared" si="14"/>
        <v>9900</v>
      </c>
      <c r="CI46" s="14">
        <f t="shared" si="14"/>
        <v>9900</v>
      </c>
      <c r="CJ46" s="14">
        <f t="shared" si="14"/>
        <v>9900</v>
      </c>
      <c r="CK46" s="14">
        <f t="shared" si="14"/>
        <v>9900</v>
      </c>
      <c r="CL46" s="14">
        <f t="shared" si="14"/>
        <v>9900</v>
      </c>
      <c r="CM46" s="14">
        <f t="shared" si="14"/>
        <v>9900</v>
      </c>
      <c r="CN46" s="14">
        <f t="shared" si="14"/>
        <v>9900</v>
      </c>
      <c r="CO46" s="14">
        <f t="shared" si="14"/>
        <v>9900</v>
      </c>
      <c r="CP46" s="14">
        <f t="shared" si="14"/>
        <v>9900</v>
      </c>
      <c r="CQ46" s="14">
        <f t="shared" si="14"/>
        <v>9900</v>
      </c>
      <c r="CR46" s="14">
        <f t="shared" si="14"/>
        <v>9900</v>
      </c>
      <c r="CS46" s="14">
        <f t="shared" si="14"/>
        <v>9900</v>
      </c>
      <c r="CT46" s="14">
        <f t="shared" si="14"/>
        <v>9900</v>
      </c>
      <c r="CU46" s="14">
        <f t="shared" si="14"/>
        <v>9900</v>
      </c>
    </row>
    <row r="47" spans="1:99" x14ac:dyDescent="0.25">
      <c r="A47" s="11" t="s">
        <v>5</v>
      </c>
      <c r="B47" s="11" t="s">
        <v>180</v>
      </c>
      <c r="C47" s="11" t="s">
        <v>152</v>
      </c>
      <c r="D47" s="12">
        <f>110*60</f>
        <v>6600</v>
      </c>
      <c r="E47" s="11">
        <v>50</v>
      </c>
      <c r="F47" s="22">
        <f t="shared" si="11"/>
        <v>330000</v>
      </c>
      <c r="G47" s="15">
        <f>F47</f>
        <v>330000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f>($D$47*$E$47)/60</f>
        <v>5500</v>
      </c>
      <c r="AO47" s="14">
        <f t="shared" ref="AO47:CU47" si="15">($D$47*$E$47)/60</f>
        <v>5500</v>
      </c>
      <c r="AP47" s="14">
        <f t="shared" si="15"/>
        <v>5500</v>
      </c>
      <c r="AQ47" s="14">
        <f t="shared" si="15"/>
        <v>5500</v>
      </c>
      <c r="AR47" s="14">
        <f t="shared" si="15"/>
        <v>5500</v>
      </c>
      <c r="AS47" s="14">
        <f t="shared" si="15"/>
        <v>5500</v>
      </c>
      <c r="AT47" s="14">
        <f t="shared" si="15"/>
        <v>5500</v>
      </c>
      <c r="AU47" s="14">
        <f t="shared" si="15"/>
        <v>5500</v>
      </c>
      <c r="AV47" s="14">
        <f t="shared" si="15"/>
        <v>5500</v>
      </c>
      <c r="AW47" s="14">
        <f t="shared" si="15"/>
        <v>5500</v>
      </c>
      <c r="AX47" s="14">
        <f t="shared" si="15"/>
        <v>5500</v>
      </c>
      <c r="AY47" s="14">
        <f t="shared" si="15"/>
        <v>5500</v>
      </c>
      <c r="AZ47" s="14">
        <f t="shared" si="15"/>
        <v>5500</v>
      </c>
      <c r="BA47" s="14">
        <f t="shared" si="15"/>
        <v>5500</v>
      </c>
      <c r="BB47" s="14">
        <f t="shared" si="15"/>
        <v>5500</v>
      </c>
      <c r="BC47" s="14">
        <f t="shared" si="15"/>
        <v>5500</v>
      </c>
      <c r="BD47" s="14">
        <f t="shared" si="15"/>
        <v>5500</v>
      </c>
      <c r="BE47" s="14">
        <f t="shared" si="15"/>
        <v>5500</v>
      </c>
      <c r="BF47" s="14">
        <f t="shared" si="15"/>
        <v>5500</v>
      </c>
      <c r="BG47" s="14">
        <f t="shared" si="15"/>
        <v>5500</v>
      </c>
      <c r="BH47" s="14">
        <f t="shared" si="15"/>
        <v>5500</v>
      </c>
      <c r="BI47" s="14">
        <f t="shared" si="15"/>
        <v>5500</v>
      </c>
      <c r="BJ47" s="14">
        <f t="shared" si="15"/>
        <v>5500</v>
      </c>
      <c r="BK47" s="14">
        <f t="shared" si="15"/>
        <v>5500</v>
      </c>
      <c r="BL47" s="14">
        <f t="shared" si="15"/>
        <v>5500</v>
      </c>
      <c r="BM47" s="14">
        <f t="shared" si="15"/>
        <v>5500</v>
      </c>
      <c r="BN47" s="14">
        <f t="shared" si="15"/>
        <v>5500</v>
      </c>
      <c r="BO47" s="14">
        <f t="shared" si="15"/>
        <v>5500</v>
      </c>
      <c r="BP47" s="14">
        <f t="shared" si="15"/>
        <v>5500</v>
      </c>
      <c r="BQ47" s="14">
        <f t="shared" si="15"/>
        <v>5500</v>
      </c>
      <c r="BR47" s="14">
        <f t="shared" si="15"/>
        <v>5500</v>
      </c>
      <c r="BS47" s="14">
        <f t="shared" si="15"/>
        <v>5500</v>
      </c>
      <c r="BT47" s="14">
        <f t="shared" si="15"/>
        <v>5500</v>
      </c>
      <c r="BU47" s="14">
        <f t="shared" si="15"/>
        <v>5500</v>
      </c>
      <c r="BV47" s="14">
        <f t="shared" si="15"/>
        <v>5500</v>
      </c>
      <c r="BW47" s="14">
        <f t="shared" si="15"/>
        <v>5500</v>
      </c>
      <c r="BX47" s="14">
        <f t="shared" si="15"/>
        <v>5500</v>
      </c>
      <c r="BY47" s="14">
        <f t="shared" si="15"/>
        <v>5500</v>
      </c>
      <c r="BZ47" s="14">
        <f t="shared" si="15"/>
        <v>5500</v>
      </c>
      <c r="CA47" s="14">
        <f t="shared" si="15"/>
        <v>5500</v>
      </c>
      <c r="CB47" s="14">
        <f t="shared" si="15"/>
        <v>5500</v>
      </c>
      <c r="CC47" s="14">
        <f t="shared" si="15"/>
        <v>5500</v>
      </c>
      <c r="CD47" s="14">
        <f t="shared" si="15"/>
        <v>5500</v>
      </c>
      <c r="CE47" s="14">
        <f t="shared" si="15"/>
        <v>5500</v>
      </c>
      <c r="CF47" s="14">
        <f t="shared" si="15"/>
        <v>5500</v>
      </c>
      <c r="CG47" s="14">
        <f t="shared" si="15"/>
        <v>5500</v>
      </c>
      <c r="CH47" s="14">
        <f t="shared" si="15"/>
        <v>5500</v>
      </c>
      <c r="CI47" s="14">
        <f t="shared" si="15"/>
        <v>5500</v>
      </c>
      <c r="CJ47" s="14">
        <f t="shared" si="15"/>
        <v>5500</v>
      </c>
      <c r="CK47" s="14">
        <f t="shared" si="15"/>
        <v>5500</v>
      </c>
      <c r="CL47" s="14">
        <f t="shared" si="15"/>
        <v>5500</v>
      </c>
      <c r="CM47" s="14">
        <f t="shared" si="15"/>
        <v>5500</v>
      </c>
      <c r="CN47" s="14">
        <f t="shared" si="15"/>
        <v>5500</v>
      </c>
      <c r="CO47" s="14">
        <f t="shared" si="15"/>
        <v>5500</v>
      </c>
      <c r="CP47" s="14">
        <f t="shared" si="15"/>
        <v>5500</v>
      </c>
      <c r="CQ47" s="14">
        <f t="shared" si="15"/>
        <v>5500</v>
      </c>
      <c r="CR47" s="14">
        <f t="shared" si="15"/>
        <v>5500</v>
      </c>
      <c r="CS47" s="14">
        <f t="shared" si="15"/>
        <v>5500</v>
      </c>
      <c r="CT47" s="14">
        <f t="shared" si="15"/>
        <v>5500</v>
      </c>
      <c r="CU47" s="14">
        <f t="shared" si="15"/>
        <v>5500</v>
      </c>
    </row>
    <row r="48" spans="1:99" x14ac:dyDescent="0.25">
      <c r="A48" s="11" t="s">
        <v>181</v>
      </c>
      <c r="B48" s="11" t="s">
        <v>182</v>
      </c>
      <c r="C48" s="11" t="s">
        <v>5</v>
      </c>
      <c r="F48" s="27"/>
      <c r="G48" s="45">
        <f>SUM(F43:F47)</f>
        <v>5251787.2</v>
      </c>
      <c r="H48" s="29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</row>
    <row r="49" spans="1:99" x14ac:dyDescent="0.25">
      <c r="A49" s="11" t="s">
        <v>181</v>
      </c>
      <c r="B49" s="11" t="s">
        <v>182</v>
      </c>
      <c r="C49" s="11" t="s">
        <v>90</v>
      </c>
      <c r="F49" s="27"/>
      <c r="G49" s="45">
        <f>-SUM(F2:F42)</f>
        <v>-4456343.8389593987</v>
      </c>
      <c r="H49" s="29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</row>
    <row r="50" spans="1:99" x14ac:dyDescent="0.25">
      <c r="A50" s="11" t="s">
        <v>181</v>
      </c>
      <c r="B50" s="11" t="s">
        <v>182</v>
      </c>
      <c r="C50" s="11" t="s">
        <v>183</v>
      </c>
      <c r="F50" s="27"/>
      <c r="G50" s="45">
        <f>SUM(G48:G49)</f>
        <v>795443.36104060151</v>
      </c>
      <c r="H50" s="29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</row>
    <row r="51" spans="1:99" x14ac:dyDescent="0.25">
      <c r="A51" s="11" t="s">
        <v>181</v>
      </c>
      <c r="B51" s="11" t="s">
        <v>182</v>
      </c>
      <c r="C51" s="11" t="s">
        <v>184</v>
      </c>
      <c r="F51" s="27"/>
      <c r="G51" s="46">
        <f>G50/-G49</f>
        <v>0.1784968552216441</v>
      </c>
      <c r="H51" s="29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</row>
    <row r="52" spans="1:99" x14ac:dyDescent="0.25">
      <c r="A52" s="11" t="s">
        <v>181</v>
      </c>
      <c r="B52" s="11" t="s">
        <v>185</v>
      </c>
      <c r="C52" s="11" t="s">
        <v>186</v>
      </c>
      <c r="F52" s="31"/>
      <c r="G52" s="47"/>
      <c r="H52" s="32">
        <f t="shared" ref="H52:AM52" si="16">SUM(H2:H47)</f>
        <v>0</v>
      </c>
      <c r="I52" s="26">
        <f t="shared" si="16"/>
        <v>-7018</v>
      </c>
      <c r="J52" s="26">
        <f t="shared" si="16"/>
        <v>0</v>
      </c>
      <c r="K52" s="26">
        <f t="shared" si="16"/>
        <v>-10466.889964608001</v>
      </c>
      <c r="L52" s="26">
        <f t="shared" si="16"/>
        <v>0</v>
      </c>
      <c r="M52" s="26">
        <f t="shared" si="16"/>
        <v>-84054.431184023531</v>
      </c>
      <c r="N52" s="26">
        <f t="shared" si="16"/>
        <v>-968.87700000000007</v>
      </c>
      <c r="O52" s="26">
        <f t="shared" si="16"/>
        <v>0</v>
      </c>
      <c r="P52" s="26">
        <f t="shared" si="16"/>
        <v>-130801.57372430927</v>
      </c>
      <c r="Q52" s="26">
        <f t="shared" si="16"/>
        <v>-28534.345848000004</v>
      </c>
      <c r="R52" s="26">
        <f t="shared" si="16"/>
        <v>-3569.8899646080008</v>
      </c>
      <c r="S52" s="26">
        <f t="shared" si="16"/>
        <v>0</v>
      </c>
      <c r="T52" s="26">
        <f t="shared" si="16"/>
        <v>-114137.38339200002</v>
      </c>
      <c r="U52" s="26">
        <f t="shared" si="16"/>
        <v>0</v>
      </c>
      <c r="V52" s="26">
        <f t="shared" si="16"/>
        <v>0</v>
      </c>
      <c r="W52" s="26">
        <f t="shared" si="16"/>
        <v>-22292.805811487</v>
      </c>
      <c r="X52" s="26">
        <f t="shared" si="16"/>
        <v>-67431.880766073067</v>
      </c>
      <c r="Y52" s="26">
        <f t="shared" si="16"/>
        <v>-112754.7634357224</v>
      </c>
      <c r="Z52" s="26">
        <f t="shared" si="16"/>
        <v>-59995.395804529311</v>
      </c>
      <c r="AA52" s="26">
        <f t="shared" si="16"/>
        <v>-76855.833703322409</v>
      </c>
      <c r="AB52" s="26">
        <f t="shared" si="16"/>
        <v>-118477.86592669379</v>
      </c>
      <c r="AC52" s="26">
        <f t="shared" si="16"/>
        <v>-113219.73208432921</v>
      </c>
      <c r="AD52" s="26">
        <f t="shared" si="16"/>
        <v>-125647.43572595478</v>
      </c>
      <c r="AE52" s="26">
        <f t="shared" si="16"/>
        <v>-253462.16763948716</v>
      </c>
      <c r="AF52" s="26">
        <f t="shared" si="16"/>
        <v>-306999.76908998261</v>
      </c>
      <c r="AG52" s="26">
        <f t="shared" si="16"/>
        <v>-292616.83817242511</v>
      </c>
      <c r="AH52" s="26">
        <f t="shared" si="16"/>
        <v>-401955.02455867344</v>
      </c>
      <c r="AI52" s="26">
        <f t="shared" si="16"/>
        <v>-458523.82134680712</v>
      </c>
      <c r="AJ52" s="26">
        <f t="shared" si="16"/>
        <v>-564640.66877847118</v>
      </c>
      <c r="AK52" s="26">
        <f t="shared" si="16"/>
        <v>-408682.25324086082</v>
      </c>
      <c r="AL52" s="26">
        <f t="shared" si="16"/>
        <v>-316584.84981318266</v>
      </c>
      <c r="AM52" s="26">
        <f t="shared" si="16"/>
        <v>-117861.70609775775</v>
      </c>
      <c r="AN52" s="26">
        <f t="shared" ref="AN52:BS52" si="17">SUM(AN2:AN47)</f>
        <v>1201143.5893055624</v>
      </c>
      <c r="AO52" s="26">
        <f t="shared" si="17"/>
        <v>7931.8045522992979</v>
      </c>
      <c r="AP52" s="26">
        <f t="shared" si="17"/>
        <v>8047.9892787146773</v>
      </c>
      <c r="AQ52" s="26">
        <f t="shared" si="17"/>
        <v>8164.5128772487687</v>
      </c>
      <c r="AR52" s="26">
        <f t="shared" si="17"/>
        <v>8281.3763362785849</v>
      </c>
      <c r="AS52" s="26">
        <f t="shared" si="17"/>
        <v>8398.5806470639036</v>
      </c>
      <c r="AT52" s="26">
        <f t="shared" si="17"/>
        <v>8516.1268037556802</v>
      </c>
      <c r="AU52" s="26">
        <f t="shared" si="17"/>
        <v>8634.0158034044725</v>
      </c>
      <c r="AV52" s="26">
        <f t="shared" si="17"/>
        <v>8752.2486459689098</v>
      </c>
      <c r="AW52" s="26">
        <f t="shared" si="17"/>
        <v>8870.8263343241597</v>
      </c>
      <c r="AX52" s="26">
        <f t="shared" si="17"/>
        <v>8989.7498742704447</v>
      </c>
      <c r="AY52" s="26">
        <f t="shared" si="17"/>
        <v>9109.0202745415736</v>
      </c>
      <c r="AZ52" s="26">
        <f t="shared" si="17"/>
        <v>9228.638546813494</v>
      </c>
      <c r="BA52" s="26">
        <f t="shared" si="17"/>
        <v>9348.605705712871</v>
      </c>
      <c r="BB52" s="26">
        <f t="shared" si="17"/>
        <v>9468.9227688257088</v>
      </c>
      <c r="BC52" s="26">
        <f t="shared" si="17"/>
        <v>9589.5907567059567</v>
      </c>
      <c r="BD52" s="26">
        <f t="shared" si="17"/>
        <v>9710.6106928841891</v>
      </c>
      <c r="BE52" s="26">
        <f t="shared" si="17"/>
        <v>9831.9836038762733</v>
      </c>
      <c r="BF52" s="26">
        <f t="shared" si="17"/>
        <v>9953.7105191920855</v>
      </c>
      <c r="BG52" s="26">
        <f t="shared" si="17"/>
        <v>10075.792471344237</v>
      </c>
      <c r="BH52" s="26">
        <f t="shared" si="17"/>
        <v>10198.230495856831</v>
      </c>
      <c r="BI52" s="26">
        <f t="shared" si="17"/>
        <v>10321.025631274253</v>
      </c>
      <c r="BJ52" s="26">
        <f t="shared" si="17"/>
        <v>10444.178919169977</v>
      </c>
      <c r="BK52" s="26">
        <f t="shared" si="17"/>
        <v>10567.691404155397</v>
      </c>
      <c r="BL52" s="26">
        <f t="shared" si="17"/>
        <v>10691.564133888689</v>
      </c>
      <c r="BM52" s="26">
        <f t="shared" si="17"/>
        <v>10815.798159083704</v>
      </c>
      <c r="BN52" s="26">
        <f t="shared" si="17"/>
        <v>10940.394533518873</v>
      </c>
      <c r="BO52" s="26">
        <f t="shared" si="17"/>
        <v>11065.354314046141</v>
      </c>
      <c r="BP52" s="26">
        <f t="shared" si="17"/>
        <v>11190.67856059995</v>
      </c>
      <c r="BQ52" s="26">
        <f t="shared" si="17"/>
        <v>11316.368336206207</v>
      </c>
      <c r="BR52" s="26">
        <f t="shared" si="17"/>
        <v>11442.424706991314</v>
      </c>
      <c r="BS52" s="26">
        <f t="shared" si="17"/>
        <v>11568.848742191212</v>
      </c>
      <c r="BT52" s="26">
        <f t="shared" ref="BT52:CU52" si="18">SUM(BT2:BT47)</f>
        <v>11695.641514160445</v>
      </c>
      <c r="BU52" s="26">
        <f t="shared" si="18"/>
        <v>11822.804098381252</v>
      </c>
      <c r="BV52" s="26">
        <f t="shared" si="18"/>
        <v>11950.337573472703</v>
      </c>
      <c r="BW52" s="26">
        <f t="shared" si="18"/>
        <v>12078.243021199838</v>
      </c>
      <c r="BX52" s="26">
        <f t="shared" si="18"/>
        <v>12206.521526482844</v>
      </c>
      <c r="BY52" s="26">
        <f t="shared" si="18"/>
        <v>12335.174177406259</v>
      </c>
      <c r="BZ52" s="26">
        <f t="shared" si="18"/>
        <v>12464.202065228201</v>
      </c>
      <c r="CA52" s="26">
        <f t="shared" si="18"/>
        <v>12593.606284389625</v>
      </c>
      <c r="CB52" s="26">
        <f t="shared" si="18"/>
        <v>12723.387932523601</v>
      </c>
      <c r="CC52" s="26">
        <f t="shared" si="18"/>
        <v>12853.548110464633</v>
      </c>
      <c r="CD52" s="26">
        <f t="shared" si="18"/>
        <v>12984.087922257995</v>
      </c>
      <c r="CE52" s="26">
        <f t="shared" si="18"/>
        <v>13115.008475169088</v>
      </c>
      <c r="CF52" s="26">
        <f t="shared" si="18"/>
        <v>13246.310879692839</v>
      </c>
      <c r="CG52" s="26">
        <f t="shared" si="18"/>
        <v>13377.996249563115</v>
      </c>
      <c r="CH52" s="26">
        <f t="shared" si="18"/>
        <v>13510.065701762182</v>
      </c>
      <c r="CI52" s="26">
        <f t="shared" si="18"/>
        <v>13642.520356530162</v>
      </c>
      <c r="CJ52" s="26">
        <f t="shared" si="18"/>
        <v>13775.361337374547</v>
      </c>
      <c r="CK52" s="26">
        <f t="shared" si="18"/>
        <v>13908.589771079729</v>
      </c>
      <c r="CL52" s="26">
        <f t="shared" si="18"/>
        <v>14042.206787716552</v>
      </c>
      <c r="CM52" s="26">
        <f t="shared" si="18"/>
        <v>14176.2135206519</v>
      </c>
      <c r="CN52" s="26">
        <f t="shared" si="18"/>
        <v>14310.611106558306</v>
      </c>
      <c r="CO52" s="26">
        <f t="shared" si="18"/>
        <v>14445.400685423609</v>
      </c>
      <c r="CP52" s="26">
        <f t="shared" si="18"/>
        <v>14580.583400560601</v>
      </c>
      <c r="CQ52" s="26">
        <f t="shared" si="18"/>
        <v>14716.160398616743</v>
      </c>
      <c r="CR52" s="26">
        <f t="shared" si="18"/>
        <v>14852.132829583881</v>
      </c>
      <c r="CS52" s="26">
        <f t="shared" si="18"/>
        <v>14988.501846808007</v>
      </c>
      <c r="CT52" s="26">
        <f t="shared" si="18"/>
        <v>15125.268606999038</v>
      </c>
      <c r="CU52" s="26">
        <f t="shared" si="18"/>
        <v>3128866.7985154544</v>
      </c>
    </row>
    <row r="53" spans="1:99" x14ac:dyDescent="0.25">
      <c r="A53" s="11" t="s">
        <v>181</v>
      </c>
      <c r="B53" s="11" t="s">
        <v>185</v>
      </c>
      <c r="C53" s="11" t="s">
        <v>187</v>
      </c>
      <c r="F53" s="27"/>
      <c r="G53" s="46">
        <f>SUM(H52:CU52)</f>
        <v>795443.33535797335</v>
      </c>
      <c r="H53" s="49">
        <f>SUM(H52:R52)</f>
        <v>-265414.0076855488</v>
      </c>
      <c r="I53" s="49"/>
      <c r="J53" s="49"/>
      <c r="K53" s="49"/>
      <c r="L53" s="49"/>
      <c r="M53" s="49"/>
      <c r="N53" s="49"/>
      <c r="O53" s="49"/>
      <c r="P53" s="49"/>
      <c r="Q53" s="49"/>
      <c r="R53" s="50"/>
      <c r="S53" s="51">
        <f>SUM(S52:AD52)</f>
        <v>-810813.09665011207</v>
      </c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50"/>
      <c r="AE53" s="51">
        <f>SUM(AE52:AP52)</f>
        <v>-1904203.7156010719</v>
      </c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50"/>
      <c r="AQ53" s="51">
        <f>SUM(AQ52:BB52)</f>
        <v>105762.62461820857</v>
      </c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50"/>
      <c r="BC53" s="51">
        <f>SUM(BC52:BN52)</f>
        <v>123140.57132095048</v>
      </c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50"/>
      <c r="BO53" s="51">
        <f>SUM(BO52:BZ52)</f>
        <v>141136.59863636637</v>
      </c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50"/>
      <c r="CA53" s="51">
        <f>SUM(CA52:CL52)</f>
        <v>159772.68980852404</v>
      </c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50"/>
      <c r="CM53" s="51">
        <f>SUM(CM52:CU52)</f>
        <v>3246061.6709106565</v>
      </c>
      <c r="CN53" s="49"/>
      <c r="CO53" s="49"/>
      <c r="CP53" s="49"/>
      <c r="CQ53" s="49"/>
      <c r="CR53" s="49"/>
      <c r="CS53" s="49"/>
      <c r="CT53" s="49"/>
      <c r="CU53" s="50"/>
    </row>
    <row r="54" spans="1:99" x14ac:dyDescent="0.25">
      <c r="A54" s="11" t="s">
        <v>181</v>
      </c>
      <c r="B54" s="11" t="s">
        <v>188</v>
      </c>
      <c r="C54" s="11" t="s">
        <v>189</v>
      </c>
      <c r="F54" s="27"/>
      <c r="G54" s="45">
        <v>0.06</v>
      </c>
      <c r="H54" s="29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</row>
    <row r="55" spans="1:99" x14ac:dyDescent="0.25">
      <c r="A55" s="11" t="s">
        <v>181</v>
      </c>
      <c r="B55" s="11" t="s">
        <v>188</v>
      </c>
      <c r="C55" s="11" t="s">
        <v>91</v>
      </c>
      <c r="F55" s="27"/>
      <c r="G55" s="45">
        <f xml:space="preserve"> (1+G54)^(1/12)-1</f>
        <v>4.8675505653430484E-3</v>
      </c>
      <c r="H55" s="29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</row>
    <row r="56" spans="1:99" x14ac:dyDescent="0.25">
      <c r="A56" s="11" t="s">
        <v>181</v>
      </c>
      <c r="B56" s="11" t="s">
        <v>188</v>
      </c>
      <c r="C56" s="11" t="s">
        <v>92</v>
      </c>
      <c r="F56" s="27"/>
      <c r="G56" s="45">
        <v>5.0000000000000001E-4</v>
      </c>
      <c r="H56" s="29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spans="1:99" x14ac:dyDescent="0.25">
      <c r="A57" s="11" t="s">
        <v>181</v>
      </c>
      <c r="B57" s="11" t="s">
        <v>190</v>
      </c>
      <c r="C57" s="11" t="s">
        <v>93</v>
      </c>
      <c r="F57" s="27"/>
      <c r="G57" s="45">
        <f>NPV(G55,Q52:CU52)+SUM(H52:P52)</f>
        <v>-218594.80872620625</v>
      </c>
      <c r="H57" s="33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</row>
    <row r="58" spans="1:99" x14ac:dyDescent="0.25">
      <c r="A58" s="11" t="s">
        <v>181</v>
      </c>
      <c r="B58" s="11" t="s">
        <v>190</v>
      </c>
      <c r="C58" s="11" t="s">
        <v>94</v>
      </c>
      <c r="F58" s="27"/>
      <c r="G58" s="45">
        <f>CU58</f>
        <v>3.0753957729359183E-3</v>
      </c>
      <c r="H58" s="32"/>
      <c r="I58" s="26">
        <f>MIRR(H52:I52,G56,G55)</f>
        <v>-1</v>
      </c>
      <c r="J58" s="26">
        <f>MIRR($H$52:J52,$G$56,$G$55)</f>
        <v>-1</v>
      </c>
      <c r="K58" s="26">
        <f>MIRR($H$52:K52,$G$56,$G$55)</f>
        <v>-1</v>
      </c>
      <c r="L58" s="26">
        <f>MIRR($H$52:L52,$G$56,$G$55)</f>
        <v>-1</v>
      </c>
      <c r="M58" s="26">
        <f>MIRR($H$52:M52,$G$56,$G$55)</f>
        <v>-1</v>
      </c>
      <c r="N58" s="26">
        <f>MIRR($H$52:N52,$G$56,$G$55)</f>
        <v>-1</v>
      </c>
      <c r="O58" s="26">
        <f>MIRR($H$52:O52,$G$56,$G$55)</f>
        <v>-1</v>
      </c>
      <c r="P58" s="26">
        <f>MIRR($H$52:P52,$G$56,$G$55)</f>
        <v>-1</v>
      </c>
      <c r="Q58" s="26">
        <f>MIRR($H$52:Q52,$G$56,$G$55)</f>
        <v>-1</v>
      </c>
      <c r="R58" s="26">
        <f>MIRR($H$52:R52,$G$56,$G$55)</f>
        <v>-1</v>
      </c>
      <c r="S58" s="26">
        <f>MIRR($H$52:S52,$G$56,$G$55)</f>
        <v>-1</v>
      </c>
      <c r="T58" s="26">
        <f>MIRR($H$52:T52,$G$56,$G$55)</f>
        <v>-1</v>
      </c>
      <c r="U58" s="26">
        <f>MIRR($H$52:U52,$G$56,$G$55)</f>
        <v>-1</v>
      </c>
      <c r="V58" s="26">
        <f>MIRR($H$52:V52,$G$56,$G$55)</f>
        <v>-1</v>
      </c>
      <c r="W58" s="26">
        <f>MIRR($H$52:W52,$G$56,$G$55)</f>
        <v>-1</v>
      </c>
      <c r="X58" s="26">
        <f>MIRR($H$52:X52,$G$56,$G$55)</f>
        <v>-1</v>
      </c>
      <c r="Y58" s="26">
        <f>MIRR($H$52:Y52,$G$56,$G$55)</f>
        <v>-1</v>
      </c>
      <c r="Z58" s="26">
        <f>MIRR($H$52:Z52,$G$56,$G$55)</f>
        <v>-1</v>
      </c>
      <c r="AA58" s="26">
        <f>MIRR($H$52:AA52,$G$56,$G$55)</f>
        <v>-1</v>
      </c>
      <c r="AB58" s="26">
        <f>MIRR($H$52:AB52,$G$56,$G$55)</f>
        <v>-1</v>
      </c>
      <c r="AC58" s="26">
        <f>MIRR($H$52:AC52,$G$56,$G$55)</f>
        <v>-1</v>
      </c>
      <c r="AD58" s="26">
        <f>MIRR($H$52:AD52,$G$56,$G$55)</f>
        <v>-1</v>
      </c>
      <c r="AE58" s="26">
        <f>MIRR($H$52:AE52,$G$56,$G$55)</f>
        <v>-1</v>
      </c>
      <c r="AF58" s="26">
        <f>MIRR($H$52:AF52,$G$56,$G$55)</f>
        <v>-1</v>
      </c>
      <c r="AG58" s="26">
        <f>MIRR($H$52:AG52,$G$56,$G$55)</f>
        <v>-1</v>
      </c>
      <c r="AH58" s="26">
        <f>MIRR($H$52:AH52,$G$56,$G$55)</f>
        <v>-1</v>
      </c>
      <c r="AI58" s="26">
        <f>MIRR($H$52:AI52,$G$56,$G$55)</f>
        <v>-1</v>
      </c>
      <c r="AJ58" s="26">
        <f>MIRR($H$52:AJ52,$G$56,$G$55)</f>
        <v>-1</v>
      </c>
      <c r="AK58" s="26">
        <f>MIRR($H$52:AK52,$G$56,$G$55)</f>
        <v>-1</v>
      </c>
      <c r="AL58" s="26">
        <f>MIRR($H$52:AL52,$G$56,$G$55)</f>
        <v>-1</v>
      </c>
      <c r="AM58" s="26">
        <f>MIRR($H$52:AM52,$G$56,$G$55)</f>
        <v>-1</v>
      </c>
      <c r="AN58" s="26">
        <f>MIRR($H$52:AN52,$G$56,$G$55)</f>
        <v>-3.7985949931698904E-2</v>
      </c>
      <c r="AO58" s="26">
        <f>MIRR($H$52:AO52,$G$56,$G$55)</f>
        <v>-3.6523393494851009E-2</v>
      </c>
      <c r="AP58" s="26">
        <f>MIRR($H$52:AP52,$G$56,$G$55)</f>
        <v>-3.5144256764364279E-2</v>
      </c>
      <c r="AQ58" s="26">
        <f>MIRR($H$52:AQ52,$G$56,$G$55)</f>
        <v>-3.38415859487321E-2</v>
      </c>
      <c r="AR58" s="26">
        <f>MIRR($H$52:AR52,$G$56,$G$55)</f>
        <v>-3.2609181904650897E-2</v>
      </c>
      <c r="AS58" s="26">
        <f>MIRR($H$52:AS52,$G$56,$G$55)</f>
        <v>-3.1441500404255751E-2</v>
      </c>
      <c r="AT58" s="26">
        <f>MIRR($H$52:AT52,$G$56,$G$55)</f>
        <v>-3.0333567810354012E-2</v>
      </c>
      <c r="AU58" s="26">
        <f>MIRR($H$52:AU52,$G$56,$G$55)</f>
        <v>-2.9280909452672588E-2</v>
      </c>
      <c r="AV58" s="26">
        <f>MIRR($H$52:AV52,$G$56,$G$55)</f>
        <v>-2.8279488528263563E-2</v>
      </c>
      <c r="AW58" s="26">
        <f>MIRR($H$52:AW52,$G$56,$G$55)</f>
        <v>-2.7325653765352342E-2</v>
      </c>
      <c r="AX58" s="26">
        <f>MIRR($H$52:AX52,$G$56,$G$55)</f>
        <v>-2.6416094418659997E-2</v>
      </c>
      <c r="AY58" s="26">
        <f>MIRR($H$52:AY52,$G$56,$G$55)</f>
        <v>-2.5547801425505834E-2</v>
      </c>
      <c r="AZ58" s="26">
        <f>MIRR($H$52:AZ52,$G$56,$G$55)</f>
        <v>-2.4718033760848579E-2</v>
      </c>
      <c r="BA58" s="26">
        <f>MIRR($H$52:BA52,$G$56,$G$55)</f>
        <v>-2.3924289197271076E-2</v>
      </c>
      <c r="BB58" s="26">
        <f>MIRR($H$52:BB52,$G$56,$G$55)</f>
        <v>-2.3164278811526273E-2</v>
      </c>
      <c r="BC58" s="26">
        <f>MIRR($H$52:BC52,$G$56,$G$55)</f>
        <v>-2.2435904689354524E-2</v>
      </c>
      <c r="BD58" s="26">
        <f>MIRR($H$52:BD52,$G$56,$G$55)</f>
        <v>-2.1737240370099276E-2</v>
      </c>
      <c r="BE58" s="26">
        <f>MIRR($H$52:BE52,$G$56,$G$55)</f>
        <v>-2.1066513646242013E-2</v>
      </c>
      <c r="BF58" s="26">
        <f>MIRR($H$52:BF52,$G$56,$G$55)</f>
        <v>-2.0422091393542674E-2</v>
      </c>
      <c r="BG58" s="26">
        <f>MIRR($H$52:BG52,$G$56,$G$55)</f>
        <v>-1.9802466157529675E-2</v>
      </c>
      <c r="BH58" s="26">
        <f>MIRR($H$52:BH52,$G$56,$G$55)</f>
        <v>-1.9206244263607175E-2</v>
      </c>
      <c r="BI58" s="26">
        <f>MIRR($H$52:BI52,$G$56,$G$55)</f>
        <v>-1.8632135252633075E-2</v>
      </c>
      <c r="BJ58" s="26">
        <f>MIRR($H$52:BJ52,$G$56,$G$55)</f>
        <v>-1.8078942472735005E-2</v>
      </c>
      <c r="BK58" s="26">
        <f>MIRR($H$52:BK52,$G$56,$G$55)</f>
        <v>-1.7545554682374509E-2</v>
      </c>
      <c r="BL58" s="26">
        <f>MIRR($H$52:BL52,$G$56,$G$55)</f>
        <v>-1.7030938540086527E-2</v>
      </c>
      <c r="BM58" s="26">
        <f>MIRR($H$52:BM52,$G$56,$G$55)</f>
        <v>-1.653413187354924E-2</v>
      </c>
      <c r="BN58" s="26">
        <f>MIRR($H$52:BN52,$G$56,$G$55)</f>
        <v>-1.6054237635240831E-2</v>
      </c>
      <c r="BO58" s="26">
        <f>MIRR($H$52:BO52,$G$56,$G$55)</f>
        <v>-1.5590418464339173E-2</v>
      </c>
      <c r="BP58" s="26">
        <f>MIRR($H$52:BP52,$G$56,$G$55)</f>
        <v>-1.5141891785088402E-2</v>
      </c>
      <c r="BQ58" s="26">
        <f>MIRR($H$52:BQ52,$G$56,$G$55)</f>
        <v>-1.4707925380885056E-2</v>
      </c>
      <c r="BR58" s="26">
        <f>MIRR($H$52:BR52,$G$56,$G$55)</f>
        <v>-1.4287833391071536E-2</v>
      </c>
      <c r="BS58" s="26">
        <f>MIRR($H$52:BS52,$G$56,$G$55)</f>
        <v>-1.3880972684070625E-2</v>
      </c>
      <c r="BT58" s="26">
        <f>MIRR($H$52:BT52,$G$56,$G$55)</f>
        <v>-1.3486739566215822E-2</v>
      </c>
      <c r="BU58" s="26">
        <f>MIRR($H$52:BU52,$G$56,$G$55)</f>
        <v>-1.3104566790572147E-2</v>
      </c>
      <c r="BV58" s="26">
        <f>MIRR($H$52:BV52,$G$56,$G$55)</f>
        <v>-1.2733920834319901E-2</v>
      </c>
      <c r="BW58" s="26">
        <f>MIRR($H$52:BW52,$G$56,$G$55)</f>
        <v>-1.2374299416975543E-2</v>
      </c>
      <c r="BX58" s="26">
        <f>MIRR($H$52:BX52,$G$56,$G$55)</f>
        <v>-1.2025229234953416E-2</v>
      </c>
      <c r="BY58" s="26">
        <f>MIRR($H$52:BY52,$G$56,$G$55)</f>
        <v>-1.1686263890772208E-2</v>
      </c>
      <c r="BZ58" s="26">
        <f>MIRR($H$52:BZ52,$G$56,$G$55)</f>
        <v>-1.1356981997668658E-2</v>
      </c>
      <c r="CA58" s="26">
        <f>MIRR($H$52:CA52,$G$56,$G$55)</f>
        <v>-1.1036985442514968E-2</v>
      </c>
      <c r="CB58" s="26">
        <f>MIRR($H$52:CB52,$G$56,$G$55)</f>
        <v>-1.0725897791824979E-2</v>
      </c>
      <c r="CC58" s="26">
        <f>MIRR($H$52:CC52,$G$56,$G$55)</f>
        <v>-1.0423362827274962E-2</v>
      </c>
      <c r="CD58" s="26">
        <f>MIRR($H$52:CD52,$G$56,$G$55)</f>
        <v>-1.0129043198622845E-2</v>
      </c>
      <c r="CE58" s="26">
        <f>MIRR($H$52:CE52,$G$56,$G$55)</f>
        <v>-9.8426191831830767E-3</v>
      </c>
      <c r="CF58" s="26">
        <f>MIRR($H$52:CF52,$G$56,$G$55)</f>
        <v>-9.563787542148483E-3</v>
      </c>
      <c r="CG58" s="26">
        <f>MIRR($H$52:CG52,$G$56,$G$55)</f>
        <v>-9.2922604650433893E-3</v>
      </c>
      <c r="CH58" s="26">
        <f>MIRR($H$52:CH52,$G$56,$G$55)</f>
        <v>-9.0277645944826235E-3</v>
      </c>
      <c r="CI58" s="26">
        <f>MIRR($H$52:CI52,$G$56,$G$55)</f>
        <v>-8.7700401241912473E-3</v>
      </c>
      <c r="CJ58" s="26">
        <f>MIRR($H$52:CJ52,$G$56,$G$55)</f>
        <v>-8.5188399639385404E-3</v>
      </c>
      <c r="CK58" s="26">
        <f>MIRR($H$52:CK52,$G$56,$G$55)</f>
        <v>-8.2739289656618142E-3</v>
      </c>
      <c r="CL58" s="26">
        <f>MIRR($H$52:CL52,$G$56,$G$55)</f>
        <v>-8.0350832056067523E-3</v>
      </c>
      <c r="CM58" s="26">
        <f>MIRR($H$52:CM52,$G$56,$G$55)</f>
        <v>-7.8020893178056827E-3</v>
      </c>
      <c r="CN58" s="26">
        <f>MIRR($H$52:CN52,$G$56,$G$55)</f>
        <v>-7.5747438746569529E-3</v>
      </c>
      <c r="CO58" s="26">
        <f>MIRR($H$52:CO52,$G$56,$G$55)</f>
        <v>-7.352852810762478E-3</v>
      </c>
      <c r="CP58" s="26">
        <f>MIRR($H$52:CP52,$G$56,$G$55)</f>
        <v>-7.1362308865366986E-3</v>
      </c>
      <c r="CQ58" s="26">
        <f>MIRR($H$52:CQ52,$G$56,$G$55)</f>
        <v>-6.9247011884147058E-3</v>
      </c>
      <c r="CR58" s="26">
        <f>MIRR($H$52:CR52,$G$56,$G$55)</f>
        <v>-6.7180946627770632E-3</v>
      </c>
      <c r="CS58" s="26">
        <f>MIRR($H$52:CS52,$G$56,$G$55)</f>
        <v>-6.516249680961872E-3</v>
      </c>
      <c r="CT58" s="26">
        <f>MIRR($H$52:CT52,$G$56,$G$55)</f>
        <v>-6.3190116329693291E-3</v>
      </c>
      <c r="CU58" s="26">
        <f>MIRR($H$52:CU52,$G$56,$G$55)</f>
        <v>3.0753957729359183E-3</v>
      </c>
    </row>
    <row r="59" spans="1:99" x14ac:dyDescent="0.25">
      <c r="F59" s="36"/>
      <c r="G59" s="45"/>
      <c r="H59" s="37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</row>
  </sheetData>
  <mergeCells count="8">
    <mergeCell ref="BO53:BZ53"/>
    <mergeCell ref="CA53:CL53"/>
    <mergeCell ref="CM53:CU53"/>
    <mergeCell ref="H53:R53"/>
    <mergeCell ref="S53:AD53"/>
    <mergeCell ref="AE53:AP53"/>
    <mergeCell ref="AQ53:BB53"/>
    <mergeCell ref="BC53:BN53"/>
  </mergeCells>
  <conditionalFormatting sqref="AG19 AG22 AJ19 AJ22 AM19 AM22 AP19 AP22">
    <cfRule type="cellIs" dxfId="72" priority="6" stopIfTrue="1" operator="equal">
      <formula>#REF!</formula>
    </cfRule>
  </conditionalFormatting>
  <conditionalFormatting sqref="Y19:AF19 Y22:AF22 AH19:AI19 AH22:AI22 AK19:AL19 AK22:AL22 AN19:AO19 AN22:AO22 H33:V39 W33:CU36 W38:BC38 W39:CU39 N24:R24 H23:M24 N23:CU23 H16:W17 Y16:CU16 X17:CU17 H6:W12 Y7:AM7 X8:AM8 X6:AM6 Z9:AM9 AN6:CU9 X9:Y12 Z10:CU12 H2:CU5 H13:CU15 H18:H22 AQ19 H25:CU32 K22:R22 K18:P21 V18:AM18 AQ22:CU22 AW18:CU21 H40:CU47 V20:AM21">
    <cfRule type="cellIs" dxfId="71" priority="8" stopIfTrue="1" operator="equal">
      <formula>#REF!</formula>
    </cfRule>
  </conditionalFormatting>
  <conditionalFormatting sqref="X7 X16 V19:X19 S22:X22 W37:CU37 S24:CU24">
    <cfRule type="cellIs" dxfId="70" priority="7" stopIfTrue="1" operator="equal">
      <formula>#REF!</formula>
    </cfRule>
  </conditionalFormatting>
  <conditionalFormatting sqref="I18:J22">
    <cfRule type="cellIs" dxfId="69" priority="5" stopIfTrue="1" operator="equal">
      <formula>#REF!</formula>
    </cfRule>
  </conditionalFormatting>
  <conditionalFormatting sqref="Q18:U21">
    <cfRule type="cellIs" dxfId="68" priority="4" stopIfTrue="1" operator="equal">
      <formula>#REF!</formula>
    </cfRule>
  </conditionalFormatting>
  <conditionalFormatting sqref="AN18:AQ18">
    <cfRule type="cellIs" dxfId="67" priority="3" stopIfTrue="1" operator="equal">
      <formula>#REF!</formula>
    </cfRule>
  </conditionalFormatting>
  <conditionalFormatting sqref="AN20:AQ21">
    <cfRule type="cellIs" dxfId="66" priority="2" stopIfTrue="1" operator="equal">
      <formula>#REF!</formula>
    </cfRule>
  </conditionalFormatting>
  <conditionalFormatting sqref="AR18:AV21">
    <cfRule type="cellIs" dxfId="65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 E2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8"/>
  <dimension ref="A1:CU59"/>
  <sheetViews>
    <sheetView zoomScale="85" zoomScaleNormal="85" workbookViewId="0">
      <pane xSplit="7" ySplit="1" topLeftCell="H14" activePane="bottomRight" state="frozen"/>
      <selection pane="topRight" activeCell="J1" sqref="J1"/>
      <selection pane="bottomLeft" activeCell="A9" sqref="A9"/>
      <selection pane="bottomRight" activeCell="E25" sqref="E25"/>
    </sheetView>
  </sheetViews>
  <sheetFormatPr baseColWidth="10" defaultColWidth="10.7109375" defaultRowHeight="15" x14ac:dyDescent="0.25"/>
  <cols>
    <col min="1" max="1" width="15.42578125" style="11" bestFit="1" customWidth="1"/>
    <col min="2" max="2" width="27.42578125" style="11" bestFit="1" customWidth="1"/>
    <col min="3" max="3" width="57.85546875" style="11" bestFit="1" customWidth="1"/>
    <col min="4" max="4" width="10.7109375" style="12"/>
    <col min="5" max="5" width="14.28515625" style="11" bestFit="1" customWidth="1"/>
    <col min="6" max="6" width="25.28515625" style="11" bestFit="1" customWidth="1"/>
    <col min="7" max="7" width="18.28515625" style="39" bestFit="1" customWidth="1"/>
    <col min="8" max="10" width="10.7109375" style="39"/>
    <col min="11" max="11" width="11.42578125" style="39" bestFit="1" customWidth="1"/>
    <col min="12" max="15" width="10.7109375" style="39"/>
    <col min="16" max="16" width="11.42578125" style="39" bestFit="1" customWidth="1"/>
    <col min="17" max="17" width="12.5703125" style="39" bestFit="1" customWidth="1"/>
    <col min="18" max="18" width="11.42578125" style="39" bestFit="1" customWidth="1"/>
    <col min="19" max="19" width="10.7109375" style="39"/>
    <col min="20" max="20" width="13.42578125" style="39" bestFit="1" customWidth="1"/>
    <col min="21" max="24" width="10.7109375" style="39"/>
    <col min="25" max="25" width="13" style="39" bestFit="1" customWidth="1"/>
    <col min="26" max="27" width="10.7109375" style="39"/>
    <col min="28" max="39" width="11.42578125" style="39" bestFit="1" customWidth="1"/>
    <col min="40" max="40" width="12.28515625" style="39" bestFit="1" customWidth="1"/>
    <col min="41" max="55" width="10.7109375" style="39"/>
    <col min="56" max="98" width="10.7109375" style="11"/>
    <col min="99" max="99" width="12.28515625" style="11" bestFit="1" customWidth="1"/>
    <col min="100" max="100" width="12.85546875" style="11" bestFit="1" customWidth="1"/>
    <col min="101" max="16384" width="10.7109375" style="11"/>
  </cols>
  <sheetData>
    <row r="1" spans="1:99" x14ac:dyDescent="0.25">
      <c r="A1" s="43" t="s">
        <v>191</v>
      </c>
      <c r="B1" s="43" t="s">
        <v>192</v>
      </c>
      <c r="C1" s="43" t="s">
        <v>193</v>
      </c>
      <c r="D1" s="44" t="s">
        <v>184</v>
      </c>
      <c r="E1" s="16" t="s">
        <v>194</v>
      </c>
      <c r="F1" s="16" t="s">
        <v>195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46</v>
      </c>
      <c r="M1" s="17" t="s">
        <v>47</v>
      </c>
      <c r="N1" s="17" t="s">
        <v>48</v>
      </c>
      <c r="O1" s="17" t="s">
        <v>49</v>
      </c>
      <c r="P1" s="17" t="s">
        <v>50</v>
      </c>
      <c r="Q1" s="17" t="s">
        <v>51</v>
      </c>
      <c r="R1" s="17" t="s">
        <v>52</v>
      </c>
      <c r="S1" s="17" t="s">
        <v>53</v>
      </c>
      <c r="T1" s="17" t="s">
        <v>54</v>
      </c>
      <c r="U1" s="17" t="s">
        <v>55</v>
      </c>
      <c r="V1" s="17" t="s">
        <v>56</v>
      </c>
      <c r="W1" s="17" t="s">
        <v>57</v>
      </c>
      <c r="X1" s="17" t="s">
        <v>58</v>
      </c>
      <c r="Y1" s="17" t="s">
        <v>59</v>
      </c>
      <c r="Z1" s="17" t="s">
        <v>60</v>
      </c>
      <c r="AA1" s="17" t="s">
        <v>61</v>
      </c>
      <c r="AB1" s="17" t="s">
        <v>62</v>
      </c>
      <c r="AC1" s="17" t="s">
        <v>63</v>
      </c>
      <c r="AD1" s="17" t="s">
        <v>64</v>
      </c>
      <c r="AE1" s="17" t="s">
        <v>65</v>
      </c>
      <c r="AF1" s="17" t="s">
        <v>66</v>
      </c>
      <c r="AG1" s="17" t="s">
        <v>67</v>
      </c>
      <c r="AH1" s="17" t="s">
        <v>68</v>
      </c>
      <c r="AI1" s="17" t="s">
        <v>69</v>
      </c>
      <c r="AJ1" s="17" t="s">
        <v>70</v>
      </c>
      <c r="AK1" s="17" t="s">
        <v>71</v>
      </c>
      <c r="AL1" s="17" t="s">
        <v>72</v>
      </c>
      <c r="AM1" s="17" t="s">
        <v>73</v>
      </c>
      <c r="AN1" s="17" t="s">
        <v>74</v>
      </c>
      <c r="AO1" s="17" t="s">
        <v>75</v>
      </c>
      <c r="AP1" s="17" t="s">
        <v>76</v>
      </c>
      <c r="AQ1" s="17" t="s">
        <v>77</v>
      </c>
      <c r="AR1" s="17" t="s">
        <v>78</v>
      </c>
      <c r="AS1" s="17" t="s">
        <v>79</v>
      </c>
      <c r="AT1" s="17" t="s">
        <v>80</v>
      </c>
      <c r="AU1" s="17" t="s">
        <v>81</v>
      </c>
      <c r="AV1" s="17" t="s">
        <v>82</v>
      </c>
      <c r="AW1" s="17" t="s">
        <v>83</v>
      </c>
      <c r="AX1" s="17" t="s">
        <v>84</v>
      </c>
      <c r="AY1" s="17" t="s">
        <v>85</v>
      </c>
      <c r="AZ1" s="17" t="s">
        <v>86</v>
      </c>
      <c r="BA1" s="17" t="s">
        <v>87</v>
      </c>
      <c r="BB1" s="17" t="s">
        <v>88</v>
      </c>
      <c r="BC1" s="17" t="s">
        <v>89</v>
      </c>
      <c r="BD1" s="17" t="s">
        <v>96</v>
      </c>
      <c r="BE1" s="17" t="s">
        <v>97</v>
      </c>
      <c r="BF1" s="17" t="s">
        <v>98</v>
      </c>
      <c r="BG1" s="17" t="s">
        <v>99</v>
      </c>
      <c r="BH1" s="17" t="s">
        <v>100</v>
      </c>
      <c r="BI1" s="17" t="s">
        <v>101</v>
      </c>
      <c r="BJ1" s="17" t="s">
        <v>102</v>
      </c>
      <c r="BK1" s="17" t="s">
        <v>103</v>
      </c>
      <c r="BL1" s="17" t="s">
        <v>104</v>
      </c>
      <c r="BM1" s="17" t="s">
        <v>105</v>
      </c>
      <c r="BN1" s="17" t="s">
        <v>106</v>
      </c>
      <c r="BO1" s="17" t="s">
        <v>107</v>
      </c>
      <c r="BP1" s="17" t="s">
        <v>108</v>
      </c>
      <c r="BQ1" s="17" t="s">
        <v>109</v>
      </c>
      <c r="BR1" s="17" t="s">
        <v>110</v>
      </c>
      <c r="BS1" s="17" t="s">
        <v>111</v>
      </c>
      <c r="BT1" s="17" t="s">
        <v>112</v>
      </c>
      <c r="BU1" s="17" t="s">
        <v>113</v>
      </c>
      <c r="BV1" s="17" t="s">
        <v>114</v>
      </c>
      <c r="BW1" s="17" t="s">
        <v>115</v>
      </c>
      <c r="BX1" s="17" t="s">
        <v>116</v>
      </c>
      <c r="BY1" s="17" t="s">
        <v>117</v>
      </c>
      <c r="BZ1" s="17" t="s">
        <v>118</v>
      </c>
      <c r="CA1" s="17" t="s">
        <v>119</v>
      </c>
      <c r="CB1" s="17" t="s">
        <v>120</v>
      </c>
      <c r="CC1" s="17" t="s">
        <v>121</v>
      </c>
      <c r="CD1" s="17" t="s">
        <v>122</v>
      </c>
      <c r="CE1" s="17" t="s">
        <v>123</v>
      </c>
      <c r="CF1" s="17" t="s">
        <v>124</v>
      </c>
      <c r="CG1" s="17" t="s">
        <v>125</v>
      </c>
      <c r="CH1" s="17" t="s">
        <v>126</v>
      </c>
      <c r="CI1" s="17" t="s">
        <v>127</v>
      </c>
      <c r="CJ1" s="17" t="s">
        <v>128</v>
      </c>
      <c r="CK1" s="17" t="s">
        <v>129</v>
      </c>
      <c r="CL1" s="17" t="s">
        <v>130</v>
      </c>
      <c r="CM1" s="17" t="s">
        <v>131</v>
      </c>
      <c r="CN1" s="17" t="s">
        <v>132</v>
      </c>
      <c r="CO1" s="17" t="s">
        <v>133</v>
      </c>
      <c r="CP1" s="17" t="s">
        <v>134</v>
      </c>
      <c r="CQ1" s="17" t="s">
        <v>135</v>
      </c>
      <c r="CR1" s="17" t="s">
        <v>136</v>
      </c>
      <c r="CS1" s="17" t="s">
        <v>137</v>
      </c>
      <c r="CT1" s="17" t="s">
        <v>138</v>
      </c>
      <c r="CU1" s="17" t="s">
        <v>139</v>
      </c>
    </row>
    <row r="2" spans="1:99" x14ac:dyDescent="0.25">
      <c r="A2" s="11" t="s">
        <v>4</v>
      </c>
      <c r="B2" s="11" t="s">
        <v>159</v>
      </c>
      <c r="C2" s="11" t="s">
        <v>31</v>
      </c>
      <c r="D2" s="40">
        <v>1</v>
      </c>
      <c r="E2" s="18">
        <v>5800</v>
      </c>
      <c r="F2" s="19">
        <f>D2*E2</f>
        <v>5800</v>
      </c>
      <c r="G2" s="20">
        <v>-5800</v>
      </c>
      <c r="H2" s="21">
        <v>0</v>
      </c>
      <c r="I2" s="21">
        <f>G2</f>
        <v>-5800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1">
        <v>0</v>
      </c>
      <c r="AG2" s="21">
        <v>0</v>
      </c>
      <c r="AH2" s="21">
        <v>0</v>
      </c>
      <c r="AI2" s="21">
        <v>0</v>
      </c>
      <c r="AJ2" s="21">
        <v>0</v>
      </c>
      <c r="AK2" s="21">
        <v>0</v>
      </c>
      <c r="AL2" s="21">
        <v>0</v>
      </c>
      <c r="AM2" s="21">
        <v>0</v>
      </c>
      <c r="AN2" s="21">
        <v>0</v>
      </c>
      <c r="AO2" s="21">
        <v>0</v>
      </c>
      <c r="AP2" s="21">
        <v>0</v>
      </c>
      <c r="AQ2" s="21">
        <v>0</v>
      </c>
      <c r="AR2" s="21">
        <v>0</v>
      </c>
      <c r="AS2" s="21">
        <v>0</v>
      </c>
      <c r="AT2" s="21">
        <v>0</v>
      </c>
      <c r="AU2" s="21">
        <v>0</v>
      </c>
      <c r="AV2" s="21">
        <v>0</v>
      </c>
      <c r="AW2" s="21">
        <v>0</v>
      </c>
      <c r="AX2" s="21">
        <v>0</v>
      </c>
      <c r="AY2" s="21">
        <v>0</v>
      </c>
      <c r="AZ2" s="21">
        <v>0</v>
      </c>
      <c r="BA2" s="21">
        <v>0</v>
      </c>
      <c r="BB2" s="21">
        <v>0</v>
      </c>
      <c r="BC2" s="21">
        <v>0</v>
      </c>
      <c r="BD2" s="21">
        <v>0</v>
      </c>
      <c r="BE2" s="21">
        <v>0</v>
      </c>
      <c r="BF2" s="21">
        <v>0</v>
      </c>
      <c r="BG2" s="21">
        <v>0</v>
      </c>
      <c r="BH2" s="21">
        <v>0</v>
      </c>
      <c r="BI2" s="21">
        <v>0</v>
      </c>
      <c r="BJ2" s="21">
        <v>0</v>
      </c>
      <c r="BK2" s="21">
        <v>0</v>
      </c>
      <c r="BL2" s="21">
        <v>0</v>
      </c>
      <c r="BM2" s="21">
        <v>0</v>
      </c>
      <c r="BN2" s="21">
        <v>0</v>
      </c>
      <c r="BO2" s="21">
        <v>0</v>
      </c>
      <c r="BP2" s="21">
        <v>0</v>
      </c>
      <c r="BQ2" s="21">
        <v>0</v>
      </c>
      <c r="BR2" s="21">
        <v>0</v>
      </c>
      <c r="BS2" s="21">
        <v>0</v>
      </c>
      <c r="BT2" s="21">
        <v>0</v>
      </c>
      <c r="BU2" s="21">
        <v>0</v>
      </c>
      <c r="BV2" s="21">
        <v>0</v>
      </c>
      <c r="BW2" s="21">
        <v>0</v>
      </c>
      <c r="BX2" s="21">
        <v>0</v>
      </c>
      <c r="BY2" s="21">
        <v>0</v>
      </c>
      <c r="BZ2" s="21">
        <v>0</v>
      </c>
      <c r="CA2" s="21">
        <v>0</v>
      </c>
      <c r="CB2" s="21">
        <v>0</v>
      </c>
      <c r="CC2" s="21">
        <v>0</v>
      </c>
      <c r="CD2" s="21">
        <v>0</v>
      </c>
      <c r="CE2" s="21">
        <v>0</v>
      </c>
      <c r="CF2" s="21">
        <v>0</v>
      </c>
      <c r="CG2" s="21">
        <v>0</v>
      </c>
      <c r="CH2" s="21">
        <v>0</v>
      </c>
      <c r="CI2" s="21">
        <v>0</v>
      </c>
      <c r="CJ2" s="21">
        <v>0</v>
      </c>
      <c r="CK2" s="21">
        <v>0</v>
      </c>
      <c r="CL2" s="21">
        <v>0</v>
      </c>
      <c r="CM2" s="21">
        <v>0</v>
      </c>
      <c r="CN2" s="21">
        <v>0</v>
      </c>
      <c r="CO2" s="21">
        <v>0</v>
      </c>
      <c r="CP2" s="21">
        <v>0</v>
      </c>
      <c r="CQ2" s="21">
        <v>0</v>
      </c>
      <c r="CR2" s="21">
        <v>0</v>
      </c>
      <c r="CS2" s="21">
        <v>0</v>
      </c>
      <c r="CT2" s="21">
        <v>0</v>
      </c>
      <c r="CU2" s="21">
        <v>0</v>
      </c>
    </row>
    <row r="3" spans="1:99" x14ac:dyDescent="0.25">
      <c r="A3" s="11" t="s">
        <v>4</v>
      </c>
      <c r="B3" s="11" t="s">
        <v>159</v>
      </c>
      <c r="C3" s="11" t="s">
        <v>18</v>
      </c>
      <c r="D3" s="41">
        <v>1</v>
      </c>
      <c r="E3" s="19">
        <v>1200</v>
      </c>
      <c r="F3" s="19">
        <f>D3*E3</f>
        <v>1200</v>
      </c>
      <c r="G3" s="13">
        <v>-1200</v>
      </c>
      <c r="H3" s="14">
        <v>0</v>
      </c>
      <c r="I3" s="14">
        <v>0</v>
      </c>
      <c r="J3" s="14">
        <v>0</v>
      </c>
      <c r="K3" s="14">
        <f>G3</f>
        <v>-1200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14">
        <v>0</v>
      </c>
      <c r="BU3" s="14">
        <v>0</v>
      </c>
      <c r="BV3" s="14">
        <v>0</v>
      </c>
      <c r="BW3" s="14">
        <v>0</v>
      </c>
      <c r="BX3" s="14">
        <v>0</v>
      </c>
      <c r="BY3" s="14">
        <v>0</v>
      </c>
      <c r="BZ3" s="14">
        <v>0</v>
      </c>
      <c r="CA3" s="14">
        <v>0</v>
      </c>
      <c r="CB3" s="14">
        <v>0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H3" s="14">
        <v>0</v>
      </c>
      <c r="CI3" s="14">
        <v>0</v>
      </c>
      <c r="CJ3" s="14">
        <v>0</v>
      </c>
      <c r="CK3" s="14">
        <v>0</v>
      </c>
      <c r="CL3" s="14">
        <v>0</v>
      </c>
      <c r="CM3" s="14">
        <v>0</v>
      </c>
      <c r="CN3" s="14">
        <v>0</v>
      </c>
      <c r="CO3" s="14">
        <v>0</v>
      </c>
      <c r="CP3" s="14">
        <v>0</v>
      </c>
      <c r="CQ3" s="14">
        <v>0</v>
      </c>
      <c r="CR3" s="14">
        <v>0</v>
      </c>
      <c r="CS3" s="14">
        <v>0</v>
      </c>
      <c r="CT3" s="14">
        <v>0</v>
      </c>
      <c r="CU3" s="14">
        <v>0</v>
      </c>
    </row>
    <row r="4" spans="1:99" x14ac:dyDescent="0.25">
      <c r="A4" s="11" t="s">
        <v>4</v>
      </c>
      <c r="B4" s="11" t="s">
        <v>159</v>
      </c>
      <c r="C4" s="11" t="s">
        <v>19</v>
      </c>
      <c r="D4" s="41">
        <v>1</v>
      </c>
      <c r="E4" s="19">
        <v>4500</v>
      </c>
      <c r="F4" s="19">
        <f>E4*D4</f>
        <v>4500</v>
      </c>
      <c r="G4" s="13">
        <v>-4500</v>
      </c>
      <c r="H4" s="14">
        <v>0</v>
      </c>
      <c r="I4" s="14">
        <v>0</v>
      </c>
      <c r="J4" s="14">
        <v>0</v>
      </c>
      <c r="K4" s="14">
        <f>G4</f>
        <v>-4500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14">
        <v>0</v>
      </c>
      <c r="BV4" s="14">
        <v>0</v>
      </c>
      <c r="BW4" s="14">
        <v>0</v>
      </c>
      <c r="BX4" s="14">
        <v>0</v>
      </c>
      <c r="BY4" s="14">
        <v>0</v>
      </c>
      <c r="BZ4" s="14">
        <v>0</v>
      </c>
      <c r="CA4" s="14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  <c r="CN4" s="14">
        <v>0</v>
      </c>
      <c r="CO4" s="14">
        <v>0</v>
      </c>
      <c r="CP4" s="14">
        <v>0</v>
      </c>
      <c r="CQ4" s="14">
        <v>0</v>
      </c>
      <c r="CR4" s="14">
        <v>0</v>
      </c>
      <c r="CS4" s="14">
        <v>0</v>
      </c>
      <c r="CT4" s="14">
        <v>0</v>
      </c>
      <c r="CU4" s="14">
        <v>0</v>
      </c>
    </row>
    <row r="5" spans="1:99" x14ac:dyDescent="0.25">
      <c r="A5" s="11" t="s">
        <v>4</v>
      </c>
      <c r="B5" s="11" t="s">
        <v>159</v>
      </c>
      <c r="C5" s="11" t="s">
        <v>9</v>
      </c>
      <c r="D5" s="41">
        <v>0.21</v>
      </c>
      <c r="E5" s="19">
        <f>F3+F4+F2</f>
        <v>11500</v>
      </c>
      <c r="F5" s="19">
        <f>D5*E5</f>
        <v>2415</v>
      </c>
      <c r="G5" s="13">
        <f>(G2+G3+G4)*0.21</f>
        <v>-2415</v>
      </c>
      <c r="H5" s="14">
        <f>(H2+H3+H4)*0.21</f>
        <v>0</v>
      </c>
      <c r="I5" s="14">
        <f>(I2+I3+I4)*0.21</f>
        <v>-1218</v>
      </c>
      <c r="J5" s="14">
        <v>0</v>
      </c>
      <c r="K5" s="14">
        <f>(K2+K3+K4)*0.21</f>
        <v>-1197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</row>
    <row r="6" spans="1:99" x14ac:dyDescent="0.25">
      <c r="A6" s="11" t="s">
        <v>4</v>
      </c>
      <c r="B6" s="11" t="s">
        <v>160</v>
      </c>
      <c r="C6" s="11" t="s">
        <v>15</v>
      </c>
      <c r="D6" s="12">
        <v>5.6099999999999997E-2</v>
      </c>
      <c r="E6" s="11">
        <f>F16</f>
        <v>96887.7</v>
      </c>
      <c r="F6" s="11">
        <f>E6*D6</f>
        <v>5435.3999699999995</v>
      </c>
      <c r="G6" s="20">
        <f t="shared" ref="G6:G37" si="0">-F6</f>
        <v>-5435.3999699999995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f>G6</f>
        <v>-5435.3999699999995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1">
        <v>0</v>
      </c>
      <c r="BA6" s="21">
        <v>0</v>
      </c>
      <c r="BB6" s="21">
        <v>0</v>
      </c>
      <c r="BC6" s="21">
        <v>0</v>
      </c>
      <c r="BD6" s="21">
        <v>0</v>
      </c>
      <c r="BE6" s="21">
        <v>0</v>
      </c>
      <c r="BF6" s="21">
        <v>0</v>
      </c>
      <c r="BG6" s="21">
        <v>0</v>
      </c>
      <c r="BH6" s="21">
        <v>0</v>
      </c>
      <c r="BI6" s="21">
        <v>0</v>
      </c>
      <c r="BJ6" s="21">
        <v>0</v>
      </c>
      <c r="BK6" s="21">
        <v>0</v>
      </c>
      <c r="BL6" s="21">
        <v>0</v>
      </c>
      <c r="BM6" s="21">
        <v>0</v>
      </c>
      <c r="BN6" s="21">
        <v>0</v>
      </c>
      <c r="BO6" s="21">
        <v>0</v>
      </c>
      <c r="BP6" s="21">
        <v>0</v>
      </c>
      <c r="BQ6" s="21">
        <v>0</v>
      </c>
      <c r="BR6" s="21">
        <v>0</v>
      </c>
      <c r="BS6" s="21">
        <v>0</v>
      </c>
      <c r="BT6" s="21">
        <v>0</v>
      </c>
      <c r="BU6" s="21">
        <v>0</v>
      </c>
      <c r="BV6" s="21">
        <v>0</v>
      </c>
      <c r="BW6" s="21">
        <v>0</v>
      </c>
      <c r="BX6" s="21">
        <v>0</v>
      </c>
      <c r="BY6" s="21">
        <v>0</v>
      </c>
      <c r="BZ6" s="21">
        <v>0</v>
      </c>
      <c r="CA6" s="21">
        <v>0</v>
      </c>
      <c r="CB6" s="21">
        <v>0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0</v>
      </c>
      <c r="CI6" s="21">
        <v>0</v>
      </c>
      <c r="CJ6" s="21">
        <v>0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</row>
    <row r="7" spans="1:99" x14ac:dyDescent="0.25">
      <c r="A7" s="11" t="s">
        <v>4</v>
      </c>
      <c r="B7" s="11" t="s">
        <v>160</v>
      </c>
      <c r="C7" s="11" t="s">
        <v>16</v>
      </c>
      <c r="D7" s="12">
        <v>4.7699999999999999E-2</v>
      </c>
      <c r="E7" s="11">
        <f>F16</f>
        <v>96887.7</v>
      </c>
      <c r="F7" s="11">
        <f>E7*D7</f>
        <v>4621.5432899999996</v>
      </c>
      <c r="G7" s="13">
        <f t="shared" si="0"/>
        <v>-4621.5432899999996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f>G7*0.3</f>
        <v>-1386.4629869999999</v>
      </c>
      <c r="Y7" s="14">
        <f>0.7*G7</f>
        <v>-3235.0803029999997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</row>
    <row r="8" spans="1:99" x14ac:dyDescent="0.25">
      <c r="A8" s="11" t="s">
        <v>4</v>
      </c>
      <c r="B8" s="11" t="s">
        <v>160</v>
      </c>
      <c r="C8" s="11" t="s">
        <v>161</v>
      </c>
      <c r="D8" s="12">
        <v>7.0000000000000001E-3</v>
      </c>
      <c r="E8" s="11">
        <f>F16</f>
        <v>96887.7</v>
      </c>
      <c r="F8" s="11">
        <f t="shared" ref="F8:F19" si="1">D8*E8</f>
        <v>678.21389999999997</v>
      </c>
      <c r="G8" s="13">
        <f t="shared" si="0"/>
        <v>-678.21389999999997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f>G8*0.5</f>
        <v>-339.10694999999998</v>
      </c>
      <c r="Y8" s="14">
        <f>G8*0.5</f>
        <v>-339.10694999999998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</row>
    <row r="9" spans="1:99" x14ac:dyDescent="0.25">
      <c r="A9" s="11" t="s">
        <v>4</v>
      </c>
      <c r="B9" s="11" t="s">
        <v>160</v>
      </c>
      <c r="C9" s="11" t="s">
        <v>13</v>
      </c>
      <c r="D9" s="12">
        <v>5.6099999999999997E-2</v>
      </c>
      <c r="E9" s="11">
        <f>F18+F19</f>
        <v>4098749.1696000001</v>
      </c>
      <c r="F9" s="11">
        <f t="shared" si="1"/>
        <v>229939.82841456</v>
      </c>
      <c r="G9" s="13">
        <f t="shared" si="0"/>
        <v>-229939.82841456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f>G9*0.4</f>
        <v>-91975.931365824013</v>
      </c>
      <c r="N9" s="14">
        <v>0</v>
      </c>
      <c r="O9" s="14">
        <v>0</v>
      </c>
      <c r="P9" s="14">
        <f>G9*0.6</f>
        <v>-137963.89704873599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</row>
    <row r="10" spans="1:99" x14ac:dyDescent="0.25">
      <c r="A10" s="11" t="s">
        <v>4</v>
      </c>
      <c r="B10" s="11" t="s">
        <v>160</v>
      </c>
      <c r="C10" s="11" t="s">
        <v>14</v>
      </c>
      <c r="D10" s="12">
        <v>4.7699999999999999E-2</v>
      </c>
      <c r="E10" s="11">
        <f>F18+F19</f>
        <v>4098749.1696000001</v>
      </c>
      <c r="F10" s="11">
        <f t="shared" si="1"/>
        <v>195510.33538992002</v>
      </c>
      <c r="G10" s="13">
        <f t="shared" si="0"/>
        <v>-195510.33538992002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f>$G10/14</f>
        <v>-13965.023956422858</v>
      </c>
      <c r="AA10" s="14">
        <f t="shared" ref="AA10:AM10" si="2">$G10/14</f>
        <v>-13965.023956422858</v>
      </c>
      <c r="AB10" s="14">
        <f t="shared" si="2"/>
        <v>-13965.023956422858</v>
      </c>
      <c r="AC10" s="14">
        <f t="shared" si="2"/>
        <v>-13965.023956422858</v>
      </c>
      <c r="AD10" s="14">
        <f t="shared" si="2"/>
        <v>-13965.023956422858</v>
      </c>
      <c r="AE10" s="14">
        <f t="shared" si="2"/>
        <v>-13965.023956422858</v>
      </c>
      <c r="AF10" s="14">
        <f t="shared" si="2"/>
        <v>-13965.023956422858</v>
      </c>
      <c r="AG10" s="14">
        <f t="shared" si="2"/>
        <v>-13965.023956422858</v>
      </c>
      <c r="AH10" s="14">
        <f t="shared" si="2"/>
        <v>-13965.023956422858</v>
      </c>
      <c r="AI10" s="14">
        <f t="shared" si="2"/>
        <v>-13965.023956422858</v>
      </c>
      <c r="AJ10" s="14">
        <f t="shared" si="2"/>
        <v>-13965.023956422858</v>
      </c>
      <c r="AK10" s="14">
        <f t="shared" si="2"/>
        <v>-13965.023956422858</v>
      </c>
      <c r="AL10" s="14">
        <f t="shared" si="2"/>
        <v>-13965.023956422858</v>
      </c>
      <c r="AM10" s="14">
        <f t="shared" si="2"/>
        <v>-13965.023956422858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</row>
    <row r="11" spans="1:99" x14ac:dyDescent="0.25">
      <c r="A11" s="11" t="s">
        <v>4</v>
      </c>
      <c r="B11" s="11" t="s">
        <v>160</v>
      </c>
      <c r="C11" s="11" t="s">
        <v>162</v>
      </c>
      <c r="D11" s="12">
        <v>7.0000000000000001E-3</v>
      </c>
      <c r="E11" s="11">
        <f>F18+F19</f>
        <v>4098749.1696000001</v>
      </c>
      <c r="F11" s="11">
        <f t="shared" si="1"/>
        <v>28691.244187200002</v>
      </c>
      <c r="G11" s="13">
        <f t="shared" si="0"/>
        <v>-28691.244187200002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f>$G$11/14</f>
        <v>-2049.3745848000003</v>
      </c>
      <c r="AA11" s="14">
        <f t="shared" ref="AA11:AM11" si="3">$G$11/14</f>
        <v>-2049.3745848000003</v>
      </c>
      <c r="AB11" s="14">
        <f t="shared" si="3"/>
        <v>-2049.3745848000003</v>
      </c>
      <c r="AC11" s="14">
        <f t="shared" si="3"/>
        <v>-2049.3745848000003</v>
      </c>
      <c r="AD11" s="14">
        <f t="shared" si="3"/>
        <v>-2049.3745848000003</v>
      </c>
      <c r="AE11" s="14">
        <f t="shared" si="3"/>
        <v>-2049.3745848000003</v>
      </c>
      <c r="AF11" s="14">
        <f t="shared" si="3"/>
        <v>-2049.3745848000003</v>
      </c>
      <c r="AG11" s="14">
        <f t="shared" si="3"/>
        <v>-2049.3745848000003</v>
      </c>
      <c r="AH11" s="14">
        <f t="shared" si="3"/>
        <v>-2049.3745848000003</v>
      </c>
      <c r="AI11" s="14">
        <f t="shared" si="3"/>
        <v>-2049.3745848000003</v>
      </c>
      <c r="AJ11" s="14">
        <f t="shared" si="3"/>
        <v>-2049.3745848000003</v>
      </c>
      <c r="AK11" s="14">
        <f t="shared" si="3"/>
        <v>-2049.3745848000003</v>
      </c>
      <c r="AL11" s="14">
        <f t="shared" si="3"/>
        <v>-2049.3745848000003</v>
      </c>
      <c r="AM11" s="14">
        <f t="shared" si="3"/>
        <v>-2049.3745848000003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</row>
    <row r="12" spans="1:99" x14ac:dyDescent="0.25">
      <c r="A12" s="11" t="s">
        <v>4</v>
      </c>
      <c r="B12" s="11" t="s">
        <v>160</v>
      </c>
      <c r="C12" s="11" t="s">
        <v>140</v>
      </c>
      <c r="D12" s="12">
        <v>0.02</v>
      </c>
      <c r="E12" s="11">
        <f>F19+F18+F16</f>
        <v>4195636.8695999999</v>
      </c>
      <c r="F12" s="11">
        <f t="shared" si="1"/>
        <v>83912.737391999995</v>
      </c>
      <c r="G12" s="13">
        <f t="shared" si="0"/>
        <v>-83912.737391999995</v>
      </c>
      <c r="H12" s="14">
        <v>0</v>
      </c>
      <c r="I12" s="14">
        <v>0</v>
      </c>
      <c r="J12" s="14">
        <v>0</v>
      </c>
      <c r="K12" s="14">
        <f>G12*0.05</f>
        <v>-4195.6368696</v>
      </c>
      <c r="L12" s="14">
        <v>0</v>
      </c>
      <c r="M12" s="14">
        <v>0</v>
      </c>
      <c r="N12" s="14">
        <v>0</v>
      </c>
      <c r="O12" s="14">
        <v>0</v>
      </c>
      <c r="P12" s="14">
        <f>G12*0.15</f>
        <v>-12586.910608799999</v>
      </c>
      <c r="Q12" s="14">
        <v>0</v>
      </c>
      <c r="R12" s="14">
        <f>G12*0.05</f>
        <v>-4195.6368696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f t="shared" ref="X12:AL12" si="4">$G$12*0.04</f>
        <v>-3356.5094956799999</v>
      </c>
      <c r="Y12" s="14">
        <f t="shared" si="4"/>
        <v>-3356.5094956799999</v>
      </c>
      <c r="Z12" s="14">
        <f t="shared" si="4"/>
        <v>-3356.5094956799999</v>
      </c>
      <c r="AA12" s="14">
        <f t="shared" si="4"/>
        <v>-3356.5094956799999</v>
      </c>
      <c r="AB12" s="14">
        <f t="shared" si="4"/>
        <v>-3356.5094956799999</v>
      </c>
      <c r="AC12" s="14">
        <f t="shared" si="4"/>
        <v>-3356.5094956799999</v>
      </c>
      <c r="AD12" s="14">
        <f t="shared" si="4"/>
        <v>-3356.5094956799999</v>
      </c>
      <c r="AE12" s="14">
        <f t="shared" si="4"/>
        <v>-3356.5094956799999</v>
      </c>
      <c r="AF12" s="14">
        <f t="shared" si="4"/>
        <v>-3356.5094956799999</v>
      </c>
      <c r="AG12" s="14">
        <f t="shared" si="4"/>
        <v>-3356.5094956799999</v>
      </c>
      <c r="AH12" s="14">
        <f t="shared" si="4"/>
        <v>-3356.5094956799999</v>
      </c>
      <c r="AI12" s="14">
        <f t="shared" si="4"/>
        <v>-3356.5094956799999</v>
      </c>
      <c r="AJ12" s="14">
        <f t="shared" si="4"/>
        <v>-3356.5094956799999</v>
      </c>
      <c r="AK12" s="14">
        <f t="shared" si="4"/>
        <v>-3356.5094956799999</v>
      </c>
      <c r="AL12" s="14">
        <f t="shared" si="4"/>
        <v>-3356.5094956799999</v>
      </c>
      <c r="AM12" s="14">
        <f>$G$12*0.04</f>
        <v>-3356.5094956799999</v>
      </c>
      <c r="AN12" s="14">
        <f>G12*0.11</f>
        <v>-9230.4011131200004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</row>
    <row r="13" spans="1:99" x14ac:dyDescent="0.25">
      <c r="A13" s="11" t="s">
        <v>4</v>
      </c>
      <c r="B13" s="11" t="s">
        <v>160</v>
      </c>
      <c r="C13" s="11" t="s">
        <v>163</v>
      </c>
      <c r="D13" s="12">
        <v>0.21</v>
      </c>
      <c r="E13" s="11">
        <f>F6+F7+F8</f>
        <v>10735.157160000001</v>
      </c>
      <c r="F13" s="11">
        <f t="shared" si="1"/>
        <v>2254.3830035999999</v>
      </c>
      <c r="G13" s="13">
        <f t="shared" si="0"/>
        <v>-2254.3830035999999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f>SUM(M6:M8)*0.21</f>
        <v>-1141.4339936999997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f>(X7+X8)*0.21</f>
        <v>-362.36968676999993</v>
      </c>
      <c r="Y13" s="14">
        <f>(Y7+Y8)*0.21</f>
        <v>-750.57932312999992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</row>
    <row r="14" spans="1:99" x14ac:dyDescent="0.25">
      <c r="A14" s="11" t="s">
        <v>4</v>
      </c>
      <c r="B14" s="11" t="s">
        <v>160</v>
      </c>
      <c r="C14" s="11" t="s">
        <v>164</v>
      </c>
      <c r="D14" s="12">
        <v>0.21</v>
      </c>
      <c r="E14" s="11">
        <f>F9+F10+F11+F12</f>
        <v>538054.14538368001</v>
      </c>
      <c r="F14" s="11">
        <f t="shared" si="1"/>
        <v>112991.37053057279</v>
      </c>
      <c r="G14" s="13">
        <f t="shared" si="0"/>
        <v>-112991.37053057279</v>
      </c>
      <c r="H14" s="14">
        <v>0</v>
      </c>
      <c r="I14" s="14">
        <v>0</v>
      </c>
      <c r="J14" s="14">
        <v>0</v>
      </c>
      <c r="K14" s="14">
        <f>SUM(K9:K12)*0.21</f>
        <v>-881.08374261599999</v>
      </c>
      <c r="L14" s="14">
        <v>0</v>
      </c>
      <c r="M14" s="14">
        <f>SUM(M9:M12)*0.21</f>
        <v>-19314.945586823043</v>
      </c>
      <c r="N14" s="14">
        <v>0</v>
      </c>
      <c r="O14" s="14">
        <v>0</v>
      </c>
      <c r="P14" s="14">
        <f>SUM(P9:P12)*0.21</f>
        <v>-31615.66960808256</v>
      </c>
      <c r="Q14" s="14">
        <v>0</v>
      </c>
      <c r="R14" s="14">
        <f>SUM(R9:R12)*0.21</f>
        <v>-881.08374261599999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f t="shared" ref="X14:AN14" si="5">SUM(X9:X12)*0.21</f>
        <v>-704.86699409279993</v>
      </c>
      <c r="Y14" s="14">
        <f t="shared" si="5"/>
        <v>-704.86699409279993</v>
      </c>
      <c r="Z14" s="14">
        <f t="shared" si="5"/>
        <v>-4067.8906877495997</v>
      </c>
      <c r="AA14" s="14">
        <f t="shared" si="5"/>
        <v>-4067.8906877495997</v>
      </c>
      <c r="AB14" s="14">
        <f t="shared" si="5"/>
        <v>-4067.8906877495997</v>
      </c>
      <c r="AC14" s="14">
        <f t="shared" si="5"/>
        <v>-4067.8906877495997</v>
      </c>
      <c r="AD14" s="14">
        <f t="shared" si="5"/>
        <v>-4067.8906877495997</v>
      </c>
      <c r="AE14" s="14">
        <f t="shared" si="5"/>
        <v>-4067.8906877495997</v>
      </c>
      <c r="AF14" s="14">
        <f t="shared" si="5"/>
        <v>-4067.8906877495997</v>
      </c>
      <c r="AG14" s="14">
        <f t="shared" si="5"/>
        <v>-4067.8906877495997</v>
      </c>
      <c r="AH14" s="14">
        <f t="shared" si="5"/>
        <v>-4067.8906877495997</v>
      </c>
      <c r="AI14" s="14">
        <f t="shared" si="5"/>
        <v>-4067.8906877495997</v>
      </c>
      <c r="AJ14" s="14">
        <f t="shared" si="5"/>
        <v>-4067.8906877495997</v>
      </c>
      <c r="AK14" s="14">
        <f t="shared" si="5"/>
        <v>-4067.8906877495997</v>
      </c>
      <c r="AL14" s="14">
        <f t="shared" si="5"/>
        <v>-4067.8906877495997</v>
      </c>
      <c r="AM14" s="14">
        <f t="shared" si="5"/>
        <v>-4067.8906877495997</v>
      </c>
      <c r="AN14" s="14">
        <f t="shared" si="5"/>
        <v>-1938.3842337552001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</row>
    <row r="15" spans="1:99" x14ac:dyDescent="0.25">
      <c r="A15" s="11" t="s">
        <v>4</v>
      </c>
      <c r="B15" s="11" t="s">
        <v>160</v>
      </c>
      <c r="C15" s="11" t="s">
        <v>20</v>
      </c>
      <c r="D15" s="12">
        <v>3.0000000000000001E-3</v>
      </c>
      <c r="E15" s="11">
        <f>F18+F19</f>
        <v>4098749.1696000001</v>
      </c>
      <c r="F15" s="11">
        <f t="shared" si="1"/>
        <v>12296.247508800001</v>
      </c>
      <c r="G15" s="13">
        <f t="shared" si="0"/>
        <v>-12296.247508800001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f>$G$15/14</f>
        <v>-878.30339348571431</v>
      </c>
      <c r="AA15" s="14">
        <f t="shared" ref="AA15:AM15" si="6">$G$15/14</f>
        <v>-878.30339348571431</v>
      </c>
      <c r="AB15" s="14">
        <f t="shared" si="6"/>
        <v>-878.30339348571431</v>
      </c>
      <c r="AC15" s="14">
        <f t="shared" si="6"/>
        <v>-878.30339348571431</v>
      </c>
      <c r="AD15" s="14">
        <f t="shared" si="6"/>
        <v>-878.30339348571431</v>
      </c>
      <c r="AE15" s="14">
        <f t="shared" si="6"/>
        <v>-878.30339348571431</v>
      </c>
      <c r="AF15" s="14">
        <f t="shared" si="6"/>
        <v>-878.30339348571431</v>
      </c>
      <c r="AG15" s="14">
        <f t="shared" si="6"/>
        <v>-878.30339348571431</v>
      </c>
      <c r="AH15" s="14">
        <f t="shared" si="6"/>
        <v>-878.30339348571431</v>
      </c>
      <c r="AI15" s="14">
        <f t="shared" si="6"/>
        <v>-878.30339348571431</v>
      </c>
      <c r="AJ15" s="14">
        <f t="shared" si="6"/>
        <v>-878.30339348571431</v>
      </c>
      <c r="AK15" s="14">
        <f t="shared" si="6"/>
        <v>-878.30339348571431</v>
      </c>
      <c r="AL15" s="14">
        <f t="shared" si="6"/>
        <v>-878.30339348571431</v>
      </c>
      <c r="AM15" s="14">
        <f t="shared" si="6"/>
        <v>-878.30339348571431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</row>
    <row r="16" spans="1:99" x14ac:dyDescent="0.25">
      <c r="A16" s="11" t="s">
        <v>4</v>
      </c>
      <c r="B16" s="11" t="s">
        <v>165</v>
      </c>
      <c r="C16" s="11" t="s">
        <v>8</v>
      </c>
      <c r="D16" s="12">
        <f>(98.3*7*3)+(59.1*7*3)+(62.3*7*3)</f>
        <v>4613.7</v>
      </c>
      <c r="E16" s="11">
        <v>21</v>
      </c>
      <c r="F16" s="11">
        <f t="shared" si="1"/>
        <v>96887.7</v>
      </c>
      <c r="G16" s="13">
        <f t="shared" si="0"/>
        <v>-96887.7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f>G16*0.4</f>
        <v>-38755.08</v>
      </c>
      <c r="Y16" s="14">
        <f>G16*0.6</f>
        <v>-58132.619999999995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</row>
    <row r="17" spans="1:99" x14ac:dyDescent="0.25">
      <c r="A17" s="11" t="s">
        <v>4</v>
      </c>
      <c r="B17" s="11" t="s">
        <v>165</v>
      </c>
      <c r="C17" s="11" t="s">
        <v>12</v>
      </c>
      <c r="D17" s="41">
        <v>575</v>
      </c>
      <c r="E17" s="11">
        <v>5.75</v>
      </c>
      <c r="F17" s="11">
        <f t="shared" si="1"/>
        <v>3306.25</v>
      </c>
      <c r="G17" s="13">
        <f t="shared" si="0"/>
        <v>-3306.25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f>G17*0.4</f>
        <v>-1322.5</v>
      </c>
      <c r="Y17" s="14">
        <f>G17*0.6</f>
        <v>-1983.75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</row>
    <row r="18" spans="1:99" x14ac:dyDescent="0.25">
      <c r="A18" s="11" t="s">
        <v>4</v>
      </c>
      <c r="B18" s="11" t="s">
        <v>165</v>
      </c>
      <c r="C18" s="11" t="s">
        <v>2</v>
      </c>
      <c r="D18" s="12">
        <f>44*65*1.2</f>
        <v>3432</v>
      </c>
      <c r="E18" s="11">
        <v>725.70780000000002</v>
      </c>
      <c r="F18" s="11">
        <f t="shared" si="1"/>
        <v>2490629.1696000001</v>
      </c>
      <c r="G18" s="13">
        <f t="shared" si="0"/>
        <v>-2490629.1696000001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f>'evolucion certificaciones nuevo'!J33</f>
        <v>-74718.875088000001</v>
      </c>
      <c r="AF18" s="14">
        <f>'evolucion certificaciones nuevo'!K33</f>
        <v>-99625.166784000001</v>
      </c>
      <c r="AG18" s="14">
        <f>'evolucion certificaciones nuevo'!L33</f>
        <v>-231628.51277280002</v>
      </c>
      <c r="AH18" s="14">
        <f>'evolucion certificaciones nuevo'!M33</f>
        <v>-261516.06280800002</v>
      </c>
      <c r="AI18" s="14">
        <f>'evolucion certificaciones nuevo'!N33</f>
        <v>-410953.81298400002</v>
      </c>
      <c r="AJ18" s="14">
        <f>'evolucion certificaciones nuevo'!O33</f>
        <v>-510578.97976800002</v>
      </c>
      <c r="AK18" s="14">
        <f>'evolucion certificaciones nuevo'!P33</f>
        <v>-518050.86727679998</v>
      </c>
      <c r="AL18" s="14">
        <f>'evolucion certificaciones nuevo'!Q33</f>
        <v>-204231.59190720003</v>
      </c>
      <c r="AM18" s="14">
        <f>'evolucion certificaciones nuevo'!R33</f>
        <v>-179325.3002112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</row>
    <row r="19" spans="1:99" x14ac:dyDescent="0.25">
      <c r="A19" s="11" t="s">
        <v>4</v>
      </c>
      <c r="B19" s="11" t="s">
        <v>165</v>
      </c>
      <c r="C19" s="11" t="s">
        <v>40</v>
      </c>
      <c r="D19" s="12">
        <v>1</v>
      </c>
      <c r="E19" s="11">
        <v>1608120</v>
      </c>
      <c r="F19" s="11">
        <f t="shared" si="1"/>
        <v>1608120</v>
      </c>
      <c r="G19" s="13">
        <f t="shared" si="0"/>
        <v>-1608120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f>'evolucion certificaciones nuevo'!E35</f>
        <v>-9648.7199999999993</v>
      </c>
      <c r="AA19" s="14">
        <f>'evolucion certificaciones nuevo'!F35</f>
        <v>-25729.920000000002</v>
      </c>
      <c r="AB19" s="14">
        <f>'evolucion certificaciones nuevo'!G35</f>
        <v>-64324.800000000003</v>
      </c>
      <c r="AC19" s="14">
        <f>'evolucion certificaciones nuevo'!H35</f>
        <v>-60304.5</v>
      </c>
      <c r="AD19" s="14">
        <f>'evolucion certificaciones nuevo'!I35</f>
        <v>-72365.399999999994</v>
      </c>
      <c r="AE19" s="14">
        <f>'evolucion certificaciones nuevo'!J35</f>
        <v>-151967.34</v>
      </c>
      <c r="AF19" s="14">
        <f>'evolucion certificaciones nuevo'!K35</f>
        <v>-188954.09999999998</v>
      </c>
      <c r="AG19" s="14">
        <f>'evolucion certificaciones nuevo'!L35</f>
        <v>-128649.60000000001</v>
      </c>
      <c r="AH19" s="14">
        <f>'evolucion certificaciones nuevo'!M35</f>
        <v>-213879.96000000002</v>
      </c>
      <c r="AI19" s="14">
        <f>'evolucion certificaciones nuevo'!N35</f>
        <v>-191366.28</v>
      </c>
      <c r="AJ19" s="14">
        <f>'evolucion certificaciones nuevo'!O35</f>
        <v>-238805.81999999998</v>
      </c>
      <c r="AK19" s="14">
        <f>'evolucion certificaciones nuevo'!P35</f>
        <v>-94075.02</v>
      </c>
      <c r="AL19" s="14">
        <f>'evolucion certificaciones nuevo'!Q35</f>
        <v>-168048.53999999998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</row>
    <row r="20" spans="1:99" x14ac:dyDescent="0.25">
      <c r="A20" s="11" t="s">
        <v>4</v>
      </c>
      <c r="B20" s="11" t="s">
        <v>165</v>
      </c>
      <c r="C20" s="11" t="s">
        <v>11</v>
      </c>
      <c r="D20" s="12">
        <v>0.21</v>
      </c>
      <c r="E20" s="11">
        <f>F16</f>
        <v>96887.7</v>
      </c>
      <c r="F20" s="11">
        <f>E20*D20</f>
        <v>20346.416999999998</v>
      </c>
      <c r="G20" s="13">
        <f t="shared" si="0"/>
        <v>-20346.416999999998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f>X16*0.21</f>
        <v>-8138.5668000000005</v>
      </c>
      <c r="Y20" s="14">
        <f>Y16*0.21</f>
        <v>-12207.850199999999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</row>
    <row r="21" spans="1:99" x14ac:dyDescent="0.25">
      <c r="A21" s="11" t="s">
        <v>4</v>
      </c>
      <c r="B21" s="11" t="s">
        <v>165</v>
      </c>
      <c r="C21" s="11" t="s">
        <v>10</v>
      </c>
      <c r="D21" s="12">
        <v>0.1</v>
      </c>
      <c r="E21" s="11">
        <f>F18+F19</f>
        <v>4098749.1696000001</v>
      </c>
      <c r="F21" s="11">
        <f>E21*D21</f>
        <v>409874.91696000006</v>
      </c>
      <c r="G21" s="13">
        <f t="shared" si="0"/>
        <v>-409874.91696000006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f t="shared" ref="Z21:AM21" si="7">(Z18+Z19)*0.1</f>
        <v>-964.87199999999996</v>
      </c>
      <c r="AA21" s="14">
        <f t="shared" si="7"/>
        <v>-2572.9920000000002</v>
      </c>
      <c r="AB21" s="14">
        <f t="shared" si="7"/>
        <v>-6432.4800000000005</v>
      </c>
      <c r="AC21" s="14">
        <f t="shared" si="7"/>
        <v>-6030.4500000000007</v>
      </c>
      <c r="AD21" s="14">
        <f t="shared" si="7"/>
        <v>-7236.54</v>
      </c>
      <c r="AE21" s="14">
        <f t="shared" si="7"/>
        <v>-22668.621508800003</v>
      </c>
      <c r="AF21" s="14">
        <f t="shared" si="7"/>
        <v>-28857.926678399999</v>
      </c>
      <c r="AG21" s="14">
        <f t="shared" si="7"/>
        <v>-36027.811277280001</v>
      </c>
      <c r="AH21" s="14">
        <f t="shared" si="7"/>
        <v>-47539.602280800005</v>
      </c>
      <c r="AI21" s="14">
        <f t="shared" si="7"/>
        <v>-60232.0092984</v>
      </c>
      <c r="AJ21" s="14">
        <f t="shared" si="7"/>
        <v>-74938.479976800008</v>
      </c>
      <c r="AK21" s="14">
        <f t="shared" si="7"/>
        <v>-61212.588727680006</v>
      </c>
      <c r="AL21" s="14">
        <f t="shared" si="7"/>
        <v>-37228.013190719998</v>
      </c>
      <c r="AM21" s="14">
        <f t="shared" si="7"/>
        <v>-17932.530021120001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</row>
    <row r="22" spans="1:99" x14ac:dyDescent="0.25">
      <c r="A22" s="11" t="s">
        <v>4</v>
      </c>
      <c r="B22" s="11" t="s">
        <v>165</v>
      </c>
      <c r="C22" s="11" t="s">
        <v>21</v>
      </c>
      <c r="D22" s="12">
        <v>1</v>
      </c>
      <c r="E22" s="11">
        <v>700</v>
      </c>
      <c r="F22" s="11">
        <f t="shared" ref="F22:F37" si="8">D22*E22</f>
        <v>700</v>
      </c>
      <c r="G22" s="13">
        <f t="shared" si="0"/>
        <v>-700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f>G22</f>
        <v>-700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</row>
    <row r="23" spans="1:99" x14ac:dyDescent="0.25">
      <c r="A23" s="11" t="s">
        <v>4</v>
      </c>
      <c r="B23" s="11" t="s">
        <v>0</v>
      </c>
      <c r="C23" s="11" t="s">
        <v>7</v>
      </c>
      <c r="D23" s="12">
        <f>5%</f>
        <v>0.05</v>
      </c>
      <c r="E23" s="11">
        <f>(F18+F19)</f>
        <v>4098749.1696000001</v>
      </c>
      <c r="F23" s="11">
        <f t="shared" si="8"/>
        <v>204937.45848000003</v>
      </c>
      <c r="G23" s="20">
        <f t="shared" si="0"/>
        <v>-204937.45848000003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f>G23*0.2</f>
        <v>-40987.491696000012</v>
      </c>
      <c r="R23" s="21">
        <v>0</v>
      </c>
      <c r="S23" s="21">
        <v>0</v>
      </c>
      <c r="T23" s="21">
        <f>G23*0.8</f>
        <v>-163949.96678400005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</row>
    <row r="24" spans="1:99" x14ac:dyDescent="0.25">
      <c r="A24" s="11" t="s">
        <v>4</v>
      </c>
      <c r="B24" s="11" t="s">
        <v>0</v>
      </c>
      <c r="C24" s="11" t="s">
        <v>6</v>
      </c>
      <c r="D24" s="12">
        <f>5%</f>
        <v>0.05</v>
      </c>
      <c r="E24" s="11">
        <f>F16</f>
        <v>96887.7</v>
      </c>
      <c r="F24" s="11">
        <f t="shared" si="8"/>
        <v>4844.3850000000002</v>
      </c>
      <c r="G24" s="13">
        <f t="shared" si="0"/>
        <v>-4844.3850000000002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f>G24*0.2</f>
        <v>-968.87700000000007</v>
      </c>
      <c r="O24" s="14">
        <v>0</v>
      </c>
      <c r="P24" s="14">
        <f>G24*0.8</f>
        <v>-3875.5080000000003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</row>
    <row r="25" spans="1:99" x14ac:dyDescent="0.25">
      <c r="A25" s="11" t="s">
        <v>4</v>
      </c>
      <c r="B25" s="11" t="s">
        <v>0</v>
      </c>
      <c r="C25" s="11" t="s">
        <v>166</v>
      </c>
      <c r="D25" s="12">
        <v>2.9999999999999997E-4</v>
      </c>
      <c r="E25" s="11">
        <f>F18</f>
        <v>2490629.1696000001</v>
      </c>
      <c r="F25" s="11">
        <f t="shared" si="8"/>
        <v>747.18875087999993</v>
      </c>
      <c r="G25" s="13">
        <f t="shared" si="0"/>
        <v>-747.18875087999993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f>G25</f>
        <v>-747.18875087999993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</row>
    <row r="26" spans="1:99" x14ac:dyDescent="0.25">
      <c r="A26" s="11" t="s">
        <v>4</v>
      </c>
      <c r="B26" s="11" t="s">
        <v>0</v>
      </c>
      <c r="C26" s="11" t="s">
        <v>167</v>
      </c>
      <c r="D26" s="12">
        <v>2.0000000000000001E-4</v>
      </c>
      <c r="E26" s="11">
        <f>F18</f>
        <v>2490629.1696000001</v>
      </c>
      <c r="F26" s="11">
        <f t="shared" si="8"/>
        <v>498.12583392000005</v>
      </c>
      <c r="G26" s="13">
        <f t="shared" si="0"/>
        <v>-498.12583392000005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f>G26</f>
        <v>-498.12583392000005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</row>
    <row r="27" spans="1:99" x14ac:dyDescent="0.25">
      <c r="A27" s="11" t="s">
        <v>4</v>
      </c>
      <c r="B27" s="11" t="s">
        <v>0</v>
      </c>
      <c r="C27" s="11" t="s">
        <v>168</v>
      </c>
      <c r="D27" s="12">
        <v>1</v>
      </c>
      <c r="E27" s="11">
        <v>250</v>
      </c>
      <c r="F27" s="11">
        <f t="shared" si="8"/>
        <v>250</v>
      </c>
      <c r="G27" s="13">
        <f t="shared" si="0"/>
        <v>-250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f>G27</f>
        <v>-250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</row>
    <row r="28" spans="1:99" x14ac:dyDescent="0.25">
      <c r="A28" s="11" t="s">
        <v>4</v>
      </c>
      <c r="B28" s="11" t="s">
        <v>0</v>
      </c>
      <c r="C28" s="11" t="s">
        <v>169</v>
      </c>
      <c r="D28" s="12">
        <v>2.9999999999999997E-4</v>
      </c>
      <c r="E28" s="11">
        <f>F18</f>
        <v>2490629.1696000001</v>
      </c>
      <c r="F28" s="11">
        <f t="shared" si="8"/>
        <v>747.18875087999993</v>
      </c>
      <c r="G28" s="13">
        <f t="shared" si="0"/>
        <v>-747.18875087999993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f>G28</f>
        <v>-747.18875087999993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</row>
    <row r="29" spans="1:99" x14ac:dyDescent="0.25">
      <c r="A29" s="11" t="s">
        <v>4</v>
      </c>
      <c r="B29" s="11" t="s">
        <v>0</v>
      </c>
      <c r="C29" s="11" t="s">
        <v>170</v>
      </c>
      <c r="D29" s="12">
        <v>2.0000000000000001E-4</v>
      </c>
      <c r="E29" s="11">
        <f>F18</f>
        <v>2490629.1696000001</v>
      </c>
      <c r="F29" s="11">
        <f t="shared" si="8"/>
        <v>498.12583392000005</v>
      </c>
      <c r="G29" s="13">
        <f t="shared" si="0"/>
        <v>-498.12583392000005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f t="shared" ref="AN29:AN32" si="9">G29</f>
        <v>-498.12583392000005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</row>
    <row r="30" spans="1:99" x14ac:dyDescent="0.25">
      <c r="A30" s="11" t="s">
        <v>4</v>
      </c>
      <c r="B30" s="11" t="s">
        <v>0</v>
      </c>
      <c r="C30" s="11" t="s">
        <v>171</v>
      </c>
      <c r="D30" s="12">
        <v>1</v>
      </c>
      <c r="E30" s="11">
        <v>250</v>
      </c>
      <c r="F30" s="11">
        <f t="shared" si="8"/>
        <v>250</v>
      </c>
      <c r="G30" s="13">
        <f t="shared" si="0"/>
        <v>-250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f t="shared" si="9"/>
        <v>-250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</row>
    <row r="31" spans="1:99" x14ac:dyDescent="0.25">
      <c r="A31" s="11" t="s">
        <v>4</v>
      </c>
      <c r="B31" s="11" t="s">
        <v>0</v>
      </c>
      <c r="C31" s="11" t="s">
        <v>23</v>
      </c>
      <c r="D31" s="12">
        <v>8.9999999999999993E-3</v>
      </c>
      <c r="E31" s="11">
        <f>F18</f>
        <v>2490629.1696000001</v>
      </c>
      <c r="F31" s="11">
        <f t="shared" si="8"/>
        <v>22415.662526399999</v>
      </c>
      <c r="G31" s="13">
        <f t="shared" si="0"/>
        <v>-22415.662526399999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f>$G$31/16</f>
        <v>-1400.9789079</v>
      </c>
      <c r="Y31" s="14">
        <f t="shared" ref="Y31:AM31" si="10">$G$31/16</f>
        <v>-1400.9789079</v>
      </c>
      <c r="Z31" s="14">
        <f t="shared" si="10"/>
        <v>-1400.9789079</v>
      </c>
      <c r="AA31" s="14">
        <f t="shared" si="10"/>
        <v>-1400.9789079</v>
      </c>
      <c r="AB31" s="14">
        <f t="shared" si="10"/>
        <v>-1400.9789079</v>
      </c>
      <c r="AC31" s="14">
        <f t="shared" si="10"/>
        <v>-1400.9789079</v>
      </c>
      <c r="AD31" s="14">
        <f t="shared" si="10"/>
        <v>-1400.9789079</v>
      </c>
      <c r="AE31" s="14">
        <f t="shared" si="10"/>
        <v>-1400.9789079</v>
      </c>
      <c r="AF31" s="14">
        <f t="shared" si="10"/>
        <v>-1400.9789079</v>
      </c>
      <c r="AG31" s="14">
        <f t="shared" si="10"/>
        <v>-1400.9789079</v>
      </c>
      <c r="AH31" s="14">
        <f t="shared" si="10"/>
        <v>-1400.9789079</v>
      </c>
      <c r="AI31" s="14">
        <f t="shared" si="10"/>
        <v>-1400.9789079</v>
      </c>
      <c r="AJ31" s="14">
        <f t="shared" si="10"/>
        <v>-1400.9789079</v>
      </c>
      <c r="AK31" s="14">
        <f t="shared" si="10"/>
        <v>-1400.9789079</v>
      </c>
      <c r="AL31" s="14">
        <f t="shared" si="10"/>
        <v>-1400.9789079</v>
      </c>
      <c r="AM31" s="14">
        <f t="shared" si="10"/>
        <v>-1400.9789079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</row>
    <row r="32" spans="1:99" x14ac:dyDescent="0.25">
      <c r="A32" s="11" t="s">
        <v>4</v>
      </c>
      <c r="B32" s="11" t="s">
        <v>0</v>
      </c>
      <c r="C32" s="11" t="s">
        <v>172</v>
      </c>
      <c r="D32" s="12">
        <v>2.5000000000000001E-3</v>
      </c>
      <c r="E32" s="11">
        <f>44*65*1.2*725.71</f>
        <v>2490636.7200000002</v>
      </c>
      <c r="F32" s="11">
        <f t="shared" si="8"/>
        <v>6226.5918000000011</v>
      </c>
      <c r="G32" s="13">
        <f t="shared" si="0"/>
        <v>-6226.5918000000011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f t="shared" si="9"/>
        <v>-6226.5918000000011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</row>
    <row r="33" spans="1:99" x14ac:dyDescent="0.25">
      <c r="A33" s="11" t="s">
        <v>4</v>
      </c>
      <c r="B33" s="11" t="s">
        <v>24</v>
      </c>
      <c r="C33" s="11" t="s">
        <v>27</v>
      </c>
      <c r="D33" s="40">
        <v>1</v>
      </c>
      <c r="E33" s="22">
        <v>2500</v>
      </c>
      <c r="F33" s="22">
        <f t="shared" si="8"/>
        <v>2500</v>
      </c>
      <c r="G33" s="23">
        <f t="shared" si="0"/>
        <v>-2500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5">
        <v>0</v>
      </c>
      <c r="W33" s="25">
        <f>G33</f>
        <v>-2500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>
        <v>0</v>
      </c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  <c r="BO33" s="25">
        <v>0</v>
      </c>
      <c r="BP33" s="25">
        <v>0</v>
      </c>
      <c r="BQ33" s="25">
        <v>0</v>
      </c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</v>
      </c>
      <c r="CD33" s="25">
        <v>0</v>
      </c>
      <c r="CE33" s="25">
        <v>0</v>
      </c>
      <c r="CF33" s="25">
        <v>0</v>
      </c>
      <c r="CG33" s="25">
        <v>0</v>
      </c>
      <c r="CH33" s="25">
        <v>0</v>
      </c>
      <c r="CI33" s="25">
        <v>0</v>
      </c>
      <c r="CJ33" s="25">
        <v>0</v>
      </c>
      <c r="CK33" s="25">
        <v>0</v>
      </c>
      <c r="CL33" s="25">
        <v>0</v>
      </c>
      <c r="CM33" s="25">
        <v>0</v>
      </c>
      <c r="CN33" s="25">
        <v>0</v>
      </c>
      <c r="CO33" s="25">
        <v>0</v>
      </c>
      <c r="CP33" s="25">
        <v>0</v>
      </c>
      <c r="CQ33" s="25">
        <v>0</v>
      </c>
      <c r="CR33" s="25">
        <v>0</v>
      </c>
      <c r="CS33" s="25">
        <v>0</v>
      </c>
      <c r="CT33" s="25">
        <v>0</v>
      </c>
      <c r="CU33" s="25">
        <v>0</v>
      </c>
    </row>
    <row r="34" spans="1:99" x14ac:dyDescent="0.25">
      <c r="A34" s="11" t="s">
        <v>4</v>
      </c>
      <c r="B34" s="11" t="s">
        <v>24</v>
      </c>
      <c r="C34" s="11" t="s">
        <v>173</v>
      </c>
      <c r="D34" s="42">
        <v>2.5000000000000001E-3</v>
      </c>
      <c r="E34" s="22">
        <f>-0.8*SUM(G2:G32,G41:G42)</f>
        <v>4575940.387298122</v>
      </c>
      <c r="F34" s="22">
        <f t="shared" si="8"/>
        <v>11439.850968245306</v>
      </c>
      <c r="G34" s="13">
        <f t="shared" si="0"/>
        <v>-11439.850968245306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f>G34</f>
        <v>-11439.850968245306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</row>
    <row r="35" spans="1:99" x14ac:dyDescent="0.25">
      <c r="A35" s="11" t="s">
        <v>4</v>
      </c>
      <c r="B35" s="11" t="s">
        <v>24</v>
      </c>
      <c r="C35" s="11" t="s">
        <v>28</v>
      </c>
      <c r="D35" s="40">
        <v>1</v>
      </c>
      <c r="E35" s="22">
        <v>250</v>
      </c>
      <c r="F35" s="22">
        <f t="shared" si="8"/>
        <v>250</v>
      </c>
      <c r="G35" s="13">
        <f t="shared" si="0"/>
        <v>-250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f>G35</f>
        <v>-250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</row>
    <row r="36" spans="1:99" x14ac:dyDescent="0.25">
      <c r="A36" s="11" t="s">
        <v>4</v>
      </c>
      <c r="B36" s="11" t="s">
        <v>24</v>
      </c>
      <c r="C36" s="11" t="s">
        <v>29</v>
      </c>
      <c r="D36" s="42">
        <v>2.5000000000000001E-3</v>
      </c>
      <c r="E36" s="22">
        <f>-0.8*SUM(G2:G32,G41:G42)</f>
        <v>4575940.387298122</v>
      </c>
      <c r="F36" s="22">
        <f t="shared" si="8"/>
        <v>11439.850968245306</v>
      </c>
      <c r="G36" s="13">
        <f t="shared" si="0"/>
        <v>-11439.850968245306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f>G36</f>
        <v>-11439.850968245306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</row>
    <row r="37" spans="1:99" x14ac:dyDescent="0.25">
      <c r="A37" s="11" t="s">
        <v>4</v>
      </c>
      <c r="B37" s="11" t="s">
        <v>24</v>
      </c>
      <c r="C37" s="11" t="s">
        <v>25</v>
      </c>
      <c r="D37" s="42">
        <v>1E-3</v>
      </c>
      <c r="E37" s="22">
        <f>-0.8*SUM(G2:G32,G41:G42)</f>
        <v>4575940.387298122</v>
      </c>
      <c r="F37" s="22">
        <f t="shared" si="8"/>
        <v>4575.940387298122</v>
      </c>
      <c r="G37" s="13">
        <f t="shared" si="0"/>
        <v>-4575.940387298122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f>G37</f>
        <v>-4575.940387298122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</row>
    <row r="38" spans="1:99" x14ac:dyDescent="0.25">
      <c r="A38" s="11" t="s">
        <v>4</v>
      </c>
      <c r="B38" s="11" t="s">
        <v>24</v>
      </c>
      <c r="C38" s="11" t="s">
        <v>95</v>
      </c>
      <c r="D38" s="42">
        <f>intereses!C5</f>
        <v>3.5000000000000003E-2</v>
      </c>
      <c r="E38" s="22">
        <f>0.8*(SUM(F2:F42)-F44-F45)</f>
        <v>4073629.8939317497</v>
      </c>
      <c r="F38" s="22">
        <v>372757.01</v>
      </c>
      <c r="G38" s="13"/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-11881.443962500001</v>
      </c>
      <c r="AO38" s="14">
        <v>-11699.9539756131</v>
      </c>
      <c r="AP38" s="14">
        <v>-11517.934642931114</v>
      </c>
      <c r="AQ38" s="14">
        <v>-11335.384420528802</v>
      </c>
      <c r="AR38" s="14">
        <v>-11152.301759977818</v>
      </c>
      <c r="AS38" s="14">
        <v>-10968.685108333562</v>
      </c>
      <c r="AT38" s="14">
        <v>-10784.532908122008</v>
      </c>
      <c r="AU38" s="14">
        <v>-10599.843597326504</v>
      </c>
      <c r="AV38" s="14">
        <v>-10414.615609374514</v>
      </c>
      <c r="AW38" s="14">
        <v>-10228.847373124332</v>
      </c>
      <c r="AX38" s="14">
        <v>-10042.537312851749</v>
      </c>
      <c r="AY38" s="14">
        <v>-9855.6838482367093</v>
      </c>
      <c r="AZ38" s="14">
        <v>-9668.285394349874</v>
      </c>
      <c r="BA38" s="14">
        <v>-9480.3403616392025</v>
      </c>
      <c r="BB38" s="14">
        <v>-9291.8471559164573</v>
      </c>
      <c r="BC38" s="14">
        <v>-9102.8041783436856</v>
      </c>
      <c r="BD38" s="26">
        <v>-8913.2098254196626</v>
      </c>
      <c r="BE38" s="26">
        <v>-8723.0624889662795</v>
      </c>
      <c r="BF38" s="26">
        <v>-8532.3605561149034</v>
      </c>
      <c r="BG38" s="26">
        <v>-8341.1024092927128</v>
      </c>
      <c r="BH38" s="26">
        <v>-8149.2864262089561</v>
      </c>
      <c r="BI38" s="26">
        <v>-7956.9109798412055</v>
      </c>
      <c r="BJ38" s="26">
        <v>-7763.974438421551</v>
      </c>
      <c r="BK38" s="26">
        <v>-7570.475165422753</v>
      </c>
      <c r="BL38" s="26">
        <v>-7376.4115195443783</v>
      </c>
      <c r="BM38" s="26">
        <v>-7181.7818546988565</v>
      </c>
      <c r="BN38" s="26">
        <v>-6986.5845199975347</v>
      </c>
      <c r="BO38" s="26">
        <v>-6790.8178597366696</v>
      </c>
      <c r="BP38" s="26">
        <v>-6594.4802133833764</v>
      </c>
      <c r="BQ38" s="26">
        <v>-6397.5699155615503</v>
      </c>
      <c r="BR38" s="26">
        <v>-6200.0852960377442</v>
      </c>
      <c r="BS38" s="26">
        <v>-6002.0246797069958</v>
      </c>
      <c r="BT38" s="26">
        <v>-5803.3863865786152</v>
      </c>
      <c r="BU38" s="26">
        <v>-5604.1687317619435</v>
      </c>
      <c r="BV38" s="26">
        <v>-5404.3700254520572</v>
      </c>
      <c r="BW38" s="26">
        <v>-5203.988572915433</v>
      </c>
      <c r="BX38" s="26">
        <v>-5003.0226744755764</v>
      </c>
      <c r="BY38" s="26">
        <v>-4801.4706254986049</v>
      </c>
      <c r="BZ38" s="26">
        <v>-4599.3307163787822</v>
      </c>
      <c r="CA38" s="26">
        <v>-4396.6012325240272</v>
      </c>
      <c r="CB38" s="26">
        <v>-4193.2804543413631</v>
      </c>
      <c r="CC38" s="26">
        <v>-3989.3666572223337</v>
      </c>
      <c r="CD38" s="26">
        <v>-3784.8581115283719</v>
      </c>
      <c r="CE38" s="26">
        <v>-3579.7530825761373</v>
      </c>
      <c r="CF38" s="26">
        <v>-3374.0498306227919</v>
      </c>
      <c r="CG38" s="26">
        <v>-3167.7466108512485</v>
      </c>
      <c r="CH38" s="26">
        <v>-2960.8416733553722</v>
      </c>
      <c r="CI38" s="26">
        <v>-2753.3332631251324</v>
      </c>
      <c r="CJ38" s="26">
        <v>-2545.2196200317217</v>
      </c>
      <c r="CK38" s="26">
        <v>-2336.4989788126218</v>
      </c>
      <c r="CL38" s="26">
        <v>-2127.1695690566326</v>
      </c>
      <c r="CM38" s="26">
        <v>-1917.229615188855</v>
      </c>
      <c r="CN38" s="26">
        <v>-1706.6773364556298</v>
      </c>
      <c r="CO38" s="26">
        <v>-1495.5109469094327</v>
      </c>
      <c r="CP38" s="26">
        <v>-1283.7286553937258</v>
      </c>
      <c r="CQ38" s="26">
        <v>-1071.3286655277648</v>
      </c>
      <c r="CR38" s="26">
        <v>-858.30917569136136</v>
      </c>
      <c r="CS38" s="26">
        <v>-644.66837900960184</v>
      </c>
      <c r="CT38" s="26">
        <v>-430.40446333752061</v>
      </c>
      <c r="CU38" s="26">
        <v>-215.51561124472886</v>
      </c>
    </row>
    <row r="39" spans="1:99" x14ac:dyDescent="0.25">
      <c r="A39" s="11" t="s">
        <v>4</v>
      </c>
      <c r="B39" s="11" t="s">
        <v>24</v>
      </c>
      <c r="C39" s="11" t="s">
        <v>39</v>
      </c>
      <c r="D39" s="42">
        <f>intereses!E5</f>
        <v>0.05</v>
      </c>
      <c r="E39" s="22">
        <f>-0.8*SUM(G2:G32,G41:G42)</f>
        <v>4575940.387298122</v>
      </c>
      <c r="F39" s="22">
        <v>163749.38</v>
      </c>
      <c r="G39" s="13"/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1">
        <v>-19066.451541666665</v>
      </c>
      <c r="Y39" s="11">
        <v>-17911.598800313306</v>
      </c>
      <c r="Z39" s="11">
        <v>-16751.93417253764</v>
      </c>
      <c r="AA39" s="11">
        <v>-15587.437608812907</v>
      </c>
      <c r="AB39" s="11">
        <v>-14418.088976072655</v>
      </c>
      <c r="AC39" s="11">
        <v>-13243.868057362653</v>
      </c>
      <c r="AD39" s="11">
        <v>-12064.754551491358</v>
      </c>
      <c r="AE39" s="11">
        <v>-10880.728072678934</v>
      </c>
      <c r="AF39" s="11">
        <v>-9691.7681502047926</v>
      </c>
      <c r="AG39" s="11">
        <v>-8497.8542280536749</v>
      </c>
      <c r="AH39" s="11">
        <v>-7298.965664560259</v>
      </c>
      <c r="AI39" s="11">
        <v>-6095.0817320522883</v>
      </c>
      <c r="AJ39" s="11">
        <v>-4886.1816164922011</v>
      </c>
      <c r="AK39" s="11">
        <v>-3672.2444171172806</v>
      </c>
      <c r="AL39" s="11">
        <v>-2453.2491460782981</v>
      </c>
      <c r="AM39" s="11">
        <v>-1229.1747280766522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</row>
    <row r="40" spans="1:99" x14ac:dyDescent="0.25">
      <c r="A40" s="11" t="s">
        <v>4</v>
      </c>
      <c r="B40" s="11" t="s">
        <v>24</v>
      </c>
      <c r="C40" s="11" t="s">
        <v>26</v>
      </c>
      <c r="D40" s="42">
        <v>2.5000000000000001E-3</v>
      </c>
      <c r="E40" s="22">
        <f>-0.8*SUM(G2:G32,G41:G42)</f>
        <v>4575940.387298122</v>
      </c>
      <c r="F40" s="22">
        <f t="shared" ref="F40:F47" si="11">D40*E40</f>
        <v>11439.850968245306</v>
      </c>
      <c r="G40" s="13">
        <f>-F40</f>
        <v>-11439.850968245306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0</v>
      </c>
      <c r="CU40" s="14">
        <f>G40</f>
        <v>-11439.850968245306</v>
      </c>
    </row>
    <row r="41" spans="1:99" x14ac:dyDescent="0.25">
      <c r="A41" s="11" t="s">
        <v>4</v>
      </c>
      <c r="B41" s="11" t="s">
        <v>1</v>
      </c>
      <c r="C41" s="11" t="s">
        <v>22</v>
      </c>
      <c r="D41" s="12">
        <f>22*8</f>
        <v>176</v>
      </c>
      <c r="E41" s="11">
        <v>700</v>
      </c>
      <c r="F41" s="22">
        <f t="shared" si="11"/>
        <v>123200</v>
      </c>
      <c r="G41" s="20">
        <f>-F41</f>
        <v>-123200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f t="shared" ref="Y41:AF41" si="12">$G$41/8</f>
        <v>-15400</v>
      </c>
      <c r="Z41" s="21">
        <f t="shared" si="12"/>
        <v>-15400</v>
      </c>
      <c r="AA41" s="21">
        <f t="shared" si="12"/>
        <v>-15400</v>
      </c>
      <c r="AB41" s="21">
        <f t="shared" si="12"/>
        <v>-15400</v>
      </c>
      <c r="AC41" s="21">
        <f t="shared" si="12"/>
        <v>-15400</v>
      </c>
      <c r="AD41" s="21">
        <f t="shared" si="12"/>
        <v>-15400</v>
      </c>
      <c r="AE41" s="21">
        <f t="shared" si="12"/>
        <v>-15400</v>
      </c>
      <c r="AF41" s="21">
        <f t="shared" si="12"/>
        <v>-15400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21">
        <v>0</v>
      </c>
      <c r="AZ41" s="21">
        <v>0</v>
      </c>
      <c r="BA41" s="21">
        <v>0</v>
      </c>
      <c r="BB41" s="21">
        <v>0</v>
      </c>
      <c r="BC41" s="21">
        <v>0</v>
      </c>
      <c r="BD41" s="21">
        <v>0</v>
      </c>
      <c r="BE41" s="21">
        <v>0</v>
      </c>
      <c r="BF41" s="21">
        <v>0</v>
      </c>
      <c r="BG41" s="21">
        <v>0</v>
      </c>
      <c r="BH41" s="21">
        <v>0</v>
      </c>
      <c r="BI41" s="21">
        <v>0</v>
      </c>
      <c r="BJ41" s="21">
        <v>0</v>
      </c>
      <c r="BK41" s="21">
        <v>0</v>
      </c>
      <c r="BL41" s="21">
        <v>0</v>
      </c>
      <c r="BM41" s="21">
        <v>0</v>
      </c>
      <c r="BN41" s="21">
        <v>0</v>
      </c>
      <c r="BO41" s="21">
        <v>0</v>
      </c>
      <c r="BP41" s="21">
        <v>0</v>
      </c>
      <c r="BQ41" s="21">
        <v>0</v>
      </c>
      <c r="BR41" s="21">
        <v>0</v>
      </c>
      <c r="BS41" s="21">
        <v>0</v>
      </c>
      <c r="BT41" s="21">
        <v>0</v>
      </c>
      <c r="BU41" s="21">
        <v>0</v>
      </c>
      <c r="BV41" s="21">
        <v>0</v>
      </c>
      <c r="BW41" s="21">
        <v>0</v>
      </c>
      <c r="BX41" s="21">
        <v>0</v>
      </c>
      <c r="BY41" s="21">
        <v>0</v>
      </c>
      <c r="BZ41" s="21">
        <v>0</v>
      </c>
      <c r="CA41" s="21">
        <v>0</v>
      </c>
      <c r="CB41" s="21">
        <v>0</v>
      </c>
      <c r="CC41" s="21">
        <v>0</v>
      </c>
      <c r="CD41" s="21">
        <v>0</v>
      </c>
      <c r="CE41" s="21">
        <v>0</v>
      </c>
      <c r="CF41" s="21">
        <v>0</v>
      </c>
      <c r="CG41" s="21">
        <v>0</v>
      </c>
      <c r="CH41" s="21">
        <v>0</v>
      </c>
      <c r="CI41" s="21">
        <v>0</v>
      </c>
      <c r="CJ41" s="21">
        <v>0</v>
      </c>
      <c r="CK41" s="21">
        <v>0</v>
      </c>
      <c r="CL41" s="21">
        <v>0</v>
      </c>
      <c r="CM41" s="21">
        <v>0</v>
      </c>
      <c r="CN41" s="21">
        <v>0</v>
      </c>
      <c r="CO41" s="21">
        <v>0</v>
      </c>
      <c r="CP41" s="21">
        <v>0</v>
      </c>
      <c r="CQ41" s="21">
        <v>0</v>
      </c>
      <c r="CR41" s="21">
        <v>0</v>
      </c>
      <c r="CS41" s="21">
        <v>0</v>
      </c>
      <c r="CT41" s="21">
        <v>0</v>
      </c>
      <c r="CU41" s="21">
        <v>0</v>
      </c>
    </row>
    <row r="42" spans="1:99" x14ac:dyDescent="0.25">
      <c r="A42" s="11" t="s">
        <v>4</v>
      </c>
      <c r="B42" s="11" t="s">
        <v>1</v>
      </c>
      <c r="C42" s="11" t="s">
        <v>17</v>
      </c>
      <c r="D42" s="12">
        <f>22*8</f>
        <v>176</v>
      </c>
      <c r="E42" s="11">
        <v>200</v>
      </c>
      <c r="F42" s="22">
        <f t="shared" si="11"/>
        <v>35200</v>
      </c>
      <c r="G42" s="13">
        <f>-$F$42</f>
        <v>-35200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f t="shared" ref="Y42:AF42" si="13">$G$42/8</f>
        <v>-4400</v>
      </c>
      <c r="Z42" s="14">
        <f t="shared" si="13"/>
        <v>-4400</v>
      </c>
      <c r="AA42" s="14">
        <f t="shared" si="13"/>
        <v>-4400</v>
      </c>
      <c r="AB42" s="14">
        <f t="shared" si="13"/>
        <v>-4400</v>
      </c>
      <c r="AC42" s="14">
        <f t="shared" si="13"/>
        <v>-4400</v>
      </c>
      <c r="AD42" s="14">
        <f t="shared" si="13"/>
        <v>-4400</v>
      </c>
      <c r="AE42" s="14">
        <f t="shared" si="13"/>
        <v>-4400</v>
      </c>
      <c r="AF42" s="14">
        <f t="shared" si="13"/>
        <v>-4400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</row>
    <row r="43" spans="1:99" x14ac:dyDescent="0.25">
      <c r="A43" s="11" t="s">
        <v>5</v>
      </c>
      <c r="B43" s="11" t="s">
        <v>174</v>
      </c>
      <c r="C43" s="11" t="s">
        <v>143</v>
      </c>
      <c r="D43" s="12">
        <v>44</v>
      </c>
      <c r="E43" s="11">
        <f>65*2183.04</f>
        <v>141897.60000000001</v>
      </c>
      <c r="F43" s="11">
        <f t="shared" si="11"/>
        <v>6243494.4000000004</v>
      </c>
      <c r="G43" s="13">
        <f>F43</f>
        <v>6243494.4000000004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f>G43</f>
        <v>6243494.4000000004</v>
      </c>
    </row>
    <row r="44" spans="1:99" x14ac:dyDescent="0.25">
      <c r="A44" s="11" t="s">
        <v>5</v>
      </c>
      <c r="B44" s="11" t="s">
        <v>175</v>
      </c>
      <c r="C44" s="11" t="s">
        <v>176</v>
      </c>
      <c r="D44" s="12">
        <v>88</v>
      </c>
      <c r="E44" s="19">
        <v>2705</v>
      </c>
      <c r="F44" s="11">
        <f t="shared" si="11"/>
        <v>238040</v>
      </c>
      <c r="G44" s="13">
        <f>F44</f>
        <v>238040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f>G44</f>
        <v>238040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R44" s="14">
        <v>0</v>
      </c>
      <c r="CS44" s="14">
        <v>0</v>
      </c>
      <c r="CT44" s="14">
        <v>0</v>
      </c>
      <c r="CU44" s="14">
        <v>0</v>
      </c>
    </row>
    <row r="45" spans="1:99" x14ac:dyDescent="0.25">
      <c r="A45" s="11" t="s">
        <v>5</v>
      </c>
      <c r="B45" s="11" t="s">
        <v>175</v>
      </c>
      <c r="C45" s="11" t="s">
        <v>177</v>
      </c>
      <c r="D45" s="12">
        <v>88</v>
      </c>
      <c r="E45" s="11">
        <v>11000</v>
      </c>
      <c r="F45" s="11">
        <f t="shared" si="11"/>
        <v>968000</v>
      </c>
      <c r="G45" s="13">
        <f>F45</f>
        <v>968000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f>G45</f>
        <v>968000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</row>
    <row r="46" spans="1:99" x14ac:dyDescent="0.25">
      <c r="A46" s="11" t="s">
        <v>5</v>
      </c>
      <c r="B46" s="11" t="s">
        <v>178</v>
      </c>
      <c r="C46" s="11" t="s">
        <v>179</v>
      </c>
      <c r="D46" s="12">
        <f>44*60</f>
        <v>2640</v>
      </c>
      <c r="E46" s="11">
        <v>450</v>
      </c>
      <c r="F46" s="22">
        <f t="shared" si="11"/>
        <v>1188000</v>
      </c>
      <c r="G46" s="13">
        <f>F46</f>
        <v>1188000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f>($D$46*$E$46)/60</f>
        <v>19800</v>
      </c>
      <c r="AO46" s="14">
        <f t="shared" ref="AO46:CU46" si="14">($D$46*$E$46)/60</f>
        <v>19800</v>
      </c>
      <c r="AP46" s="14">
        <f t="shared" si="14"/>
        <v>19800</v>
      </c>
      <c r="AQ46" s="14">
        <f t="shared" si="14"/>
        <v>19800</v>
      </c>
      <c r="AR46" s="14">
        <f t="shared" si="14"/>
        <v>19800</v>
      </c>
      <c r="AS46" s="14">
        <f t="shared" si="14"/>
        <v>19800</v>
      </c>
      <c r="AT46" s="14">
        <f t="shared" si="14"/>
        <v>19800</v>
      </c>
      <c r="AU46" s="14">
        <f t="shared" si="14"/>
        <v>19800</v>
      </c>
      <c r="AV46" s="14">
        <f t="shared" si="14"/>
        <v>19800</v>
      </c>
      <c r="AW46" s="14">
        <f t="shared" si="14"/>
        <v>19800</v>
      </c>
      <c r="AX46" s="14">
        <f t="shared" si="14"/>
        <v>19800</v>
      </c>
      <c r="AY46" s="14">
        <f t="shared" si="14"/>
        <v>19800</v>
      </c>
      <c r="AZ46" s="14">
        <f t="shared" si="14"/>
        <v>19800</v>
      </c>
      <c r="BA46" s="14">
        <f t="shared" si="14"/>
        <v>19800</v>
      </c>
      <c r="BB46" s="14">
        <f t="shared" si="14"/>
        <v>19800</v>
      </c>
      <c r="BC46" s="14">
        <f t="shared" si="14"/>
        <v>19800</v>
      </c>
      <c r="BD46" s="14">
        <f t="shared" si="14"/>
        <v>19800</v>
      </c>
      <c r="BE46" s="14">
        <f t="shared" si="14"/>
        <v>19800</v>
      </c>
      <c r="BF46" s="14">
        <f t="shared" si="14"/>
        <v>19800</v>
      </c>
      <c r="BG46" s="14">
        <f t="shared" si="14"/>
        <v>19800</v>
      </c>
      <c r="BH46" s="14">
        <f t="shared" si="14"/>
        <v>19800</v>
      </c>
      <c r="BI46" s="14">
        <f t="shared" si="14"/>
        <v>19800</v>
      </c>
      <c r="BJ46" s="14">
        <f t="shared" si="14"/>
        <v>19800</v>
      </c>
      <c r="BK46" s="14">
        <f t="shared" si="14"/>
        <v>19800</v>
      </c>
      <c r="BL46" s="14">
        <f t="shared" si="14"/>
        <v>19800</v>
      </c>
      <c r="BM46" s="14">
        <f t="shared" si="14"/>
        <v>19800</v>
      </c>
      <c r="BN46" s="14">
        <f t="shared" si="14"/>
        <v>19800</v>
      </c>
      <c r="BO46" s="14">
        <f t="shared" si="14"/>
        <v>19800</v>
      </c>
      <c r="BP46" s="14">
        <f t="shared" si="14"/>
        <v>19800</v>
      </c>
      <c r="BQ46" s="14">
        <f t="shared" si="14"/>
        <v>19800</v>
      </c>
      <c r="BR46" s="14">
        <f t="shared" si="14"/>
        <v>19800</v>
      </c>
      <c r="BS46" s="14">
        <f t="shared" si="14"/>
        <v>19800</v>
      </c>
      <c r="BT46" s="14">
        <f t="shared" si="14"/>
        <v>19800</v>
      </c>
      <c r="BU46" s="14">
        <f t="shared" si="14"/>
        <v>19800</v>
      </c>
      <c r="BV46" s="14">
        <f t="shared" si="14"/>
        <v>19800</v>
      </c>
      <c r="BW46" s="14">
        <f t="shared" si="14"/>
        <v>19800</v>
      </c>
      <c r="BX46" s="14">
        <f t="shared" si="14"/>
        <v>19800</v>
      </c>
      <c r="BY46" s="14">
        <f t="shared" si="14"/>
        <v>19800</v>
      </c>
      <c r="BZ46" s="14">
        <f t="shared" si="14"/>
        <v>19800</v>
      </c>
      <c r="CA46" s="14">
        <f t="shared" si="14"/>
        <v>19800</v>
      </c>
      <c r="CB46" s="14">
        <f t="shared" si="14"/>
        <v>19800</v>
      </c>
      <c r="CC46" s="14">
        <f t="shared" si="14"/>
        <v>19800</v>
      </c>
      <c r="CD46" s="14">
        <f t="shared" si="14"/>
        <v>19800</v>
      </c>
      <c r="CE46" s="14">
        <f t="shared" si="14"/>
        <v>19800</v>
      </c>
      <c r="CF46" s="14">
        <f t="shared" si="14"/>
        <v>19800</v>
      </c>
      <c r="CG46" s="14">
        <f t="shared" si="14"/>
        <v>19800</v>
      </c>
      <c r="CH46" s="14">
        <f t="shared" si="14"/>
        <v>19800</v>
      </c>
      <c r="CI46" s="14">
        <f t="shared" si="14"/>
        <v>19800</v>
      </c>
      <c r="CJ46" s="14">
        <f t="shared" si="14"/>
        <v>19800</v>
      </c>
      <c r="CK46" s="14">
        <f t="shared" si="14"/>
        <v>19800</v>
      </c>
      <c r="CL46" s="14">
        <f t="shared" si="14"/>
        <v>19800</v>
      </c>
      <c r="CM46" s="14">
        <f t="shared" si="14"/>
        <v>19800</v>
      </c>
      <c r="CN46" s="14">
        <f t="shared" si="14"/>
        <v>19800</v>
      </c>
      <c r="CO46" s="14">
        <f t="shared" si="14"/>
        <v>19800</v>
      </c>
      <c r="CP46" s="14">
        <f t="shared" si="14"/>
        <v>19800</v>
      </c>
      <c r="CQ46" s="14">
        <f t="shared" si="14"/>
        <v>19800</v>
      </c>
      <c r="CR46" s="14">
        <f t="shared" si="14"/>
        <v>19800</v>
      </c>
      <c r="CS46" s="14">
        <f t="shared" si="14"/>
        <v>19800</v>
      </c>
      <c r="CT46" s="14">
        <f t="shared" si="14"/>
        <v>19800</v>
      </c>
      <c r="CU46" s="14">
        <f t="shared" si="14"/>
        <v>19800</v>
      </c>
    </row>
    <row r="47" spans="1:99" x14ac:dyDescent="0.25">
      <c r="A47" s="11" t="s">
        <v>5</v>
      </c>
      <c r="B47" s="11" t="s">
        <v>180</v>
      </c>
      <c r="C47" s="11" t="s">
        <v>152</v>
      </c>
      <c r="D47" s="12">
        <v>0</v>
      </c>
      <c r="E47" s="11">
        <v>50</v>
      </c>
      <c r="F47" s="22">
        <f t="shared" si="11"/>
        <v>0</v>
      </c>
      <c r="G47" s="15">
        <f>F47</f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f>($D$47*$E$47)/60</f>
        <v>0</v>
      </c>
      <c r="AO47" s="14">
        <f t="shared" ref="AO47:CU47" si="15">($D$47*$E$47)/60</f>
        <v>0</v>
      </c>
      <c r="AP47" s="14">
        <f t="shared" si="15"/>
        <v>0</v>
      </c>
      <c r="AQ47" s="14">
        <f t="shared" si="15"/>
        <v>0</v>
      </c>
      <c r="AR47" s="14">
        <f t="shared" si="15"/>
        <v>0</v>
      </c>
      <c r="AS47" s="14">
        <f t="shared" si="15"/>
        <v>0</v>
      </c>
      <c r="AT47" s="14">
        <f t="shared" si="15"/>
        <v>0</v>
      </c>
      <c r="AU47" s="14">
        <f t="shared" si="15"/>
        <v>0</v>
      </c>
      <c r="AV47" s="14">
        <f t="shared" si="15"/>
        <v>0</v>
      </c>
      <c r="AW47" s="14">
        <f t="shared" si="15"/>
        <v>0</v>
      </c>
      <c r="AX47" s="14">
        <f t="shared" si="15"/>
        <v>0</v>
      </c>
      <c r="AY47" s="14">
        <f t="shared" si="15"/>
        <v>0</v>
      </c>
      <c r="AZ47" s="14">
        <f t="shared" si="15"/>
        <v>0</v>
      </c>
      <c r="BA47" s="14">
        <f t="shared" si="15"/>
        <v>0</v>
      </c>
      <c r="BB47" s="14">
        <f t="shared" si="15"/>
        <v>0</v>
      </c>
      <c r="BC47" s="14">
        <f t="shared" si="15"/>
        <v>0</v>
      </c>
      <c r="BD47" s="14">
        <f t="shared" si="15"/>
        <v>0</v>
      </c>
      <c r="BE47" s="14">
        <f t="shared" si="15"/>
        <v>0</v>
      </c>
      <c r="BF47" s="14">
        <f t="shared" si="15"/>
        <v>0</v>
      </c>
      <c r="BG47" s="14">
        <f t="shared" si="15"/>
        <v>0</v>
      </c>
      <c r="BH47" s="14">
        <f t="shared" si="15"/>
        <v>0</v>
      </c>
      <c r="BI47" s="14">
        <f t="shared" si="15"/>
        <v>0</v>
      </c>
      <c r="BJ47" s="14">
        <f t="shared" si="15"/>
        <v>0</v>
      </c>
      <c r="BK47" s="14">
        <f t="shared" si="15"/>
        <v>0</v>
      </c>
      <c r="BL47" s="14">
        <f t="shared" si="15"/>
        <v>0</v>
      </c>
      <c r="BM47" s="14">
        <f t="shared" si="15"/>
        <v>0</v>
      </c>
      <c r="BN47" s="14">
        <f t="shared" si="15"/>
        <v>0</v>
      </c>
      <c r="BO47" s="14">
        <f t="shared" si="15"/>
        <v>0</v>
      </c>
      <c r="BP47" s="14">
        <f t="shared" si="15"/>
        <v>0</v>
      </c>
      <c r="BQ47" s="14">
        <f t="shared" si="15"/>
        <v>0</v>
      </c>
      <c r="BR47" s="14">
        <f t="shared" si="15"/>
        <v>0</v>
      </c>
      <c r="BS47" s="14">
        <f t="shared" si="15"/>
        <v>0</v>
      </c>
      <c r="BT47" s="14">
        <f t="shared" si="15"/>
        <v>0</v>
      </c>
      <c r="BU47" s="14">
        <f t="shared" si="15"/>
        <v>0</v>
      </c>
      <c r="BV47" s="14">
        <f t="shared" si="15"/>
        <v>0</v>
      </c>
      <c r="BW47" s="14">
        <f t="shared" si="15"/>
        <v>0</v>
      </c>
      <c r="BX47" s="14">
        <f t="shared" si="15"/>
        <v>0</v>
      </c>
      <c r="BY47" s="14">
        <f t="shared" si="15"/>
        <v>0</v>
      </c>
      <c r="BZ47" s="14">
        <f t="shared" si="15"/>
        <v>0</v>
      </c>
      <c r="CA47" s="14">
        <f t="shared" si="15"/>
        <v>0</v>
      </c>
      <c r="CB47" s="14">
        <f t="shared" si="15"/>
        <v>0</v>
      </c>
      <c r="CC47" s="14">
        <f t="shared" si="15"/>
        <v>0</v>
      </c>
      <c r="CD47" s="14">
        <f t="shared" si="15"/>
        <v>0</v>
      </c>
      <c r="CE47" s="14">
        <f t="shared" si="15"/>
        <v>0</v>
      </c>
      <c r="CF47" s="14">
        <f t="shared" si="15"/>
        <v>0</v>
      </c>
      <c r="CG47" s="14">
        <f t="shared" si="15"/>
        <v>0</v>
      </c>
      <c r="CH47" s="14">
        <f t="shared" si="15"/>
        <v>0</v>
      </c>
      <c r="CI47" s="14">
        <f t="shared" si="15"/>
        <v>0</v>
      </c>
      <c r="CJ47" s="14">
        <f t="shared" si="15"/>
        <v>0</v>
      </c>
      <c r="CK47" s="14">
        <f t="shared" si="15"/>
        <v>0</v>
      </c>
      <c r="CL47" s="14">
        <f t="shared" si="15"/>
        <v>0</v>
      </c>
      <c r="CM47" s="14">
        <f t="shared" si="15"/>
        <v>0</v>
      </c>
      <c r="CN47" s="14">
        <f t="shared" si="15"/>
        <v>0</v>
      </c>
      <c r="CO47" s="14">
        <f t="shared" si="15"/>
        <v>0</v>
      </c>
      <c r="CP47" s="14">
        <f t="shared" si="15"/>
        <v>0</v>
      </c>
      <c r="CQ47" s="14">
        <f t="shared" si="15"/>
        <v>0</v>
      </c>
      <c r="CR47" s="14">
        <f t="shared" si="15"/>
        <v>0</v>
      </c>
      <c r="CS47" s="14">
        <f t="shared" si="15"/>
        <v>0</v>
      </c>
      <c r="CT47" s="14">
        <f t="shared" si="15"/>
        <v>0</v>
      </c>
      <c r="CU47" s="14">
        <f t="shared" si="15"/>
        <v>0</v>
      </c>
    </row>
    <row r="48" spans="1:99" x14ac:dyDescent="0.25">
      <c r="A48" s="11" t="s">
        <v>181</v>
      </c>
      <c r="B48" s="11" t="s">
        <v>182</v>
      </c>
      <c r="C48" s="11" t="s">
        <v>5</v>
      </c>
      <c r="F48" s="27"/>
      <c r="G48" s="45">
        <f>SUM(F43:F47)</f>
        <v>8637534.4000000004</v>
      </c>
      <c r="H48" s="29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</row>
    <row r="49" spans="1:99" x14ac:dyDescent="0.25">
      <c r="A49" s="11" t="s">
        <v>181</v>
      </c>
      <c r="B49" s="11" t="s">
        <v>182</v>
      </c>
      <c r="C49" s="11" t="s">
        <v>90</v>
      </c>
      <c r="F49" s="27"/>
      <c r="G49" s="45">
        <f>-SUM(F2:F42)</f>
        <v>-6298077.3674146868</v>
      </c>
      <c r="H49" s="29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</row>
    <row r="50" spans="1:99" x14ac:dyDescent="0.25">
      <c r="A50" s="11" t="s">
        <v>181</v>
      </c>
      <c r="B50" s="11" t="s">
        <v>182</v>
      </c>
      <c r="C50" s="11" t="s">
        <v>183</v>
      </c>
      <c r="F50" s="27"/>
      <c r="G50" s="45">
        <f>SUM(G48:G49)</f>
        <v>2339457.0325853135</v>
      </c>
      <c r="H50" s="29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</row>
    <row r="51" spans="1:99" x14ac:dyDescent="0.25">
      <c r="A51" s="11" t="s">
        <v>181</v>
      </c>
      <c r="B51" s="11" t="s">
        <v>182</v>
      </c>
      <c r="C51" s="11" t="s">
        <v>184</v>
      </c>
      <c r="F51" s="27"/>
      <c r="G51" s="46">
        <f>G50/-G49</f>
        <v>0.37145574690608207</v>
      </c>
      <c r="H51" s="29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</row>
    <row r="52" spans="1:99" x14ac:dyDescent="0.25">
      <c r="A52" s="11" t="s">
        <v>181</v>
      </c>
      <c r="B52" s="11" t="s">
        <v>185</v>
      </c>
      <c r="C52" s="11" t="s">
        <v>186</v>
      </c>
      <c r="F52" s="31"/>
      <c r="G52" s="47"/>
      <c r="H52" s="32">
        <v>1E-3</v>
      </c>
      <c r="I52" s="26">
        <f>SUM(I2:I47)</f>
        <v>-7018</v>
      </c>
      <c r="J52" s="26">
        <v>1E-3</v>
      </c>
      <c r="K52" s="26">
        <f>SUM(K2:K47)</f>
        <v>-11973.720612215999</v>
      </c>
      <c r="L52" s="26">
        <v>1E-3</v>
      </c>
      <c r="M52" s="26">
        <f>SUM(M2:M47)</f>
        <v>-117867.71091634706</v>
      </c>
      <c r="N52" s="26">
        <f>SUM(N2:N47)</f>
        <v>-968.87700000000007</v>
      </c>
      <c r="O52" s="26">
        <v>1E-3</v>
      </c>
      <c r="P52" s="26">
        <f>SUM(P2:P47)</f>
        <v>-186041.98526561857</v>
      </c>
      <c r="Q52" s="26">
        <f>SUM(Q2:Q47)</f>
        <v>-40987.491696000012</v>
      </c>
      <c r="R52" s="26">
        <f>SUM(R2:R47)</f>
        <v>-5076.7206122159996</v>
      </c>
      <c r="S52" s="26">
        <v>1E-3</v>
      </c>
      <c r="T52" s="26">
        <f>SUM(T2:T47)</f>
        <v>-163949.96678400005</v>
      </c>
      <c r="U52" s="26">
        <v>1E-3</v>
      </c>
      <c r="V52" s="26">
        <v>1E-3</v>
      </c>
      <c r="W52" s="26">
        <f t="shared" ref="W52:BB52" si="16">SUM(W2:W47)</f>
        <v>-30205.642323788736</v>
      </c>
      <c r="X52" s="26">
        <f t="shared" si="16"/>
        <v>-74832.89336310947</v>
      </c>
      <c r="Y52" s="26">
        <f t="shared" si="16"/>
        <v>-119822.94097411611</v>
      </c>
      <c r="Z52" s="26">
        <f t="shared" si="16"/>
        <v>-72883.607198575817</v>
      </c>
      <c r="AA52" s="26">
        <f t="shared" si="16"/>
        <v>-89408.430634851073</v>
      </c>
      <c r="AB52" s="26">
        <f t="shared" si="16"/>
        <v>-130693.45000211084</v>
      </c>
      <c r="AC52" s="26">
        <f t="shared" si="16"/>
        <v>-125096.89908340081</v>
      </c>
      <c r="AD52" s="26">
        <f t="shared" si="16"/>
        <v>-137184.77557752951</v>
      </c>
      <c r="AE52" s="26">
        <f t="shared" si="16"/>
        <v>-305753.64569551713</v>
      </c>
      <c r="AF52" s="26">
        <f t="shared" si="16"/>
        <v>-372647.04263864295</v>
      </c>
      <c r="AG52" s="26">
        <f t="shared" si="16"/>
        <v>-430521.85930417181</v>
      </c>
      <c r="AH52" s="26">
        <f t="shared" si="16"/>
        <v>-555952.67177939846</v>
      </c>
      <c r="AI52" s="26">
        <f t="shared" si="16"/>
        <v>-694365.26504049054</v>
      </c>
      <c r="AJ52" s="26">
        <f t="shared" si="16"/>
        <v>-854927.54238733044</v>
      </c>
      <c r="AK52" s="26">
        <f t="shared" si="16"/>
        <v>-702728.80144763563</v>
      </c>
      <c r="AL52" s="26">
        <f t="shared" si="16"/>
        <v>-437679.47527003649</v>
      </c>
      <c r="AM52" s="26">
        <f t="shared" si="16"/>
        <v>-224905.0859864348</v>
      </c>
      <c r="AN52" s="26">
        <f t="shared" si="16"/>
        <v>1193572.5497210249</v>
      </c>
      <c r="AO52" s="26">
        <f t="shared" si="16"/>
        <v>8100.0460243869002</v>
      </c>
      <c r="AP52" s="26">
        <f t="shared" si="16"/>
        <v>8282.0653570688864</v>
      </c>
      <c r="AQ52" s="26">
        <f t="shared" si="16"/>
        <v>8464.6155794711976</v>
      </c>
      <c r="AR52" s="26">
        <f t="shared" si="16"/>
        <v>8647.6982400221823</v>
      </c>
      <c r="AS52" s="26">
        <f t="shared" si="16"/>
        <v>8831.3148916664377</v>
      </c>
      <c r="AT52" s="26">
        <f t="shared" si="16"/>
        <v>9015.4670918779921</v>
      </c>
      <c r="AU52" s="26">
        <f t="shared" si="16"/>
        <v>9200.1564026734959</v>
      </c>
      <c r="AV52" s="26">
        <f t="shared" si="16"/>
        <v>9385.384390625486</v>
      </c>
      <c r="AW52" s="26">
        <f t="shared" si="16"/>
        <v>9571.1526268756679</v>
      </c>
      <c r="AX52" s="26">
        <f t="shared" si="16"/>
        <v>9757.4626871482506</v>
      </c>
      <c r="AY52" s="26">
        <f t="shared" si="16"/>
        <v>9944.3161517632907</v>
      </c>
      <c r="AZ52" s="26">
        <f t="shared" si="16"/>
        <v>10131.714605650126</v>
      </c>
      <c r="BA52" s="26">
        <f t="shared" si="16"/>
        <v>10319.659638360798</v>
      </c>
      <c r="BB52" s="26">
        <f t="shared" si="16"/>
        <v>10508.152844083543</v>
      </c>
      <c r="BC52" s="26">
        <f t="shared" ref="BC52:CH52" si="17">SUM(BC2:BC47)</f>
        <v>10697.195821656314</v>
      </c>
      <c r="BD52" s="26">
        <f t="shared" si="17"/>
        <v>10886.790174580337</v>
      </c>
      <c r="BE52" s="26">
        <f t="shared" si="17"/>
        <v>11076.937511033721</v>
      </c>
      <c r="BF52" s="26">
        <f t="shared" si="17"/>
        <v>11267.639443885097</v>
      </c>
      <c r="BG52" s="26">
        <f t="shared" si="17"/>
        <v>11458.897590707287</v>
      </c>
      <c r="BH52" s="26">
        <f t="shared" si="17"/>
        <v>11650.713573791043</v>
      </c>
      <c r="BI52" s="26">
        <f t="shared" si="17"/>
        <v>11843.089020158794</v>
      </c>
      <c r="BJ52" s="26">
        <f t="shared" si="17"/>
        <v>12036.025561578448</v>
      </c>
      <c r="BK52" s="26">
        <f t="shared" si="17"/>
        <v>12229.524834577247</v>
      </c>
      <c r="BL52" s="26">
        <f t="shared" si="17"/>
        <v>12423.588480455623</v>
      </c>
      <c r="BM52" s="26">
        <f t="shared" si="17"/>
        <v>12618.218145301144</v>
      </c>
      <c r="BN52" s="26">
        <f t="shared" si="17"/>
        <v>12813.415480002466</v>
      </c>
      <c r="BO52" s="26">
        <f t="shared" si="17"/>
        <v>13009.18214026333</v>
      </c>
      <c r="BP52" s="26">
        <f t="shared" si="17"/>
        <v>13205.519786616624</v>
      </c>
      <c r="BQ52" s="26">
        <f t="shared" si="17"/>
        <v>13402.430084438449</v>
      </c>
      <c r="BR52" s="26">
        <f t="shared" si="17"/>
        <v>13599.914703962255</v>
      </c>
      <c r="BS52" s="26">
        <f t="shared" si="17"/>
        <v>13797.975320293004</v>
      </c>
      <c r="BT52" s="26">
        <f t="shared" si="17"/>
        <v>13996.613613421385</v>
      </c>
      <c r="BU52" s="26">
        <f t="shared" si="17"/>
        <v>14195.831268238057</v>
      </c>
      <c r="BV52" s="26">
        <f t="shared" si="17"/>
        <v>14395.629974547943</v>
      </c>
      <c r="BW52" s="26">
        <f t="shared" si="17"/>
        <v>14596.011427084566</v>
      </c>
      <c r="BX52" s="26">
        <f t="shared" si="17"/>
        <v>14796.977325524424</v>
      </c>
      <c r="BY52" s="26">
        <f t="shared" si="17"/>
        <v>14998.529374501395</v>
      </c>
      <c r="BZ52" s="26">
        <f t="shared" si="17"/>
        <v>15200.669283621217</v>
      </c>
      <c r="CA52" s="26">
        <f t="shared" si="17"/>
        <v>15403.398767475974</v>
      </c>
      <c r="CB52" s="26">
        <f t="shared" si="17"/>
        <v>15606.719545658638</v>
      </c>
      <c r="CC52" s="26">
        <f t="shared" si="17"/>
        <v>15810.633342777666</v>
      </c>
      <c r="CD52" s="26">
        <f t="shared" si="17"/>
        <v>16015.141888471628</v>
      </c>
      <c r="CE52" s="26">
        <f t="shared" si="17"/>
        <v>16220.246917423863</v>
      </c>
      <c r="CF52" s="26">
        <f t="shared" si="17"/>
        <v>16425.950169377207</v>
      </c>
      <c r="CG52" s="26">
        <f t="shared" si="17"/>
        <v>16632.253389148751</v>
      </c>
      <c r="CH52" s="26">
        <f t="shared" si="17"/>
        <v>16839.158326644629</v>
      </c>
      <c r="CI52" s="26">
        <f t="shared" ref="CI52:CU52" si="18">SUM(CI2:CI47)</f>
        <v>17046.666736874868</v>
      </c>
      <c r="CJ52" s="26">
        <f t="shared" si="18"/>
        <v>17254.780379968277</v>
      </c>
      <c r="CK52" s="26">
        <f t="shared" si="18"/>
        <v>17463.501021187378</v>
      </c>
      <c r="CL52" s="26">
        <f t="shared" si="18"/>
        <v>17672.830430943366</v>
      </c>
      <c r="CM52" s="26">
        <f t="shared" si="18"/>
        <v>17882.770384811145</v>
      </c>
      <c r="CN52" s="26">
        <f t="shared" si="18"/>
        <v>18093.322663544372</v>
      </c>
      <c r="CO52" s="26">
        <f t="shared" si="18"/>
        <v>18304.489053090569</v>
      </c>
      <c r="CP52" s="26">
        <f t="shared" si="18"/>
        <v>18516.271344606273</v>
      </c>
      <c r="CQ52" s="26">
        <f t="shared" si="18"/>
        <v>18728.671334472234</v>
      </c>
      <c r="CR52" s="26">
        <f t="shared" si="18"/>
        <v>18941.69082430864</v>
      </c>
      <c r="CS52" s="26">
        <f t="shared" si="18"/>
        <v>19155.331620990397</v>
      </c>
      <c r="CT52" s="26">
        <f t="shared" si="18"/>
        <v>19369.59553666248</v>
      </c>
      <c r="CU52" s="26">
        <f t="shared" si="18"/>
        <v>6251639.0334205106</v>
      </c>
    </row>
    <row r="53" spans="1:99" x14ac:dyDescent="0.25">
      <c r="A53" s="11" t="s">
        <v>181</v>
      </c>
      <c r="B53" s="11" t="s">
        <v>185</v>
      </c>
      <c r="C53" s="11" t="s">
        <v>187</v>
      </c>
      <c r="F53" s="27"/>
      <c r="G53" s="46">
        <f>SUM(H52:CU52)</f>
        <v>2339457.0386983487</v>
      </c>
      <c r="H53" s="49">
        <f>SUM(H52:R52)</f>
        <v>-369934.50210239767</v>
      </c>
      <c r="I53" s="49"/>
      <c r="J53" s="49"/>
      <c r="K53" s="49"/>
      <c r="L53" s="49"/>
      <c r="M53" s="49"/>
      <c r="N53" s="49"/>
      <c r="O53" s="49"/>
      <c r="P53" s="49"/>
      <c r="Q53" s="49"/>
      <c r="R53" s="50"/>
      <c r="S53" s="51">
        <f>SUM(S52:AD52)</f>
        <v>-944078.60294148233</v>
      </c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50"/>
      <c r="AE53" s="51">
        <f>SUM(AE52:AP52)</f>
        <v>-3369526.728447177</v>
      </c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50"/>
      <c r="AQ53" s="51">
        <f>SUM(AQ52:BB52)</f>
        <v>113777.09515021845</v>
      </c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50"/>
      <c r="BC53" s="51">
        <f>SUM(BC52:BN52)</f>
        <v>141002.03563772753</v>
      </c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50"/>
      <c r="BO53" s="51">
        <f>SUM(BO52:BZ52)</f>
        <v>169195.28430251268</v>
      </c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50"/>
      <c r="CA53" s="51">
        <f>SUM(CA52:CL52)</f>
        <v>198391.28091595226</v>
      </c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50"/>
      <c r="CM53" s="51">
        <f>SUM(CM52:CU52)</f>
        <v>6400631.1761829965</v>
      </c>
      <c r="CN53" s="49"/>
      <c r="CO53" s="49"/>
      <c r="CP53" s="49"/>
      <c r="CQ53" s="49"/>
      <c r="CR53" s="49"/>
      <c r="CS53" s="49"/>
      <c r="CT53" s="49"/>
      <c r="CU53" s="50"/>
    </row>
    <row r="54" spans="1:99" x14ac:dyDescent="0.25">
      <c r="A54" s="11" t="s">
        <v>181</v>
      </c>
      <c r="B54" s="11" t="s">
        <v>188</v>
      </c>
      <c r="C54" s="11" t="s">
        <v>189</v>
      </c>
      <c r="F54" s="27"/>
      <c r="G54" s="45">
        <v>0.06</v>
      </c>
      <c r="H54" s="29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</row>
    <row r="55" spans="1:99" x14ac:dyDescent="0.25">
      <c r="A55" s="11" t="s">
        <v>181</v>
      </c>
      <c r="B55" s="11" t="s">
        <v>188</v>
      </c>
      <c r="C55" s="11" t="s">
        <v>91</v>
      </c>
      <c r="F55" s="27"/>
      <c r="G55" s="45">
        <f xml:space="preserve"> (1+G54)^(1/12)-1</f>
        <v>4.8675505653430484E-3</v>
      </c>
      <c r="H55" s="29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</row>
    <row r="56" spans="1:99" x14ac:dyDescent="0.25">
      <c r="A56" s="11" t="s">
        <v>181</v>
      </c>
      <c r="B56" s="11" t="s">
        <v>188</v>
      </c>
      <c r="C56" s="11" t="s">
        <v>92</v>
      </c>
      <c r="F56" s="27"/>
      <c r="G56" s="45">
        <v>5.0000000000000001E-4</v>
      </c>
      <c r="H56" s="29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spans="1:99" x14ac:dyDescent="0.25">
      <c r="A57" s="11" t="s">
        <v>181</v>
      </c>
      <c r="B57" s="11" t="s">
        <v>190</v>
      </c>
      <c r="C57" s="11" t="s">
        <v>93</v>
      </c>
      <c r="F57" s="27"/>
      <c r="G57" s="45">
        <f>NPV(G55,Q52:CU52)+SUM(H52:P52)</f>
        <v>395285.73410043464</v>
      </c>
      <c r="H57" s="33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</row>
    <row r="58" spans="1:99" x14ac:dyDescent="0.25">
      <c r="A58" s="11" t="s">
        <v>181</v>
      </c>
      <c r="B58" s="11" t="s">
        <v>190</v>
      </c>
      <c r="C58" s="11" t="s">
        <v>94</v>
      </c>
      <c r="F58" s="27"/>
      <c r="G58" s="45">
        <f>CU58</f>
        <v>4.4682883092965753E-3</v>
      </c>
      <c r="H58" s="32"/>
      <c r="I58" s="26">
        <f>MIRR(H52:I52,G56,G55)</f>
        <v>-0.99999985674408887</v>
      </c>
      <c r="J58" s="26">
        <f>MIRR($H$52:J52,$G$56,$G$55)</f>
        <v>-0.99946472885376048</v>
      </c>
      <c r="K58" s="26">
        <f>MIRR($H$52:K52,$G$56,$G$55)</f>
        <v>-0.99526056675821217</v>
      </c>
      <c r="L58" s="26">
        <f>MIRR($H$52:L52,$G$56,$G$55)</f>
        <v>-0.98000967956116403</v>
      </c>
      <c r="M58" s="26">
        <f>MIRR($H$52:M52,$G$56,$G$55)</f>
        <v>-0.97051250317270843</v>
      </c>
      <c r="N58" s="26">
        <f>MIRR($H$52:N52,$G$56,$G$55)</f>
        <v>-0.94696782226707721</v>
      </c>
      <c r="O58" s="26">
        <f>MIRR($H$52:O52,$G$56,$G$55)</f>
        <v>-0.91595263125743631</v>
      </c>
      <c r="P58" s="26">
        <f>MIRR($H$52:P52,$G$56,$G$55)</f>
        <v>-0.89698614337707672</v>
      </c>
      <c r="Q58" s="26">
        <f>MIRR($H$52:Q52,$G$56,$G$55)</f>
        <v>-0.86906235107512964</v>
      </c>
      <c r="R58" s="26">
        <f>MIRR($H$52:R52,$G$56,$G$55)</f>
        <v>-0.83968661448269022</v>
      </c>
      <c r="S58" s="26">
        <f>MIRR($H$52:S52,$G$56,$G$55)</f>
        <v>-0.80682378352909889</v>
      </c>
      <c r="T58" s="26">
        <f>MIRR($H$52:T52,$G$56,$G$55)</f>
        <v>-0.78502656670230786</v>
      </c>
      <c r="U58" s="26">
        <f>MIRR($H$52:U52,$G$56,$G$55)</f>
        <v>-0.7546568752653986</v>
      </c>
      <c r="V58" s="26">
        <f>MIRR($H$52:V52,$G$56,$G$55)</f>
        <v>-0.72576235237749176</v>
      </c>
      <c r="W58" s="26">
        <f>MIRR($H$52:W52,$G$56,$G$55)</f>
        <v>-0.70205403276144485</v>
      </c>
      <c r="X58" s="26">
        <f>MIRR($H$52:X52,$G$56,$G$55)</f>
        <v>-0.68101821314570676</v>
      </c>
      <c r="Y58" s="26">
        <f>MIRR($H$52:Y52,$G$56,$G$55)</f>
        <v>-0.66216554625960478</v>
      </c>
      <c r="Z58" s="26">
        <f>MIRR($H$52:Z52,$G$56,$G$55)</f>
        <v>-0.64289261627345695</v>
      </c>
      <c r="AA58" s="26">
        <f>MIRR($H$52:AA52,$G$56,$G$55)</f>
        <v>-0.62492249628850527</v>
      </c>
      <c r="AB58" s="26">
        <f>MIRR($H$52:AB52,$G$56,$G$55)</f>
        <v>-0.60857407233750127</v>
      </c>
      <c r="AC58" s="26">
        <f>MIRR($H$52:AC52,$G$56,$G$55)</f>
        <v>-0.59277721541759787</v>
      </c>
      <c r="AD58" s="26">
        <f>MIRR($H$52:AD52,$G$56,$G$55)</f>
        <v>-0.57782314229200016</v>
      </c>
      <c r="AE58" s="26">
        <f>MIRR($H$52:AE52,$G$56,$G$55)</f>
        <v>-0.56555639316164275</v>
      </c>
      <c r="AF58" s="26">
        <f>MIRR($H$52:AF52,$G$56,$G$55)</f>
        <v>-0.55396047674076354</v>
      </c>
      <c r="AG58" s="26">
        <f>MIRR($H$52:AG52,$G$56,$G$55)</f>
        <v>-0.54281140179499898</v>
      </c>
      <c r="AH58" s="26">
        <f>MIRR($H$52:AH52,$G$56,$G$55)</f>
        <v>-0.53246936215813179</v>
      </c>
      <c r="AI58" s="26">
        <f>MIRR($H$52:AI52,$G$56,$G$55)</f>
        <v>-0.5227375395780538</v>
      </c>
      <c r="AJ58" s="26">
        <f>MIRR($H$52:AJ52,$G$56,$G$55)</f>
        <v>-0.51351502878741329</v>
      </c>
      <c r="AK58" s="26">
        <f>MIRR($H$52:AK52,$G$56,$G$55)</f>
        <v>-0.50366076796913339</v>
      </c>
      <c r="AL58" s="26">
        <f>MIRR($H$52:AL52,$G$56,$G$55)</f>
        <v>-0.49320782683901432</v>
      </c>
      <c r="AM58" s="26">
        <f>MIRR($H$52:AM52,$G$56,$G$55)</f>
        <v>-0.48254059995346621</v>
      </c>
      <c r="AN58" s="26">
        <f>MIRR($H$52:AN52,$G$56,$G$55)</f>
        <v>-4.8315759281810422E-2</v>
      </c>
      <c r="AO58" s="26">
        <f>MIRR($H$52:AO52,$G$56,$G$55)</f>
        <v>-4.6551822700980128E-2</v>
      </c>
      <c r="AP58" s="26">
        <f>MIRR($H$52:AP52,$G$56,$G$55)</f>
        <v>-4.48866456602528E-2</v>
      </c>
      <c r="AQ58" s="26">
        <f>MIRR($H$52:AQ52,$G$56,$G$55)</f>
        <v>-4.3312068745977927E-2</v>
      </c>
      <c r="AR58" s="26">
        <f>MIRR($H$52:AR52,$G$56,$G$55)</f>
        <v>-4.1820813646951782E-2</v>
      </c>
      <c r="AS58" s="26">
        <f>MIRR($H$52:AS52,$G$56,$G$55)</f>
        <v>-4.0406367216675232E-2</v>
      </c>
      <c r="AT58" s="26">
        <f>MIRR($H$52:AT52,$G$56,$G$55)</f>
        <v>-3.9062883367353529E-2</v>
      </c>
      <c r="AU58" s="26">
        <f>MIRR($H$52:AU52,$G$56,$G$55)</f>
        <v>-3.7785099676984735E-2</v>
      </c>
      <c r="AV58" s="26">
        <f>MIRR($H$52:AV52,$G$56,$G$55)</f>
        <v>-3.6568266198881094E-2</v>
      </c>
      <c r="AW58" s="26">
        <f>MIRR($H$52:AW52,$G$56,$G$55)</f>
        <v>-3.5408084440817444E-2</v>
      </c>
      <c r="AX58" s="26">
        <f>MIRR($H$52:AX52,$G$56,$G$55)</f>
        <v>-3.4300654858933299E-2</v>
      </c>
      <c r="AY58" s="26">
        <f>MIRR($H$52:AY52,$G$56,$G$55)</f>
        <v>-3.3242431512212733E-2</v>
      </c>
      <c r="AZ58" s="26">
        <f>MIRR($H$52:AZ52,$G$56,$G$55)</f>
        <v>-3.223018276397227E-2</v>
      </c>
      <c r="BA58" s="26">
        <f>MIRR($H$52:BA52,$G$56,$G$55)</f>
        <v>-3.1260957110350929E-2</v>
      </c>
      <c r="BB58" s="26">
        <f>MIRR($H$52:BB52,$G$56,$G$55)</f>
        <v>-3.0332053372325918E-2</v>
      </c>
      <c r="BC58" s="26">
        <f>MIRR($H$52:BC52,$G$56,$G$55)</f>
        <v>-2.9440994614968075E-2</v>
      </c>
      <c r="BD58" s="26">
        <f>MIRR($H$52:BD52,$G$56,$G$55)</f>
        <v>-2.858550526150061E-2</v>
      </c>
      <c r="BE58" s="26">
        <f>MIRR($H$52:BE52,$G$56,$G$55)</f>
        <v>-2.7763490954886616E-2</v>
      </c>
      <c r="BF58" s="26">
        <f>MIRR($H$52:BF52,$G$56,$G$55)</f>
        <v>-2.6973020789812341E-2</v>
      </c>
      <c r="BG58" s="26">
        <f>MIRR($H$52:BG52,$G$56,$G$55)</f>
        <v>-2.6212311595942062E-2</v>
      </c>
      <c r="BH58" s="26">
        <f>MIRR($H$52:BH52,$G$56,$G$55)</f>
        <v>-2.5479714001478082E-2</v>
      </c>
      <c r="BI58" s="26">
        <f>MIRR($H$52:BI52,$G$56,$G$55)</f>
        <v>-2.4773700046199387E-2</v>
      </c>
      <c r="BJ58" s="26">
        <f>MIRR($H$52:BJ52,$G$56,$G$55)</f>
        <v>-2.4092852146721189E-2</v>
      </c>
      <c r="BK58" s="26">
        <f>MIRR($H$52:BK52,$G$56,$G$55)</f>
        <v>-2.3435853244895943E-2</v>
      </c>
      <c r="BL58" s="26">
        <f>MIRR($H$52:BL52,$G$56,$G$55)</f>
        <v>-2.2801477994006114E-2</v>
      </c>
      <c r="BM58" s="26">
        <f>MIRR($H$52:BM52,$G$56,$G$55)</f>
        <v>-2.2188584857446236E-2</v>
      </c>
      <c r="BN58" s="26">
        <f>MIRR($H$52:BN52,$G$56,$G$55)</f>
        <v>-2.1596109011582043E-2</v>
      </c>
      <c r="BO58" s="26">
        <f>MIRR($H$52:BO52,$G$56,$G$55)</f>
        <v>-2.1023055958919401E-2</v>
      </c>
      <c r="BP58" s="26">
        <f>MIRR($H$52:BP52,$G$56,$G$55)</f>
        <v>-2.0468495770023853E-2</v>
      </c>
      <c r="BQ58" s="26">
        <f>MIRR($H$52:BQ52,$G$56,$G$55)</f>
        <v>-1.9931557883160811E-2</v>
      </c>
      <c r="BR58" s="26">
        <f>MIRR($H$52:BR52,$G$56,$G$55)</f>
        <v>-1.9411426399642773E-2</v>
      </c>
      <c r="BS58" s="26">
        <f>MIRR($H$52:BS52,$G$56,$G$55)</f>
        <v>-1.8907335820629423E-2</v>
      </c>
      <c r="BT58" s="26">
        <f>MIRR($H$52:BT52,$G$56,$G$55)</f>
        <v>-1.8418567177799661E-2</v>
      </c>
      <c r="BU58" s="26">
        <f>MIRR($H$52:BU52,$G$56,$G$55)</f>
        <v>-1.7944444516087232E-2</v>
      </c>
      <c r="BV58" s="26">
        <f>MIRR($H$52:BV52,$G$56,$G$55)</f>
        <v>-1.7484331691665522E-2</v>
      </c>
      <c r="BW58" s="26">
        <f>MIRR($H$52:BW52,$G$56,$G$55)</f>
        <v>-1.7037629452696712E-2</v>
      </c>
      <c r="BX58" s="26">
        <f>MIRR($H$52:BX52,$G$56,$G$55)</f>
        <v>-1.6603772774132275E-2</v>
      </c>
      <c r="BY58" s="26">
        <f>MIRR($H$52:BY52,$G$56,$G$55)</f>
        <v>-1.6182228421132483E-2</v>
      </c>
      <c r="BZ58" s="26">
        <f>MIRR($H$52:BZ52,$G$56,$G$55)</f>
        <v>-1.5772492718540532E-2</v>
      </c>
      <c r="CA58" s="26">
        <f>MIRR($H$52:CA52,$G$56,$G$55)</f>
        <v>-1.5374089506354882E-2</v>
      </c>
      <c r="CB58" s="26">
        <f>MIRR($H$52:CB52,$G$56,$G$55)</f>
        <v>-1.4986568263343658E-2</v>
      </c>
      <c r="CC58" s="26">
        <f>MIRR($H$52:CC52,$G$56,$G$55)</f>
        <v>-1.4609502382876061E-2</v>
      </c>
      <c r="CD58" s="26">
        <f>MIRR($H$52:CD52,$G$56,$G$55)</f>
        <v>-1.4242487586745289E-2</v>
      </c>
      <c r="CE58" s="26">
        <f>MIRR($H$52:CE52,$G$56,$G$55)</f>
        <v>-1.3885140464258039E-2</v>
      </c>
      <c r="CF58" s="26">
        <f>MIRR($H$52:CF52,$G$56,$G$55)</f>
        <v>-1.3537097125184916E-2</v>
      </c>
      <c r="CG58" s="26">
        <f>MIRR($H$52:CG52,$G$56,$G$55)</f>
        <v>-1.319801195634196E-2</v>
      </c>
      <c r="CH58" s="26">
        <f>MIRR($H$52:CH52,$G$56,$G$55)</f>
        <v>-1.2867556472605846E-2</v>
      </c>
      <c r="CI58" s="26">
        <f>MIRR($H$52:CI52,$G$56,$G$55)</f>
        <v>-1.2545418254089724E-2</v>
      </c>
      <c r="CJ58" s="26">
        <f>MIRR($H$52:CJ52,$G$56,$G$55)</f>
        <v>-1.2231299962020992E-2</v>
      </c>
      <c r="CK58" s="26">
        <f>MIRR($H$52:CK52,$G$56,$G$55)</f>
        <v>-1.19249184265946E-2</v>
      </c>
      <c r="CL58" s="26">
        <f>MIRR($H$52:CL52,$G$56,$G$55)</f>
        <v>-1.1626003800721874E-2</v>
      </c>
      <c r="CM58" s="26">
        <f>MIRR($H$52:CM52,$G$56,$G$55)</f>
        <v>-1.1334298774174356E-2</v>
      </c>
      <c r="CN58" s="26">
        <f>MIRR($H$52:CN52,$G$56,$G$55)</f>
        <v>-1.1049557843144653E-2</v>
      </c>
      <c r="CO58" s="26">
        <f>MIRR($H$52:CO52,$G$56,$G$55)</f>
        <v>-1.0771546630703011E-2</v>
      </c>
      <c r="CP58" s="26">
        <f>MIRR($H$52:CP52,$G$56,$G$55)</f>
        <v>-1.050004125405235E-2</v>
      </c>
      <c r="CQ58" s="26">
        <f>MIRR($H$52:CQ52,$G$56,$G$55)</f>
        <v>-1.0234827734851404E-2</v>
      </c>
      <c r="CR58" s="26">
        <f>MIRR($H$52:CR52,$G$56,$G$55)</f>
        <v>-9.9757014492145579E-3</v>
      </c>
      <c r="CS58" s="26">
        <f>MIRR($H$52:CS52,$G$56,$G$55)</f>
        <v>-9.7224666142986527E-3</v>
      </c>
      <c r="CT58" s="26">
        <f>MIRR($H$52:CT52,$G$56,$G$55)</f>
        <v>-9.4749358086582136E-3</v>
      </c>
      <c r="CU58" s="26">
        <f>MIRR($H$52:CU52,$G$56,$G$55)</f>
        <v>4.4682883092965753E-3</v>
      </c>
    </row>
    <row r="59" spans="1:99" x14ac:dyDescent="0.25">
      <c r="F59" s="36"/>
      <c r="G59" s="45"/>
      <c r="H59" s="37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</row>
  </sheetData>
  <mergeCells count="8">
    <mergeCell ref="BO53:BZ53"/>
    <mergeCell ref="CA53:CL53"/>
    <mergeCell ref="CM53:CU53"/>
    <mergeCell ref="H53:R53"/>
    <mergeCell ref="S53:AD53"/>
    <mergeCell ref="AE53:AP53"/>
    <mergeCell ref="AQ53:BB53"/>
    <mergeCell ref="BC53:BN53"/>
  </mergeCells>
  <conditionalFormatting sqref="AG19 AG22 AJ19 AJ22 AM19 AM22 AP22">
    <cfRule type="cellIs" dxfId="64" priority="10" stopIfTrue="1" operator="equal">
      <formula>#REF!</formula>
    </cfRule>
  </conditionalFormatting>
  <conditionalFormatting sqref="Y19:AF19 Y22:AF22 AH19:AI19 AH22:AI22 AK19:AL19 AK22:AL22 AN22:AO22 H33:V39 W33:CU36 W38:BC38 W39 N24:R24 H23:M24 N23:CU23 H16:W17 Y16:CU16 X17:CU17 H6:W12 Y7:AM7 X8:AM8 X6:AM6 Z9:AM9 AN6:CU9 X9:Y12 Z10:CU12 H40:CU45 H2:CU5 AN39:CU39 H13:CU15 H18:H22 AQ22:CU22 H25:CU32 K22:R22 K18:K21 Z18:AM18 Z21:AM21 X20:AH20 AW18:CU21 H46:AM46">
    <cfRule type="cellIs" dxfId="63" priority="12" stopIfTrue="1" operator="equal">
      <formula>#REF!</formula>
    </cfRule>
  </conditionalFormatting>
  <conditionalFormatting sqref="X7 X16 X19 S22:X22 W37:CU37 S24:CU24">
    <cfRule type="cellIs" dxfId="62" priority="11" stopIfTrue="1" operator="equal">
      <formula>#REF!</formula>
    </cfRule>
  </conditionalFormatting>
  <conditionalFormatting sqref="H47:CU47">
    <cfRule type="cellIs" dxfId="61" priority="9" stopIfTrue="1" operator="equal">
      <formula>#REF!</formula>
    </cfRule>
  </conditionalFormatting>
  <conditionalFormatting sqref="I18:J22">
    <cfRule type="cellIs" dxfId="60" priority="8" stopIfTrue="1" operator="equal">
      <formula>#REF!</formula>
    </cfRule>
  </conditionalFormatting>
  <conditionalFormatting sqref="L18:S21">
    <cfRule type="cellIs" dxfId="59" priority="7" stopIfTrue="1" operator="equal">
      <formula>#REF!</formula>
    </cfRule>
  </conditionalFormatting>
  <conditionalFormatting sqref="T18:W21">
    <cfRule type="cellIs" dxfId="58" priority="6" stopIfTrue="1" operator="equal">
      <formula>#REF!</formula>
    </cfRule>
  </conditionalFormatting>
  <conditionalFormatting sqref="X18:Y18">
    <cfRule type="cellIs" dxfId="57" priority="5" stopIfTrue="1" operator="equal">
      <formula>#REF!</formula>
    </cfRule>
  </conditionalFormatting>
  <conditionalFormatting sqref="X21:Y21">
    <cfRule type="cellIs" dxfId="56" priority="4" stopIfTrue="1" operator="equal">
      <formula>#REF!</formula>
    </cfRule>
  </conditionalFormatting>
  <conditionalFormatting sqref="AI20:AM20">
    <cfRule type="cellIs" dxfId="55" priority="3" stopIfTrue="1" operator="equal">
      <formula>#REF!</formula>
    </cfRule>
  </conditionalFormatting>
  <conditionalFormatting sqref="AN18:AV21">
    <cfRule type="cellIs" dxfId="54" priority="2" stopIfTrue="1" operator="equal">
      <formula>#REF!</formula>
    </cfRule>
  </conditionalFormatting>
  <conditionalFormatting sqref="AN46:CU46">
    <cfRule type="cellIs" dxfId="53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 E2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"/>
  <dimension ref="A1:CU59"/>
  <sheetViews>
    <sheetView zoomScale="85" zoomScaleNormal="85" workbookViewId="0">
      <pane xSplit="7" ySplit="1" topLeftCell="H35" activePane="bottomRight" state="frozen"/>
      <selection pane="topRight" activeCell="J1" sqref="J1"/>
      <selection pane="bottomLeft" activeCell="A9" sqref="A9"/>
      <selection pane="bottomRight" activeCell="E25" sqref="E25"/>
    </sheetView>
  </sheetViews>
  <sheetFormatPr baseColWidth="10" defaultColWidth="10.7109375" defaultRowHeight="15" x14ac:dyDescent="0.25"/>
  <cols>
    <col min="1" max="1" width="10.7109375" style="11"/>
    <col min="2" max="2" width="24.140625" style="11" bestFit="1" customWidth="1"/>
    <col min="3" max="3" width="57.85546875" style="11" bestFit="1" customWidth="1"/>
    <col min="4" max="4" width="10.7109375" style="12"/>
    <col min="5" max="5" width="14" style="11" customWidth="1"/>
    <col min="6" max="6" width="18" style="11" customWidth="1"/>
    <col min="7" max="7" width="18.28515625" style="39" bestFit="1" customWidth="1"/>
    <col min="8" max="10" width="10.7109375" style="39"/>
    <col min="11" max="11" width="11.42578125" style="39" bestFit="1" customWidth="1"/>
    <col min="12" max="15" width="10.7109375" style="39"/>
    <col min="16" max="16" width="11.42578125" style="39" bestFit="1" customWidth="1"/>
    <col min="17" max="17" width="10.7109375" style="39"/>
    <col min="18" max="18" width="11.42578125" style="39" bestFit="1" customWidth="1"/>
    <col min="19" max="19" width="10.7109375" style="39"/>
    <col min="20" max="20" width="11.42578125" style="39" bestFit="1" customWidth="1"/>
    <col min="21" max="27" width="10.7109375" style="39"/>
    <col min="28" max="39" width="11.42578125" style="39" bestFit="1" customWidth="1"/>
    <col min="40" max="40" width="12.28515625" style="39" bestFit="1" customWidth="1"/>
    <col min="41" max="55" width="10.7109375" style="39"/>
    <col min="56" max="98" width="10.7109375" style="11"/>
    <col min="99" max="99" width="12.28515625" style="11" bestFit="1" customWidth="1"/>
    <col min="100" max="100" width="12.85546875" style="11" bestFit="1" customWidth="1"/>
    <col min="101" max="16384" width="10.7109375" style="11"/>
  </cols>
  <sheetData>
    <row r="1" spans="1:99" x14ac:dyDescent="0.25">
      <c r="A1" s="43" t="s">
        <v>191</v>
      </c>
      <c r="B1" s="43" t="s">
        <v>192</v>
      </c>
      <c r="C1" s="43" t="s">
        <v>193</v>
      </c>
      <c r="D1" s="44" t="s">
        <v>184</v>
      </c>
      <c r="E1" s="16" t="s">
        <v>194</v>
      </c>
      <c r="F1" s="16" t="s">
        <v>195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46</v>
      </c>
      <c r="M1" s="17" t="s">
        <v>47</v>
      </c>
      <c r="N1" s="17" t="s">
        <v>48</v>
      </c>
      <c r="O1" s="17" t="s">
        <v>49</v>
      </c>
      <c r="P1" s="17" t="s">
        <v>50</v>
      </c>
      <c r="Q1" s="17" t="s">
        <v>51</v>
      </c>
      <c r="R1" s="17" t="s">
        <v>52</v>
      </c>
      <c r="S1" s="17" t="s">
        <v>53</v>
      </c>
      <c r="T1" s="17" t="s">
        <v>54</v>
      </c>
      <c r="U1" s="17" t="s">
        <v>55</v>
      </c>
      <c r="V1" s="17" t="s">
        <v>56</v>
      </c>
      <c r="W1" s="17" t="s">
        <v>57</v>
      </c>
      <c r="X1" s="17" t="s">
        <v>58</v>
      </c>
      <c r="Y1" s="17" t="s">
        <v>59</v>
      </c>
      <c r="Z1" s="17" t="s">
        <v>60</v>
      </c>
      <c r="AA1" s="17" t="s">
        <v>61</v>
      </c>
      <c r="AB1" s="17" t="s">
        <v>62</v>
      </c>
      <c r="AC1" s="17" t="s">
        <v>63</v>
      </c>
      <c r="AD1" s="17" t="s">
        <v>64</v>
      </c>
      <c r="AE1" s="17" t="s">
        <v>65</v>
      </c>
      <c r="AF1" s="17" t="s">
        <v>66</v>
      </c>
      <c r="AG1" s="17" t="s">
        <v>67</v>
      </c>
      <c r="AH1" s="17" t="s">
        <v>68</v>
      </c>
      <c r="AI1" s="17" t="s">
        <v>69</v>
      </c>
      <c r="AJ1" s="17" t="s">
        <v>70</v>
      </c>
      <c r="AK1" s="17" t="s">
        <v>71</v>
      </c>
      <c r="AL1" s="17" t="s">
        <v>72</v>
      </c>
      <c r="AM1" s="17" t="s">
        <v>73</v>
      </c>
      <c r="AN1" s="17" t="s">
        <v>74</v>
      </c>
      <c r="AO1" s="17" t="s">
        <v>75</v>
      </c>
      <c r="AP1" s="17" t="s">
        <v>76</v>
      </c>
      <c r="AQ1" s="17" t="s">
        <v>77</v>
      </c>
      <c r="AR1" s="17" t="s">
        <v>78</v>
      </c>
      <c r="AS1" s="17" t="s">
        <v>79</v>
      </c>
      <c r="AT1" s="17" t="s">
        <v>80</v>
      </c>
      <c r="AU1" s="17" t="s">
        <v>81</v>
      </c>
      <c r="AV1" s="17" t="s">
        <v>82</v>
      </c>
      <c r="AW1" s="17" t="s">
        <v>83</v>
      </c>
      <c r="AX1" s="17" t="s">
        <v>84</v>
      </c>
      <c r="AY1" s="17" t="s">
        <v>85</v>
      </c>
      <c r="AZ1" s="17" t="s">
        <v>86</v>
      </c>
      <c r="BA1" s="17" t="s">
        <v>87</v>
      </c>
      <c r="BB1" s="17" t="s">
        <v>88</v>
      </c>
      <c r="BC1" s="17" t="s">
        <v>89</v>
      </c>
      <c r="BD1" s="17" t="s">
        <v>96</v>
      </c>
      <c r="BE1" s="17" t="s">
        <v>97</v>
      </c>
      <c r="BF1" s="17" t="s">
        <v>98</v>
      </c>
      <c r="BG1" s="17" t="s">
        <v>99</v>
      </c>
      <c r="BH1" s="17" t="s">
        <v>100</v>
      </c>
      <c r="BI1" s="17" t="s">
        <v>101</v>
      </c>
      <c r="BJ1" s="17" t="s">
        <v>102</v>
      </c>
      <c r="BK1" s="17" t="s">
        <v>103</v>
      </c>
      <c r="BL1" s="17" t="s">
        <v>104</v>
      </c>
      <c r="BM1" s="17" t="s">
        <v>105</v>
      </c>
      <c r="BN1" s="17" t="s">
        <v>106</v>
      </c>
      <c r="BO1" s="17" t="s">
        <v>107</v>
      </c>
      <c r="BP1" s="17" t="s">
        <v>108</v>
      </c>
      <c r="BQ1" s="17" t="s">
        <v>109</v>
      </c>
      <c r="BR1" s="17" t="s">
        <v>110</v>
      </c>
      <c r="BS1" s="17" t="s">
        <v>111</v>
      </c>
      <c r="BT1" s="17" t="s">
        <v>112</v>
      </c>
      <c r="BU1" s="17" t="s">
        <v>113</v>
      </c>
      <c r="BV1" s="17" t="s">
        <v>114</v>
      </c>
      <c r="BW1" s="17" t="s">
        <v>115</v>
      </c>
      <c r="BX1" s="17" t="s">
        <v>116</v>
      </c>
      <c r="BY1" s="17" t="s">
        <v>117</v>
      </c>
      <c r="BZ1" s="17" t="s">
        <v>118</v>
      </c>
      <c r="CA1" s="17" t="s">
        <v>119</v>
      </c>
      <c r="CB1" s="17" t="s">
        <v>120</v>
      </c>
      <c r="CC1" s="17" t="s">
        <v>121</v>
      </c>
      <c r="CD1" s="17" t="s">
        <v>122</v>
      </c>
      <c r="CE1" s="17" t="s">
        <v>123</v>
      </c>
      <c r="CF1" s="17" t="s">
        <v>124</v>
      </c>
      <c r="CG1" s="17" t="s">
        <v>125</v>
      </c>
      <c r="CH1" s="17" t="s">
        <v>126</v>
      </c>
      <c r="CI1" s="17" t="s">
        <v>127</v>
      </c>
      <c r="CJ1" s="17" t="s">
        <v>128</v>
      </c>
      <c r="CK1" s="17" t="s">
        <v>129</v>
      </c>
      <c r="CL1" s="17" t="s">
        <v>130</v>
      </c>
      <c r="CM1" s="17" t="s">
        <v>131</v>
      </c>
      <c r="CN1" s="17" t="s">
        <v>132</v>
      </c>
      <c r="CO1" s="17" t="s">
        <v>133</v>
      </c>
      <c r="CP1" s="17" t="s">
        <v>134</v>
      </c>
      <c r="CQ1" s="17" t="s">
        <v>135</v>
      </c>
      <c r="CR1" s="17" t="s">
        <v>136</v>
      </c>
      <c r="CS1" s="17" t="s">
        <v>137</v>
      </c>
      <c r="CT1" s="17" t="s">
        <v>138</v>
      </c>
      <c r="CU1" s="17" t="s">
        <v>139</v>
      </c>
    </row>
    <row r="2" spans="1:99" x14ac:dyDescent="0.25">
      <c r="A2" s="11" t="s">
        <v>4</v>
      </c>
      <c r="B2" s="11" t="s">
        <v>159</v>
      </c>
      <c r="C2" s="11" t="s">
        <v>31</v>
      </c>
      <c r="D2" s="40">
        <v>1</v>
      </c>
      <c r="E2" s="18">
        <v>5800</v>
      </c>
      <c r="F2" s="19">
        <f>D2*E2</f>
        <v>5800</v>
      </c>
      <c r="G2" s="20">
        <v>-5800</v>
      </c>
      <c r="H2" s="21">
        <v>0</v>
      </c>
      <c r="I2" s="21">
        <f>G2</f>
        <v>-5800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1">
        <v>0</v>
      </c>
      <c r="AG2" s="21">
        <v>0</v>
      </c>
      <c r="AH2" s="21">
        <v>0</v>
      </c>
      <c r="AI2" s="21">
        <v>0</v>
      </c>
      <c r="AJ2" s="21">
        <v>0</v>
      </c>
      <c r="AK2" s="21">
        <v>0</v>
      </c>
      <c r="AL2" s="21">
        <v>0</v>
      </c>
      <c r="AM2" s="21">
        <v>0</v>
      </c>
      <c r="AN2" s="21">
        <v>0</v>
      </c>
      <c r="AO2" s="21">
        <v>0</v>
      </c>
      <c r="AP2" s="21">
        <v>0</v>
      </c>
      <c r="AQ2" s="21">
        <v>0</v>
      </c>
      <c r="AR2" s="21">
        <v>0</v>
      </c>
      <c r="AS2" s="21">
        <v>0</v>
      </c>
      <c r="AT2" s="21">
        <v>0</v>
      </c>
      <c r="AU2" s="21">
        <v>0</v>
      </c>
      <c r="AV2" s="21">
        <v>0</v>
      </c>
      <c r="AW2" s="21">
        <v>0</v>
      </c>
      <c r="AX2" s="21">
        <v>0</v>
      </c>
      <c r="AY2" s="21">
        <v>0</v>
      </c>
      <c r="AZ2" s="21">
        <v>0</v>
      </c>
      <c r="BA2" s="21">
        <v>0</v>
      </c>
      <c r="BB2" s="21">
        <v>0</v>
      </c>
      <c r="BC2" s="21">
        <v>0</v>
      </c>
      <c r="BD2" s="21">
        <v>0</v>
      </c>
      <c r="BE2" s="21">
        <v>0</v>
      </c>
      <c r="BF2" s="21">
        <v>0</v>
      </c>
      <c r="BG2" s="21">
        <v>0</v>
      </c>
      <c r="BH2" s="21">
        <v>0</v>
      </c>
      <c r="BI2" s="21">
        <v>0</v>
      </c>
      <c r="BJ2" s="21">
        <v>0</v>
      </c>
      <c r="BK2" s="21">
        <v>0</v>
      </c>
      <c r="BL2" s="21">
        <v>0</v>
      </c>
      <c r="BM2" s="21">
        <v>0</v>
      </c>
      <c r="BN2" s="21">
        <v>0</v>
      </c>
      <c r="BO2" s="21">
        <v>0</v>
      </c>
      <c r="BP2" s="21">
        <v>0</v>
      </c>
      <c r="BQ2" s="21">
        <v>0</v>
      </c>
      <c r="BR2" s="21">
        <v>0</v>
      </c>
      <c r="BS2" s="21">
        <v>0</v>
      </c>
      <c r="BT2" s="21">
        <v>0</v>
      </c>
      <c r="BU2" s="21">
        <v>0</v>
      </c>
      <c r="BV2" s="21">
        <v>0</v>
      </c>
      <c r="BW2" s="21">
        <v>0</v>
      </c>
      <c r="BX2" s="21">
        <v>0</v>
      </c>
      <c r="BY2" s="21">
        <v>0</v>
      </c>
      <c r="BZ2" s="21">
        <v>0</v>
      </c>
      <c r="CA2" s="21">
        <v>0</v>
      </c>
      <c r="CB2" s="21">
        <v>0</v>
      </c>
      <c r="CC2" s="21">
        <v>0</v>
      </c>
      <c r="CD2" s="21">
        <v>0</v>
      </c>
      <c r="CE2" s="21">
        <v>0</v>
      </c>
      <c r="CF2" s="21">
        <v>0</v>
      </c>
      <c r="CG2" s="21">
        <v>0</v>
      </c>
      <c r="CH2" s="21">
        <v>0</v>
      </c>
      <c r="CI2" s="21">
        <v>0</v>
      </c>
      <c r="CJ2" s="21">
        <v>0</v>
      </c>
      <c r="CK2" s="21">
        <v>0</v>
      </c>
      <c r="CL2" s="21">
        <v>0</v>
      </c>
      <c r="CM2" s="21">
        <v>0</v>
      </c>
      <c r="CN2" s="21">
        <v>0</v>
      </c>
      <c r="CO2" s="21">
        <v>0</v>
      </c>
      <c r="CP2" s="21">
        <v>0</v>
      </c>
      <c r="CQ2" s="21">
        <v>0</v>
      </c>
      <c r="CR2" s="21">
        <v>0</v>
      </c>
      <c r="CS2" s="21">
        <v>0</v>
      </c>
      <c r="CT2" s="21">
        <v>0</v>
      </c>
      <c r="CU2" s="21">
        <v>0</v>
      </c>
    </row>
    <row r="3" spans="1:99" x14ac:dyDescent="0.25">
      <c r="A3" s="11" t="s">
        <v>4</v>
      </c>
      <c r="B3" s="11" t="s">
        <v>159</v>
      </c>
      <c r="C3" s="11" t="s">
        <v>18</v>
      </c>
      <c r="D3" s="41">
        <v>1</v>
      </c>
      <c r="E3" s="19">
        <v>1200</v>
      </c>
      <c r="F3" s="19">
        <f>D3*E3</f>
        <v>1200</v>
      </c>
      <c r="G3" s="13">
        <v>-1200</v>
      </c>
      <c r="H3" s="14">
        <v>0</v>
      </c>
      <c r="I3" s="14">
        <v>0</v>
      </c>
      <c r="J3" s="14">
        <v>0</v>
      </c>
      <c r="K3" s="14">
        <f>G3</f>
        <v>-1200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14">
        <v>0</v>
      </c>
      <c r="BU3" s="14">
        <v>0</v>
      </c>
      <c r="BV3" s="14">
        <v>0</v>
      </c>
      <c r="BW3" s="14">
        <v>0</v>
      </c>
      <c r="BX3" s="14">
        <v>0</v>
      </c>
      <c r="BY3" s="14">
        <v>0</v>
      </c>
      <c r="BZ3" s="14">
        <v>0</v>
      </c>
      <c r="CA3" s="14">
        <v>0</v>
      </c>
      <c r="CB3" s="14">
        <v>0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H3" s="14">
        <v>0</v>
      </c>
      <c r="CI3" s="14">
        <v>0</v>
      </c>
      <c r="CJ3" s="14">
        <v>0</v>
      </c>
      <c r="CK3" s="14">
        <v>0</v>
      </c>
      <c r="CL3" s="14">
        <v>0</v>
      </c>
      <c r="CM3" s="14">
        <v>0</v>
      </c>
      <c r="CN3" s="14">
        <v>0</v>
      </c>
      <c r="CO3" s="14">
        <v>0</v>
      </c>
      <c r="CP3" s="14">
        <v>0</v>
      </c>
      <c r="CQ3" s="14">
        <v>0</v>
      </c>
      <c r="CR3" s="14">
        <v>0</v>
      </c>
      <c r="CS3" s="14">
        <v>0</v>
      </c>
      <c r="CT3" s="14">
        <v>0</v>
      </c>
      <c r="CU3" s="14">
        <v>0</v>
      </c>
    </row>
    <row r="4" spans="1:99" x14ac:dyDescent="0.25">
      <c r="A4" s="11" t="s">
        <v>4</v>
      </c>
      <c r="B4" s="11" t="s">
        <v>159</v>
      </c>
      <c r="C4" s="11" t="s">
        <v>19</v>
      </c>
      <c r="D4" s="41">
        <v>1</v>
      </c>
      <c r="E4" s="19">
        <v>4500</v>
      </c>
      <c r="F4" s="19">
        <f>E4*D4</f>
        <v>4500</v>
      </c>
      <c r="G4" s="13">
        <v>-4500</v>
      </c>
      <c r="H4" s="14">
        <v>0</v>
      </c>
      <c r="I4" s="14">
        <v>0</v>
      </c>
      <c r="J4" s="14">
        <v>0</v>
      </c>
      <c r="K4" s="14">
        <f>G4</f>
        <v>-4500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14">
        <v>0</v>
      </c>
      <c r="BV4" s="14">
        <v>0</v>
      </c>
      <c r="BW4" s="14">
        <v>0</v>
      </c>
      <c r="BX4" s="14">
        <v>0</v>
      </c>
      <c r="BY4" s="14">
        <v>0</v>
      </c>
      <c r="BZ4" s="14">
        <v>0</v>
      </c>
      <c r="CA4" s="14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  <c r="CN4" s="14">
        <v>0</v>
      </c>
      <c r="CO4" s="14">
        <v>0</v>
      </c>
      <c r="CP4" s="14">
        <v>0</v>
      </c>
      <c r="CQ4" s="14">
        <v>0</v>
      </c>
      <c r="CR4" s="14">
        <v>0</v>
      </c>
      <c r="CS4" s="14">
        <v>0</v>
      </c>
      <c r="CT4" s="14">
        <v>0</v>
      </c>
      <c r="CU4" s="14">
        <v>0</v>
      </c>
    </row>
    <row r="5" spans="1:99" x14ac:dyDescent="0.25">
      <c r="A5" s="11" t="s">
        <v>4</v>
      </c>
      <c r="B5" s="11" t="s">
        <v>159</v>
      </c>
      <c r="C5" s="11" t="s">
        <v>9</v>
      </c>
      <c r="D5" s="41">
        <v>0.21</v>
      </c>
      <c r="E5" s="19">
        <f>F3+F4+F2</f>
        <v>11500</v>
      </c>
      <c r="F5" s="19">
        <f>D5*E5</f>
        <v>2415</v>
      </c>
      <c r="G5" s="13">
        <f>(G2+G3+G4)*0.21</f>
        <v>-2415</v>
      </c>
      <c r="H5" s="14">
        <f>(H2+H3+H4)*0.21</f>
        <v>0</v>
      </c>
      <c r="I5" s="14">
        <f>(I2+I3+I4)*0.21</f>
        <v>-1218</v>
      </c>
      <c r="J5" s="14">
        <v>0</v>
      </c>
      <c r="K5" s="14">
        <f>(K2+K3+K4)*0.21</f>
        <v>-1197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</row>
    <row r="6" spans="1:99" x14ac:dyDescent="0.25">
      <c r="A6" s="11" t="s">
        <v>4</v>
      </c>
      <c r="B6" s="11" t="s">
        <v>160</v>
      </c>
      <c r="C6" s="11" t="s">
        <v>15</v>
      </c>
      <c r="D6" s="12">
        <v>5.6099999999999997E-2</v>
      </c>
      <c r="E6" s="11">
        <f>F16</f>
        <v>96887.7</v>
      </c>
      <c r="F6" s="11">
        <f>E6*D6</f>
        <v>5435.3999699999995</v>
      </c>
      <c r="G6" s="20">
        <f t="shared" ref="G6:G37" si="0">-F6</f>
        <v>-5435.3999699999995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f>G6</f>
        <v>-5435.3999699999995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1">
        <v>0</v>
      </c>
      <c r="BA6" s="21">
        <v>0</v>
      </c>
      <c r="BB6" s="21">
        <v>0</v>
      </c>
      <c r="BC6" s="21">
        <v>0</v>
      </c>
      <c r="BD6" s="21">
        <v>0</v>
      </c>
      <c r="BE6" s="21">
        <v>0</v>
      </c>
      <c r="BF6" s="21">
        <v>0</v>
      </c>
      <c r="BG6" s="21">
        <v>0</v>
      </c>
      <c r="BH6" s="21">
        <v>0</v>
      </c>
      <c r="BI6" s="21">
        <v>0</v>
      </c>
      <c r="BJ6" s="21">
        <v>0</v>
      </c>
      <c r="BK6" s="21">
        <v>0</v>
      </c>
      <c r="BL6" s="21">
        <v>0</v>
      </c>
      <c r="BM6" s="21">
        <v>0</v>
      </c>
      <c r="BN6" s="21">
        <v>0</v>
      </c>
      <c r="BO6" s="21">
        <v>0</v>
      </c>
      <c r="BP6" s="21">
        <v>0</v>
      </c>
      <c r="BQ6" s="21">
        <v>0</v>
      </c>
      <c r="BR6" s="21">
        <v>0</v>
      </c>
      <c r="BS6" s="21">
        <v>0</v>
      </c>
      <c r="BT6" s="21">
        <v>0</v>
      </c>
      <c r="BU6" s="21">
        <v>0</v>
      </c>
      <c r="BV6" s="21">
        <v>0</v>
      </c>
      <c r="BW6" s="21">
        <v>0</v>
      </c>
      <c r="BX6" s="21">
        <v>0</v>
      </c>
      <c r="BY6" s="21">
        <v>0</v>
      </c>
      <c r="BZ6" s="21">
        <v>0</v>
      </c>
      <c r="CA6" s="21">
        <v>0</v>
      </c>
      <c r="CB6" s="21">
        <v>0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0</v>
      </c>
      <c r="CI6" s="21">
        <v>0</v>
      </c>
      <c r="CJ6" s="21">
        <v>0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</row>
    <row r="7" spans="1:99" x14ac:dyDescent="0.25">
      <c r="A7" s="11" t="s">
        <v>4</v>
      </c>
      <c r="B7" s="11" t="s">
        <v>160</v>
      </c>
      <c r="C7" s="11" t="s">
        <v>16</v>
      </c>
      <c r="D7" s="12">
        <v>4.7699999999999999E-2</v>
      </c>
      <c r="E7" s="11">
        <f>F16</f>
        <v>96887.7</v>
      </c>
      <c r="F7" s="11">
        <f>E7*D7</f>
        <v>4621.5432899999996</v>
      </c>
      <c r="G7" s="13">
        <f t="shared" si="0"/>
        <v>-4621.5432899999996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f>G7*0.3</f>
        <v>-1386.4629869999999</v>
      </c>
      <c r="Y7" s="14">
        <f>0.7*G7</f>
        <v>-3235.0803029999997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</row>
    <row r="8" spans="1:99" x14ac:dyDescent="0.25">
      <c r="A8" s="11" t="s">
        <v>4</v>
      </c>
      <c r="B8" s="11" t="s">
        <v>160</v>
      </c>
      <c r="C8" s="11" t="s">
        <v>161</v>
      </c>
      <c r="D8" s="12">
        <v>7.0000000000000001E-3</v>
      </c>
      <c r="E8" s="11">
        <f>F16</f>
        <v>96887.7</v>
      </c>
      <c r="F8" s="11">
        <f t="shared" ref="F8:F19" si="1">D8*E8</f>
        <v>678.21389999999997</v>
      </c>
      <c r="G8" s="13">
        <f t="shared" si="0"/>
        <v>-678.21389999999997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f>G8*0.5</f>
        <v>-339.10694999999998</v>
      </c>
      <c r="Y8" s="14">
        <f>G8*0.5</f>
        <v>-339.10694999999998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</row>
    <row r="9" spans="1:99" x14ac:dyDescent="0.25">
      <c r="A9" s="11" t="s">
        <v>4</v>
      </c>
      <c r="B9" s="11" t="s">
        <v>160</v>
      </c>
      <c r="C9" s="11" t="s">
        <v>13</v>
      </c>
      <c r="D9" s="12">
        <v>5.6099999999999997E-2</v>
      </c>
      <c r="E9" s="11">
        <f>F18+F19</f>
        <v>2853434.5848000003</v>
      </c>
      <c r="F9" s="11">
        <f t="shared" si="1"/>
        <v>160077.68020728001</v>
      </c>
      <c r="G9" s="13">
        <f t="shared" si="0"/>
        <v>-160077.68020728001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f>G9*0.4</f>
        <v>-64031.072082912004</v>
      </c>
      <c r="N9" s="14">
        <v>0</v>
      </c>
      <c r="O9" s="14">
        <v>0</v>
      </c>
      <c r="P9" s="14">
        <f>G9*0.6</f>
        <v>-96046.608124367995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</row>
    <row r="10" spans="1:99" x14ac:dyDescent="0.25">
      <c r="A10" s="11" t="s">
        <v>4</v>
      </c>
      <c r="B10" s="11" t="s">
        <v>160</v>
      </c>
      <c r="C10" s="11" t="s">
        <v>14</v>
      </c>
      <c r="D10" s="12">
        <v>4.7699999999999999E-2</v>
      </c>
      <c r="E10" s="11">
        <f>F18+F19</f>
        <v>2853434.5848000003</v>
      </c>
      <c r="F10" s="11">
        <f t="shared" si="1"/>
        <v>136108.82969496</v>
      </c>
      <c r="G10" s="13">
        <f t="shared" si="0"/>
        <v>-136108.82969496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f>$G10/14</f>
        <v>-9722.0592639257138</v>
      </c>
      <c r="AA10" s="14">
        <f t="shared" ref="AA10:AM10" si="2">$G10/14</f>
        <v>-9722.0592639257138</v>
      </c>
      <c r="AB10" s="14">
        <f t="shared" si="2"/>
        <v>-9722.0592639257138</v>
      </c>
      <c r="AC10" s="14">
        <f t="shared" si="2"/>
        <v>-9722.0592639257138</v>
      </c>
      <c r="AD10" s="14">
        <f t="shared" si="2"/>
        <v>-9722.0592639257138</v>
      </c>
      <c r="AE10" s="14">
        <f t="shared" si="2"/>
        <v>-9722.0592639257138</v>
      </c>
      <c r="AF10" s="14">
        <f t="shared" si="2"/>
        <v>-9722.0592639257138</v>
      </c>
      <c r="AG10" s="14">
        <f t="shared" si="2"/>
        <v>-9722.0592639257138</v>
      </c>
      <c r="AH10" s="14">
        <f t="shared" si="2"/>
        <v>-9722.0592639257138</v>
      </c>
      <c r="AI10" s="14">
        <f t="shared" si="2"/>
        <v>-9722.0592639257138</v>
      </c>
      <c r="AJ10" s="14">
        <f t="shared" si="2"/>
        <v>-9722.0592639257138</v>
      </c>
      <c r="AK10" s="14">
        <f t="shared" si="2"/>
        <v>-9722.0592639257138</v>
      </c>
      <c r="AL10" s="14">
        <f t="shared" si="2"/>
        <v>-9722.0592639257138</v>
      </c>
      <c r="AM10" s="14">
        <f t="shared" si="2"/>
        <v>-9722.0592639257138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</row>
    <row r="11" spans="1:99" x14ac:dyDescent="0.25">
      <c r="A11" s="11" t="s">
        <v>4</v>
      </c>
      <c r="B11" s="11" t="s">
        <v>160</v>
      </c>
      <c r="C11" s="11" t="s">
        <v>162</v>
      </c>
      <c r="D11" s="12">
        <v>7.0000000000000001E-3</v>
      </c>
      <c r="E11" s="11">
        <f>F18+F19</f>
        <v>2853434.5848000003</v>
      </c>
      <c r="F11" s="11">
        <f t="shared" si="1"/>
        <v>19974.042093600001</v>
      </c>
      <c r="G11" s="13">
        <f t="shared" si="0"/>
        <v>-19974.042093600001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f>$G$11/14</f>
        <v>-1426.7172924000001</v>
      </c>
      <c r="AA11" s="14">
        <f t="shared" ref="AA11:AM11" si="3">$G$11/14</f>
        <v>-1426.7172924000001</v>
      </c>
      <c r="AB11" s="14">
        <f t="shared" si="3"/>
        <v>-1426.7172924000001</v>
      </c>
      <c r="AC11" s="14">
        <f t="shared" si="3"/>
        <v>-1426.7172924000001</v>
      </c>
      <c r="AD11" s="14">
        <f t="shared" si="3"/>
        <v>-1426.7172924000001</v>
      </c>
      <c r="AE11" s="14">
        <f t="shared" si="3"/>
        <v>-1426.7172924000001</v>
      </c>
      <c r="AF11" s="14">
        <f t="shared" si="3"/>
        <v>-1426.7172924000001</v>
      </c>
      <c r="AG11" s="14">
        <f t="shared" si="3"/>
        <v>-1426.7172924000001</v>
      </c>
      <c r="AH11" s="14">
        <f t="shared" si="3"/>
        <v>-1426.7172924000001</v>
      </c>
      <c r="AI11" s="14">
        <f t="shared" si="3"/>
        <v>-1426.7172924000001</v>
      </c>
      <c r="AJ11" s="14">
        <f t="shared" si="3"/>
        <v>-1426.7172924000001</v>
      </c>
      <c r="AK11" s="14">
        <f t="shared" si="3"/>
        <v>-1426.7172924000001</v>
      </c>
      <c r="AL11" s="14">
        <f t="shared" si="3"/>
        <v>-1426.7172924000001</v>
      </c>
      <c r="AM11" s="14">
        <f t="shared" si="3"/>
        <v>-1426.7172924000001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</row>
    <row r="12" spans="1:99" x14ac:dyDescent="0.25">
      <c r="A12" s="11" t="s">
        <v>4</v>
      </c>
      <c r="B12" s="11" t="s">
        <v>160</v>
      </c>
      <c r="C12" s="11" t="s">
        <v>140</v>
      </c>
      <c r="D12" s="12">
        <v>0.02</v>
      </c>
      <c r="E12" s="11">
        <f>F19+F18+F16</f>
        <v>2950322.2848000005</v>
      </c>
      <c r="F12" s="11">
        <f t="shared" si="1"/>
        <v>59006.44569600001</v>
      </c>
      <c r="G12" s="13">
        <f t="shared" si="0"/>
        <v>-59006.44569600001</v>
      </c>
      <c r="H12" s="14">
        <v>0</v>
      </c>
      <c r="I12" s="14">
        <v>0</v>
      </c>
      <c r="J12" s="14">
        <v>0</v>
      </c>
      <c r="K12" s="14">
        <f>G12*0.05</f>
        <v>-2950.3222848000005</v>
      </c>
      <c r="L12" s="14">
        <v>0</v>
      </c>
      <c r="M12" s="14">
        <v>0</v>
      </c>
      <c r="N12" s="14">
        <v>0</v>
      </c>
      <c r="O12" s="14">
        <v>0</v>
      </c>
      <c r="P12" s="14">
        <f>G12*0.15</f>
        <v>-8850.9668544000015</v>
      </c>
      <c r="Q12" s="14">
        <v>0</v>
      </c>
      <c r="R12" s="14">
        <f>G12*0.05</f>
        <v>-2950.3222848000005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f t="shared" ref="X12:AL12" si="4">$G$12*0.04</f>
        <v>-2360.2578278400006</v>
      </c>
      <c r="Y12" s="14">
        <f t="shared" si="4"/>
        <v>-2360.2578278400006</v>
      </c>
      <c r="Z12" s="14">
        <f t="shared" si="4"/>
        <v>-2360.2578278400006</v>
      </c>
      <c r="AA12" s="14">
        <f t="shared" si="4"/>
        <v>-2360.2578278400006</v>
      </c>
      <c r="AB12" s="14">
        <f t="shared" si="4"/>
        <v>-2360.2578278400006</v>
      </c>
      <c r="AC12" s="14">
        <f t="shared" si="4"/>
        <v>-2360.2578278400006</v>
      </c>
      <c r="AD12" s="14">
        <f t="shared" si="4"/>
        <v>-2360.2578278400006</v>
      </c>
      <c r="AE12" s="14">
        <f t="shared" si="4"/>
        <v>-2360.2578278400006</v>
      </c>
      <c r="AF12" s="14">
        <f t="shared" si="4"/>
        <v>-2360.2578278400006</v>
      </c>
      <c r="AG12" s="14">
        <f t="shared" si="4"/>
        <v>-2360.2578278400006</v>
      </c>
      <c r="AH12" s="14">
        <f t="shared" si="4"/>
        <v>-2360.2578278400006</v>
      </c>
      <c r="AI12" s="14">
        <f t="shared" si="4"/>
        <v>-2360.2578278400006</v>
      </c>
      <c r="AJ12" s="14">
        <f t="shared" si="4"/>
        <v>-2360.2578278400006</v>
      </c>
      <c r="AK12" s="14">
        <f t="shared" si="4"/>
        <v>-2360.2578278400006</v>
      </c>
      <c r="AL12" s="14">
        <f t="shared" si="4"/>
        <v>-2360.2578278400006</v>
      </c>
      <c r="AM12" s="14">
        <f>$G$12*0.04</f>
        <v>-2360.2578278400006</v>
      </c>
      <c r="AN12" s="14">
        <f>G12*0.11</f>
        <v>-6490.7090265600009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</row>
    <row r="13" spans="1:99" x14ac:dyDescent="0.25">
      <c r="A13" s="11" t="s">
        <v>4</v>
      </c>
      <c r="B13" s="11" t="s">
        <v>160</v>
      </c>
      <c r="C13" s="11" t="s">
        <v>163</v>
      </c>
      <c r="D13" s="12">
        <v>0.21</v>
      </c>
      <c r="E13" s="11">
        <f>F6+F7+F8</f>
        <v>10735.157160000001</v>
      </c>
      <c r="F13" s="11">
        <f t="shared" si="1"/>
        <v>2254.3830035999999</v>
      </c>
      <c r="G13" s="13">
        <f t="shared" si="0"/>
        <v>-2254.3830035999999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f>SUM(M6:M8)*0.21</f>
        <v>-1141.4339936999997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f>(X7+X8)*0.21</f>
        <v>-362.36968676999993</v>
      </c>
      <c r="Y13" s="14">
        <f>(Y7+Y8)*0.21</f>
        <v>-750.57932312999992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</row>
    <row r="14" spans="1:99" x14ac:dyDescent="0.25">
      <c r="A14" s="11" t="s">
        <v>4</v>
      </c>
      <c r="B14" s="11" t="s">
        <v>160</v>
      </c>
      <c r="C14" s="11" t="s">
        <v>164</v>
      </c>
      <c r="D14" s="12">
        <v>0.21</v>
      </c>
      <c r="E14" s="11">
        <f>F9+F10+F11+F12</f>
        <v>375166.99769184005</v>
      </c>
      <c r="F14" s="11">
        <f t="shared" si="1"/>
        <v>78785.069515286406</v>
      </c>
      <c r="G14" s="13">
        <f t="shared" si="0"/>
        <v>-78785.069515286406</v>
      </c>
      <c r="H14" s="14">
        <v>0</v>
      </c>
      <c r="I14" s="14">
        <v>0</v>
      </c>
      <c r="J14" s="14">
        <v>0</v>
      </c>
      <c r="K14" s="14">
        <f>SUM(K9:K12)*0.21</f>
        <v>-619.56767980800009</v>
      </c>
      <c r="L14" s="14">
        <v>0</v>
      </c>
      <c r="M14" s="14">
        <f>SUM(M9:M12)*0.21</f>
        <v>-13446.52513741152</v>
      </c>
      <c r="N14" s="14">
        <v>0</v>
      </c>
      <c r="O14" s="14">
        <v>0</v>
      </c>
      <c r="P14" s="14">
        <f>SUM(P9:P12)*0.21</f>
        <v>-22028.490745541279</v>
      </c>
      <c r="Q14" s="14">
        <v>0</v>
      </c>
      <c r="R14" s="14">
        <f>SUM(R9:R12)*0.21</f>
        <v>-619.56767980800009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f t="shared" ref="X14:AN14" si="5">SUM(X9:X12)*0.21</f>
        <v>-495.65414384640007</v>
      </c>
      <c r="Y14" s="14">
        <f t="shared" si="5"/>
        <v>-495.65414384640007</v>
      </c>
      <c r="Z14" s="14">
        <f t="shared" si="5"/>
        <v>-2836.8972206748003</v>
      </c>
      <c r="AA14" s="14">
        <f t="shared" si="5"/>
        <v>-2836.8972206748003</v>
      </c>
      <c r="AB14" s="14">
        <f t="shared" si="5"/>
        <v>-2836.8972206748003</v>
      </c>
      <c r="AC14" s="14">
        <f t="shared" si="5"/>
        <v>-2836.8972206748003</v>
      </c>
      <c r="AD14" s="14">
        <f t="shared" si="5"/>
        <v>-2836.8972206748003</v>
      </c>
      <c r="AE14" s="14">
        <f t="shared" si="5"/>
        <v>-2836.8972206748003</v>
      </c>
      <c r="AF14" s="14">
        <f t="shared" si="5"/>
        <v>-2836.8972206748003</v>
      </c>
      <c r="AG14" s="14">
        <f t="shared" si="5"/>
        <v>-2836.8972206748003</v>
      </c>
      <c r="AH14" s="14">
        <f t="shared" si="5"/>
        <v>-2836.8972206748003</v>
      </c>
      <c r="AI14" s="14">
        <f t="shared" si="5"/>
        <v>-2836.8972206748003</v>
      </c>
      <c r="AJ14" s="14">
        <f t="shared" si="5"/>
        <v>-2836.8972206748003</v>
      </c>
      <c r="AK14" s="14">
        <f t="shared" si="5"/>
        <v>-2836.8972206748003</v>
      </c>
      <c r="AL14" s="14">
        <f t="shared" si="5"/>
        <v>-2836.8972206748003</v>
      </c>
      <c r="AM14" s="14">
        <f t="shared" si="5"/>
        <v>-2836.8972206748003</v>
      </c>
      <c r="AN14" s="14">
        <f t="shared" si="5"/>
        <v>-1363.0488955776002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</row>
    <row r="15" spans="1:99" x14ac:dyDescent="0.25">
      <c r="A15" s="11" t="s">
        <v>4</v>
      </c>
      <c r="B15" s="11" t="s">
        <v>160</v>
      </c>
      <c r="C15" s="11" t="s">
        <v>20</v>
      </c>
      <c r="D15" s="12">
        <v>3.0000000000000001E-3</v>
      </c>
      <c r="E15" s="11">
        <f>F18+F19</f>
        <v>2853434.5848000003</v>
      </c>
      <c r="F15" s="11">
        <f t="shared" si="1"/>
        <v>8560.3037544000017</v>
      </c>
      <c r="G15" s="13">
        <f t="shared" si="0"/>
        <v>-8560.3037544000017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f>$G$15/14</f>
        <v>-611.45026817142866</v>
      </c>
      <c r="AA15" s="14">
        <f t="shared" ref="AA15:AM15" si="6">$G$15/14</f>
        <v>-611.45026817142866</v>
      </c>
      <c r="AB15" s="14">
        <f t="shared" si="6"/>
        <v>-611.45026817142866</v>
      </c>
      <c r="AC15" s="14">
        <f t="shared" si="6"/>
        <v>-611.45026817142866</v>
      </c>
      <c r="AD15" s="14">
        <f t="shared" si="6"/>
        <v>-611.45026817142866</v>
      </c>
      <c r="AE15" s="14">
        <f t="shared" si="6"/>
        <v>-611.45026817142866</v>
      </c>
      <c r="AF15" s="14">
        <f t="shared" si="6"/>
        <v>-611.45026817142866</v>
      </c>
      <c r="AG15" s="14">
        <f t="shared" si="6"/>
        <v>-611.45026817142866</v>
      </c>
      <c r="AH15" s="14">
        <f t="shared" si="6"/>
        <v>-611.45026817142866</v>
      </c>
      <c r="AI15" s="14">
        <f t="shared" si="6"/>
        <v>-611.45026817142866</v>
      </c>
      <c r="AJ15" s="14">
        <f t="shared" si="6"/>
        <v>-611.45026817142866</v>
      </c>
      <c r="AK15" s="14">
        <f t="shared" si="6"/>
        <v>-611.45026817142866</v>
      </c>
      <c r="AL15" s="14">
        <f t="shared" si="6"/>
        <v>-611.45026817142866</v>
      </c>
      <c r="AM15" s="14">
        <f t="shared" si="6"/>
        <v>-611.45026817142866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</row>
    <row r="16" spans="1:99" x14ac:dyDescent="0.25">
      <c r="A16" s="11" t="s">
        <v>4</v>
      </c>
      <c r="B16" s="11" t="s">
        <v>165</v>
      </c>
      <c r="C16" s="11" t="s">
        <v>8</v>
      </c>
      <c r="D16" s="12">
        <f>(98.3*7*3)+(59.1*7*3)+(62.3*7*3)</f>
        <v>4613.7</v>
      </c>
      <c r="E16" s="11">
        <v>21</v>
      </c>
      <c r="F16" s="11">
        <f t="shared" si="1"/>
        <v>96887.7</v>
      </c>
      <c r="G16" s="13">
        <f t="shared" si="0"/>
        <v>-96887.7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f>G16*0.4</f>
        <v>-38755.08</v>
      </c>
      <c r="Y16" s="14">
        <f>G16*0.6</f>
        <v>-58132.619999999995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</row>
    <row r="17" spans="1:99" x14ac:dyDescent="0.25">
      <c r="A17" s="11" t="s">
        <v>4</v>
      </c>
      <c r="B17" s="11" t="s">
        <v>165</v>
      </c>
      <c r="C17" s="11" t="s">
        <v>12</v>
      </c>
      <c r="D17" s="41">
        <v>575</v>
      </c>
      <c r="E17" s="11">
        <v>5.75</v>
      </c>
      <c r="F17" s="11">
        <f t="shared" si="1"/>
        <v>3306.25</v>
      </c>
      <c r="G17" s="13">
        <f t="shared" si="0"/>
        <v>-3306.25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f>G17*0.4</f>
        <v>-1322.5</v>
      </c>
      <c r="Y17" s="14">
        <f>G17*0.6</f>
        <v>-1983.75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</row>
    <row r="18" spans="1:99" x14ac:dyDescent="0.25">
      <c r="A18" s="11" t="s">
        <v>4</v>
      </c>
      <c r="B18" s="11" t="s">
        <v>165</v>
      </c>
      <c r="C18" s="11" t="s">
        <v>2</v>
      </c>
      <c r="D18" s="12">
        <f>22*65*1.2</f>
        <v>1716</v>
      </c>
      <c r="E18" s="11">
        <v>725.70780000000002</v>
      </c>
      <c r="F18" s="11">
        <f t="shared" si="1"/>
        <v>1245314.5848000001</v>
      </c>
      <c r="G18" s="13">
        <f t="shared" si="0"/>
        <v>-1245314.5848000001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f>'evolucion certificaciones nuevo'!J26</f>
        <v>-37359.437544</v>
      </c>
      <c r="AF18" s="14">
        <f>'evolucion certificaciones nuevo'!K26</f>
        <v>-49812.583392</v>
      </c>
      <c r="AG18" s="14">
        <f>'evolucion certificaciones nuevo'!L26</f>
        <v>-115814.25638640001</v>
      </c>
      <c r="AH18" s="14">
        <f>'evolucion certificaciones nuevo'!M26</f>
        <v>-130758.03140400001</v>
      </c>
      <c r="AI18" s="14">
        <f>'evolucion certificaciones nuevo'!N26</f>
        <v>-205476.90649200001</v>
      </c>
      <c r="AJ18" s="14">
        <f>'evolucion certificaciones nuevo'!O26</f>
        <v>-255289.48988400001</v>
      </c>
      <c r="AK18" s="14">
        <f>'evolucion certificaciones nuevo'!P26</f>
        <v>-259025.43363839999</v>
      </c>
      <c r="AL18" s="14">
        <f>'evolucion certificaciones nuevo'!Q26</f>
        <v>-102115.79595360001</v>
      </c>
      <c r="AM18" s="14">
        <f>'evolucion certificaciones nuevo'!R26</f>
        <v>-89662.650105599998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</row>
    <row r="19" spans="1:99" x14ac:dyDescent="0.25">
      <c r="A19" s="11" t="s">
        <v>4</v>
      </c>
      <c r="B19" s="11" t="s">
        <v>165</v>
      </c>
      <c r="C19" s="11" t="s">
        <v>40</v>
      </c>
      <c r="D19" s="12">
        <v>1</v>
      </c>
      <c r="E19" s="11">
        <v>1608120</v>
      </c>
      <c r="F19" s="11">
        <f t="shared" si="1"/>
        <v>1608120</v>
      </c>
      <c r="G19" s="13">
        <f t="shared" si="0"/>
        <v>-1608120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f>'evolucion certificaciones nuevo'!E28</f>
        <v>-9648.7199999999993</v>
      </c>
      <c r="AA19" s="14">
        <f>'evolucion certificaciones nuevo'!F28</f>
        <v>-25729.920000000002</v>
      </c>
      <c r="AB19" s="14">
        <f>'evolucion certificaciones nuevo'!G28</f>
        <v>-64324.800000000003</v>
      </c>
      <c r="AC19" s="14">
        <f>'evolucion certificaciones nuevo'!H28</f>
        <v>-60304.5</v>
      </c>
      <c r="AD19" s="14">
        <f>'evolucion certificaciones nuevo'!I28</f>
        <v>-72365.399999999994</v>
      </c>
      <c r="AE19" s="14">
        <f>'evolucion certificaciones nuevo'!J28</f>
        <v>-151967.34</v>
      </c>
      <c r="AF19" s="14">
        <f>'evolucion certificaciones nuevo'!K28</f>
        <v>-188954.09999999998</v>
      </c>
      <c r="AG19" s="14">
        <f>'evolucion certificaciones nuevo'!L28</f>
        <v>-128649.60000000001</v>
      </c>
      <c r="AH19" s="14">
        <f>'evolucion certificaciones nuevo'!M28</f>
        <v>-213879.96000000002</v>
      </c>
      <c r="AI19" s="14">
        <f>'evolucion certificaciones nuevo'!N28</f>
        <v>-191366.28</v>
      </c>
      <c r="AJ19" s="14">
        <f>'evolucion certificaciones nuevo'!O28</f>
        <v>-238805.81999999998</v>
      </c>
      <c r="AK19" s="14">
        <f>'evolucion certificaciones nuevo'!P28</f>
        <v>-94075.02</v>
      </c>
      <c r="AL19" s="14">
        <f>'evolucion certificaciones nuevo'!Q28</f>
        <v>-168048.53999999998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</row>
    <row r="20" spans="1:99" x14ac:dyDescent="0.25">
      <c r="A20" s="11" t="s">
        <v>4</v>
      </c>
      <c r="B20" s="11" t="s">
        <v>165</v>
      </c>
      <c r="C20" s="11" t="s">
        <v>11</v>
      </c>
      <c r="D20" s="12">
        <v>0.21</v>
      </c>
      <c r="E20" s="11">
        <f>F16</f>
        <v>96887.7</v>
      </c>
      <c r="F20" s="11">
        <f>E20*D20</f>
        <v>20346.416999999998</v>
      </c>
      <c r="G20" s="13">
        <f t="shared" si="0"/>
        <v>-20346.416999999998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f>X16*0.21</f>
        <v>-8138.5668000000005</v>
      </c>
      <c r="Y20" s="14">
        <f>Y16*0.21</f>
        <v>-12207.850199999999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</row>
    <row r="21" spans="1:99" x14ac:dyDescent="0.25">
      <c r="A21" s="11" t="s">
        <v>4</v>
      </c>
      <c r="B21" s="11" t="s">
        <v>165</v>
      </c>
      <c r="C21" s="11" t="s">
        <v>10</v>
      </c>
      <c r="D21" s="12">
        <v>0.1</v>
      </c>
      <c r="E21" s="11">
        <f>F18+F19</f>
        <v>2853434.5848000003</v>
      </c>
      <c r="F21" s="11">
        <f>E21*D21</f>
        <v>285343.45848000003</v>
      </c>
      <c r="G21" s="13">
        <f t="shared" si="0"/>
        <v>-285343.45848000003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f t="shared" ref="Z21:AM21" si="7">(Z18+Z19)*0.1</f>
        <v>-964.87199999999996</v>
      </c>
      <c r="AA21" s="14">
        <f t="shared" si="7"/>
        <v>-2572.9920000000002</v>
      </c>
      <c r="AB21" s="14">
        <f t="shared" si="7"/>
        <v>-6432.4800000000005</v>
      </c>
      <c r="AC21" s="14">
        <f t="shared" si="7"/>
        <v>-6030.4500000000007</v>
      </c>
      <c r="AD21" s="14">
        <f t="shared" si="7"/>
        <v>-7236.54</v>
      </c>
      <c r="AE21" s="14">
        <f t="shared" si="7"/>
        <v>-18932.677754400003</v>
      </c>
      <c r="AF21" s="14">
        <f t="shared" si="7"/>
        <v>-23876.668339199998</v>
      </c>
      <c r="AG21" s="14">
        <f t="shared" si="7"/>
        <v>-24446.38563864</v>
      </c>
      <c r="AH21" s="14">
        <f t="shared" si="7"/>
        <v>-34463.799140400006</v>
      </c>
      <c r="AI21" s="14">
        <f t="shared" si="7"/>
        <v>-39684.318649200002</v>
      </c>
      <c r="AJ21" s="14">
        <f t="shared" si="7"/>
        <v>-49409.530988400002</v>
      </c>
      <c r="AK21" s="14">
        <f t="shared" si="7"/>
        <v>-35310.045363839999</v>
      </c>
      <c r="AL21" s="14">
        <f t="shared" si="7"/>
        <v>-27016.433595360002</v>
      </c>
      <c r="AM21" s="14">
        <f t="shared" si="7"/>
        <v>-8966.2650105600005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</row>
    <row r="22" spans="1:99" x14ac:dyDescent="0.25">
      <c r="A22" s="11" t="s">
        <v>4</v>
      </c>
      <c r="B22" s="11" t="s">
        <v>165</v>
      </c>
      <c r="C22" s="11" t="s">
        <v>21</v>
      </c>
      <c r="D22" s="12">
        <v>1</v>
      </c>
      <c r="E22" s="11">
        <v>700</v>
      </c>
      <c r="F22" s="11">
        <f t="shared" ref="F22:F37" si="8">D22*E22</f>
        <v>700</v>
      </c>
      <c r="G22" s="13">
        <f t="shared" si="0"/>
        <v>-700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f>G22</f>
        <v>-700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</row>
    <row r="23" spans="1:99" x14ac:dyDescent="0.25">
      <c r="A23" s="11" t="s">
        <v>4</v>
      </c>
      <c r="B23" s="11" t="s">
        <v>0</v>
      </c>
      <c r="C23" s="11" t="s">
        <v>7</v>
      </c>
      <c r="D23" s="12">
        <f>5%</f>
        <v>0.05</v>
      </c>
      <c r="E23" s="11">
        <f>(F18+F19)</f>
        <v>2853434.5848000003</v>
      </c>
      <c r="F23" s="11">
        <f t="shared" si="8"/>
        <v>142671.72924000002</v>
      </c>
      <c r="G23" s="20">
        <f t="shared" si="0"/>
        <v>-142671.72924000002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f>G23*0.2</f>
        <v>-28534.345848000004</v>
      </c>
      <c r="R23" s="21">
        <v>0</v>
      </c>
      <c r="S23" s="21">
        <v>0</v>
      </c>
      <c r="T23" s="21">
        <f>G23*0.8</f>
        <v>-114137.38339200002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</row>
    <row r="24" spans="1:99" x14ac:dyDescent="0.25">
      <c r="A24" s="11" t="s">
        <v>4</v>
      </c>
      <c r="B24" s="11" t="s">
        <v>0</v>
      </c>
      <c r="C24" s="11" t="s">
        <v>6</v>
      </c>
      <c r="D24" s="12">
        <f>5%</f>
        <v>0.05</v>
      </c>
      <c r="E24" s="11">
        <f>F16</f>
        <v>96887.7</v>
      </c>
      <c r="F24" s="11">
        <f t="shared" si="8"/>
        <v>4844.3850000000002</v>
      </c>
      <c r="G24" s="13">
        <f t="shared" si="0"/>
        <v>-4844.3850000000002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f>G24*0.2</f>
        <v>-968.87700000000007</v>
      </c>
      <c r="O24" s="14">
        <v>0</v>
      </c>
      <c r="P24" s="14">
        <f>G24*0.8</f>
        <v>-3875.5080000000003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</row>
    <row r="25" spans="1:99" x14ac:dyDescent="0.25">
      <c r="A25" s="11" t="s">
        <v>4</v>
      </c>
      <c r="B25" s="11" t="s">
        <v>0</v>
      </c>
      <c r="C25" s="11" t="s">
        <v>166</v>
      </c>
      <c r="D25" s="12">
        <v>2.9999999999999997E-4</v>
      </c>
      <c r="E25" s="11">
        <f>F18</f>
        <v>1245314.5848000001</v>
      </c>
      <c r="F25" s="11">
        <f t="shared" si="8"/>
        <v>373.59437543999996</v>
      </c>
      <c r="G25" s="13">
        <f t="shared" si="0"/>
        <v>-373.59437543999996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f>G25</f>
        <v>-373.59437543999996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</row>
    <row r="26" spans="1:99" x14ac:dyDescent="0.25">
      <c r="A26" s="11" t="s">
        <v>4</v>
      </c>
      <c r="B26" s="11" t="s">
        <v>0</v>
      </c>
      <c r="C26" s="11" t="s">
        <v>167</v>
      </c>
      <c r="D26" s="12">
        <v>2.0000000000000001E-4</v>
      </c>
      <c r="E26" s="11">
        <f>F18</f>
        <v>1245314.5848000001</v>
      </c>
      <c r="F26" s="11">
        <f t="shared" si="8"/>
        <v>249.06291696000002</v>
      </c>
      <c r="G26" s="13">
        <f t="shared" si="0"/>
        <v>-249.06291696000002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f>G26</f>
        <v>-249.06291696000002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</row>
    <row r="27" spans="1:99" x14ac:dyDescent="0.25">
      <c r="A27" s="11" t="s">
        <v>4</v>
      </c>
      <c r="B27" s="11" t="s">
        <v>0</v>
      </c>
      <c r="C27" s="11" t="s">
        <v>168</v>
      </c>
      <c r="D27" s="12">
        <v>1</v>
      </c>
      <c r="E27" s="11">
        <v>250</v>
      </c>
      <c r="F27" s="11">
        <f t="shared" si="8"/>
        <v>250</v>
      </c>
      <c r="G27" s="13">
        <f t="shared" si="0"/>
        <v>-250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f>G27</f>
        <v>-250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</row>
    <row r="28" spans="1:99" x14ac:dyDescent="0.25">
      <c r="A28" s="11" t="s">
        <v>4</v>
      </c>
      <c r="B28" s="11" t="s">
        <v>0</v>
      </c>
      <c r="C28" s="11" t="s">
        <v>169</v>
      </c>
      <c r="D28" s="12">
        <v>2.9999999999999997E-4</v>
      </c>
      <c r="E28" s="11">
        <f>F18</f>
        <v>1245314.5848000001</v>
      </c>
      <c r="F28" s="11">
        <f t="shared" si="8"/>
        <v>373.59437543999996</v>
      </c>
      <c r="G28" s="13">
        <f t="shared" si="0"/>
        <v>-373.59437543999996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f>G28</f>
        <v>-373.59437543999996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</row>
    <row r="29" spans="1:99" x14ac:dyDescent="0.25">
      <c r="A29" s="11" t="s">
        <v>4</v>
      </c>
      <c r="B29" s="11" t="s">
        <v>0</v>
      </c>
      <c r="C29" s="11" t="s">
        <v>170</v>
      </c>
      <c r="D29" s="12">
        <v>2.0000000000000001E-4</v>
      </c>
      <c r="E29" s="11">
        <f>F18</f>
        <v>1245314.5848000001</v>
      </c>
      <c r="F29" s="11">
        <f t="shared" si="8"/>
        <v>249.06291696000002</v>
      </c>
      <c r="G29" s="13">
        <f t="shared" si="0"/>
        <v>-249.06291696000002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f t="shared" ref="AN29:AN32" si="9">G29</f>
        <v>-249.06291696000002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</row>
    <row r="30" spans="1:99" x14ac:dyDescent="0.25">
      <c r="A30" s="11" t="s">
        <v>4</v>
      </c>
      <c r="B30" s="11" t="s">
        <v>0</v>
      </c>
      <c r="C30" s="11" t="s">
        <v>171</v>
      </c>
      <c r="D30" s="12">
        <v>1</v>
      </c>
      <c r="E30" s="11">
        <v>250</v>
      </c>
      <c r="F30" s="11">
        <f t="shared" si="8"/>
        <v>250</v>
      </c>
      <c r="G30" s="13">
        <f t="shared" si="0"/>
        <v>-250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f t="shared" si="9"/>
        <v>-250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</row>
    <row r="31" spans="1:99" x14ac:dyDescent="0.25">
      <c r="A31" s="11" t="s">
        <v>4</v>
      </c>
      <c r="B31" s="11" t="s">
        <v>0</v>
      </c>
      <c r="C31" s="11" t="s">
        <v>23</v>
      </c>
      <c r="D31" s="12">
        <v>8.9999999999999993E-3</v>
      </c>
      <c r="E31" s="11">
        <f>F18</f>
        <v>1245314.5848000001</v>
      </c>
      <c r="F31" s="11">
        <f t="shared" si="8"/>
        <v>11207.8312632</v>
      </c>
      <c r="G31" s="13">
        <f t="shared" si="0"/>
        <v>-11207.8312632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f>$G$31/16</f>
        <v>-700.48945394999998</v>
      </c>
      <c r="Y31" s="14">
        <f t="shared" ref="Y31:AM31" si="10">$G$31/16</f>
        <v>-700.48945394999998</v>
      </c>
      <c r="Z31" s="14">
        <f t="shared" si="10"/>
        <v>-700.48945394999998</v>
      </c>
      <c r="AA31" s="14">
        <f t="shared" si="10"/>
        <v>-700.48945394999998</v>
      </c>
      <c r="AB31" s="14">
        <f t="shared" si="10"/>
        <v>-700.48945394999998</v>
      </c>
      <c r="AC31" s="14">
        <f t="shared" si="10"/>
        <v>-700.48945394999998</v>
      </c>
      <c r="AD31" s="14">
        <f t="shared" si="10"/>
        <v>-700.48945394999998</v>
      </c>
      <c r="AE31" s="14">
        <f t="shared" si="10"/>
        <v>-700.48945394999998</v>
      </c>
      <c r="AF31" s="14">
        <f t="shared" si="10"/>
        <v>-700.48945394999998</v>
      </c>
      <c r="AG31" s="14">
        <f t="shared" si="10"/>
        <v>-700.48945394999998</v>
      </c>
      <c r="AH31" s="14">
        <f t="shared" si="10"/>
        <v>-700.48945394999998</v>
      </c>
      <c r="AI31" s="14">
        <f t="shared" si="10"/>
        <v>-700.48945394999998</v>
      </c>
      <c r="AJ31" s="14">
        <f t="shared" si="10"/>
        <v>-700.48945394999998</v>
      </c>
      <c r="AK31" s="14">
        <f t="shared" si="10"/>
        <v>-700.48945394999998</v>
      </c>
      <c r="AL31" s="14">
        <f t="shared" si="10"/>
        <v>-700.48945394999998</v>
      </c>
      <c r="AM31" s="14">
        <f t="shared" si="10"/>
        <v>-700.48945394999998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</row>
    <row r="32" spans="1:99" x14ac:dyDescent="0.25">
      <c r="A32" s="11" t="s">
        <v>4</v>
      </c>
      <c r="B32" s="11" t="s">
        <v>0</v>
      </c>
      <c r="C32" s="11" t="s">
        <v>172</v>
      </c>
      <c r="D32" s="12">
        <v>2.5000000000000001E-3</v>
      </c>
      <c r="E32" s="11">
        <f>22*65*1.2*725.71</f>
        <v>1245318.3600000001</v>
      </c>
      <c r="F32" s="11">
        <f t="shared" si="8"/>
        <v>3113.2959000000005</v>
      </c>
      <c r="G32" s="13">
        <f t="shared" si="0"/>
        <v>-3113.2959000000005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f t="shared" si="9"/>
        <v>-3113.2959000000005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</row>
    <row r="33" spans="1:99" x14ac:dyDescent="0.25">
      <c r="A33" s="11" t="s">
        <v>4</v>
      </c>
      <c r="B33" s="11" t="s">
        <v>24</v>
      </c>
      <c r="C33" s="11" t="s">
        <v>27</v>
      </c>
      <c r="D33" s="40">
        <v>1</v>
      </c>
      <c r="E33" s="22">
        <v>2500</v>
      </c>
      <c r="F33" s="22">
        <f t="shared" si="8"/>
        <v>2500</v>
      </c>
      <c r="G33" s="23">
        <f t="shared" si="0"/>
        <v>-2500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5">
        <v>0</v>
      </c>
      <c r="W33" s="25">
        <f>G33</f>
        <v>-2500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>
        <v>0</v>
      </c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  <c r="BO33" s="25">
        <v>0</v>
      </c>
      <c r="BP33" s="25">
        <v>0</v>
      </c>
      <c r="BQ33" s="25">
        <v>0</v>
      </c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</v>
      </c>
      <c r="CD33" s="25">
        <v>0</v>
      </c>
      <c r="CE33" s="25">
        <v>0</v>
      </c>
      <c r="CF33" s="25">
        <v>0</v>
      </c>
      <c r="CG33" s="25">
        <v>0</v>
      </c>
      <c r="CH33" s="25">
        <v>0</v>
      </c>
      <c r="CI33" s="25">
        <v>0</v>
      </c>
      <c r="CJ33" s="25">
        <v>0</v>
      </c>
      <c r="CK33" s="25">
        <v>0</v>
      </c>
      <c r="CL33" s="25">
        <v>0</v>
      </c>
      <c r="CM33" s="25">
        <v>0</v>
      </c>
      <c r="CN33" s="25">
        <v>0</v>
      </c>
      <c r="CO33" s="25">
        <v>0</v>
      </c>
      <c r="CP33" s="25">
        <v>0</v>
      </c>
      <c r="CQ33" s="25">
        <v>0</v>
      </c>
      <c r="CR33" s="25">
        <v>0</v>
      </c>
      <c r="CS33" s="25">
        <v>0</v>
      </c>
      <c r="CT33" s="25">
        <v>0</v>
      </c>
      <c r="CU33" s="25">
        <v>0</v>
      </c>
    </row>
    <row r="34" spans="1:99" x14ac:dyDescent="0.25">
      <c r="A34" s="11" t="s">
        <v>4</v>
      </c>
      <c r="B34" s="11" t="s">
        <v>24</v>
      </c>
      <c r="C34" s="11" t="s">
        <v>173</v>
      </c>
      <c r="D34" s="42">
        <v>2.5000000000000001E-3</v>
      </c>
      <c r="E34" s="22">
        <f>-0.8*SUM(G2:G32,G41:G42)</f>
        <v>3257134.3019145005</v>
      </c>
      <c r="F34" s="22">
        <f t="shared" si="8"/>
        <v>8142.8357547862515</v>
      </c>
      <c r="G34" s="13">
        <f t="shared" si="0"/>
        <v>-8142.8357547862515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f>G34</f>
        <v>-8142.8357547862515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</row>
    <row r="35" spans="1:99" x14ac:dyDescent="0.25">
      <c r="A35" s="11" t="s">
        <v>4</v>
      </c>
      <c r="B35" s="11" t="s">
        <v>24</v>
      </c>
      <c r="C35" s="11" t="s">
        <v>28</v>
      </c>
      <c r="D35" s="40">
        <v>1</v>
      </c>
      <c r="E35" s="22">
        <v>250</v>
      </c>
      <c r="F35" s="22">
        <f t="shared" si="8"/>
        <v>250</v>
      </c>
      <c r="G35" s="13">
        <f t="shared" si="0"/>
        <v>-250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f>G35</f>
        <v>-250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</row>
    <row r="36" spans="1:99" x14ac:dyDescent="0.25">
      <c r="A36" s="11" t="s">
        <v>4</v>
      </c>
      <c r="B36" s="11" t="s">
        <v>24</v>
      </c>
      <c r="C36" s="11" t="s">
        <v>29</v>
      </c>
      <c r="D36" s="42">
        <v>2.5000000000000001E-3</v>
      </c>
      <c r="E36" s="22">
        <f>-0.8*SUM(G2:G32,G41:G42)</f>
        <v>3257134.3019145005</v>
      </c>
      <c r="F36" s="22">
        <f t="shared" si="8"/>
        <v>8142.8357547862515</v>
      </c>
      <c r="G36" s="13">
        <f t="shared" si="0"/>
        <v>-8142.8357547862515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f>G36</f>
        <v>-8142.8357547862515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</row>
    <row r="37" spans="1:99" x14ac:dyDescent="0.25">
      <c r="A37" s="11" t="s">
        <v>4</v>
      </c>
      <c r="B37" s="11" t="s">
        <v>24</v>
      </c>
      <c r="C37" s="11" t="s">
        <v>25</v>
      </c>
      <c r="D37" s="42">
        <v>1E-3</v>
      </c>
      <c r="E37" s="22">
        <f>-0.8*SUM(G2:G32,G41:G42)</f>
        <v>3257134.3019145005</v>
      </c>
      <c r="F37" s="22">
        <f t="shared" si="8"/>
        <v>3257.1343019145006</v>
      </c>
      <c r="G37" s="13">
        <f t="shared" si="0"/>
        <v>-3257.1343019145006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f>G37</f>
        <v>-3257.1343019145006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</row>
    <row r="38" spans="1:99" x14ac:dyDescent="0.25">
      <c r="A38" s="11" t="s">
        <v>4</v>
      </c>
      <c r="B38" s="11" t="s">
        <v>24</v>
      </c>
      <c r="C38" s="11" t="s">
        <v>95</v>
      </c>
      <c r="D38" s="42">
        <f>intereses!C5</f>
        <v>3.5000000000000003E-2</v>
      </c>
      <c r="E38" s="22">
        <f>0.8*(SUM(F2:F42)-F44-F45)</f>
        <v>2600243.0711675193</v>
      </c>
      <c r="F38" s="22">
        <v>237934.46</v>
      </c>
      <c r="G38" s="13"/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-7584.0422874999995</v>
      </c>
      <c r="AO38" s="14">
        <v>-7468.1954477007021</v>
      </c>
      <c r="AP38" s="14">
        <v>-7352.0107212853227</v>
      </c>
      <c r="AQ38" s="14">
        <v>-7235.4871227512313</v>
      </c>
      <c r="AR38" s="14">
        <v>-7118.6236637214151</v>
      </c>
      <c r="AS38" s="14">
        <v>-7001.4193529360964</v>
      </c>
      <c r="AT38" s="14">
        <v>-6883.8731962443208</v>
      </c>
      <c r="AU38" s="14">
        <v>-6765.9841965955266</v>
      </c>
      <c r="AV38" s="14">
        <v>-6647.7513540310902</v>
      </c>
      <c r="AW38" s="14">
        <v>-6529.1736656758412</v>
      </c>
      <c r="AX38" s="14">
        <v>-6410.2501257295553</v>
      </c>
      <c r="AY38" s="14">
        <v>-6290.9797254584273</v>
      </c>
      <c r="AZ38" s="14">
        <v>-6171.361453186506</v>
      </c>
      <c r="BA38" s="14">
        <v>-6051.3942942871281</v>
      </c>
      <c r="BB38" s="14">
        <v>-5931.0772311742921</v>
      </c>
      <c r="BC38" s="14">
        <v>-5810.4092432940433</v>
      </c>
      <c r="BD38" s="26">
        <v>-5689.3893071158109</v>
      </c>
      <c r="BE38" s="26">
        <v>-5568.0163961237258</v>
      </c>
      <c r="BF38" s="26">
        <v>-5446.2894808079136</v>
      </c>
      <c r="BG38" s="26">
        <v>-5324.2075286557629</v>
      </c>
      <c r="BH38" s="26">
        <v>-5201.769504143168</v>
      </c>
      <c r="BI38" s="26">
        <v>-5078.974368725746</v>
      </c>
      <c r="BJ38" s="26">
        <v>-4955.8210808300228</v>
      </c>
      <c r="BK38" s="26">
        <v>-4832.3085958446036</v>
      </c>
      <c r="BL38" s="26">
        <v>-4708.4358661113101</v>
      </c>
      <c r="BM38" s="26">
        <v>-4584.2018409162956</v>
      </c>
      <c r="BN38" s="26">
        <v>-4459.6054664811272</v>
      </c>
      <c r="BO38" s="26">
        <v>-4334.6456859538584</v>
      </c>
      <c r="BP38" s="26">
        <v>-4209.3214394000506</v>
      </c>
      <c r="BQ38" s="26">
        <v>-4083.6316637937935</v>
      </c>
      <c r="BR38" s="26">
        <v>-3957.5752930086851</v>
      </c>
      <c r="BS38" s="26">
        <v>-3831.1512578087877</v>
      </c>
      <c r="BT38" s="26">
        <v>-3704.3584858395561</v>
      </c>
      <c r="BU38" s="26">
        <v>-3577.1959016187484</v>
      </c>
      <c r="BV38" s="26">
        <v>-3449.6624265272972</v>
      </c>
      <c r="BW38" s="26">
        <v>-3321.7569788001615</v>
      </c>
      <c r="BX38" s="26">
        <v>-3193.4784735171552</v>
      </c>
      <c r="BY38" s="26">
        <v>-3064.8258225937402</v>
      </c>
      <c r="BZ38" s="26">
        <v>-2935.7979347717983</v>
      </c>
      <c r="CA38" s="26">
        <v>-2806.3937156103757</v>
      </c>
      <c r="CB38" s="26">
        <v>-2676.6120674763997</v>
      </c>
      <c r="CC38" s="26">
        <v>-2546.4518895353663</v>
      </c>
      <c r="CD38" s="26">
        <v>-2415.9120777420044</v>
      </c>
      <c r="CE38" s="26">
        <v>-2284.9915248309117</v>
      </c>
      <c r="CF38" s="26">
        <v>-2153.6891203071618</v>
      </c>
      <c r="CG38" s="26">
        <v>-2022.0037504368843</v>
      </c>
      <c r="CH38" s="26">
        <v>-1889.9342982378187</v>
      </c>
      <c r="CI38" s="26">
        <v>-1757.4796434698387</v>
      </c>
      <c r="CJ38" s="26">
        <v>-1624.6386626254525</v>
      </c>
      <c r="CK38" s="26">
        <v>-1491.4102289202704</v>
      </c>
      <c r="CL38" s="26">
        <v>-1357.7932122834479</v>
      </c>
      <c r="CM38" s="26">
        <v>-1223.786479348101</v>
      </c>
      <c r="CN38" s="26">
        <v>-1089.388893441693</v>
      </c>
      <c r="CO38" s="26">
        <v>-954.59931457639141</v>
      </c>
      <c r="CP38" s="26">
        <v>-819.41659943939931</v>
      </c>
      <c r="CQ38" s="26">
        <v>-683.83960138325733</v>
      </c>
      <c r="CR38" s="26">
        <v>-547.8671704161186</v>
      </c>
      <c r="CS38" s="26">
        <v>-411.49815319199234</v>
      </c>
      <c r="CT38" s="26">
        <v>-274.73139300096238</v>
      </c>
      <c r="CU38" s="26">
        <v>-137.56572975937513</v>
      </c>
    </row>
    <row r="39" spans="1:99" x14ac:dyDescent="0.25">
      <c r="A39" s="11" t="s">
        <v>4</v>
      </c>
      <c r="B39" s="11" t="s">
        <v>24</v>
      </c>
      <c r="C39" s="11" t="s">
        <v>39</v>
      </c>
      <c r="D39" s="42">
        <f>intereses!E5</f>
        <v>0.05</v>
      </c>
      <c r="E39" s="22">
        <f>-0.8*SUM(G2:G32,G41:G42)</f>
        <v>3257134.3019145005</v>
      </c>
      <c r="F39" s="22">
        <v>116555.86</v>
      </c>
      <c r="G39" s="13"/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-13571.392916666666</v>
      </c>
      <c r="Y39" s="14">
        <v>-12749.375233955998</v>
      </c>
      <c r="Z39" s="14">
        <v>-11923.93247756737</v>
      </c>
      <c r="AA39" s="14">
        <v>-11095.050376360454</v>
      </c>
      <c r="AB39" s="14">
        <v>-10262.714599731844</v>
      </c>
      <c r="AC39" s="14">
        <v>-9426.9107573672791</v>
      </c>
      <c r="AD39" s="14">
        <v>-8587.6243989928626</v>
      </c>
      <c r="AE39" s="14">
        <v>-7744.8410141252216</v>
      </c>
      <c r="AF39" s="14">
        <v>-6898.5460318206306</v>
      </c>
      <c r="AG39" s="14">
        <v>-6048.7248204231037</v>
      </c>
      <c r="AH39" s="14">
        <v>-5195.3626873114217</v>
      </c>
      <c r="AI39" s="14">
        <v>-4338.4448786451057</v>
      </c>
      <c r="AJ39" s="14">
        <v>-3477.9565791093473</v>
      </c>
      <c r="AK39" s="14">
        <v>-2613.8829116588577</v>
      </c>
      <c r="AL39" s="14">
        <v>-1746.2089372606567</v>
      </c>
      <c r="AM39" s="14">
        <v>-874.91965463579675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</row>
    <row r="40" spans="1:99" x14ac:dyDescent="0.25">
      <c r="A40" s="11" t="s">
        <v>4</v>
      </c>
      <c r="B40" s="11" t="s">
        <v>24</v>
      </c>
      <c r="C40" s="11" t="s">
        <v>26</v>
      </c>
      <c r="D40" s="42">
        <v>2.5000000000000001E-3</v>
      </c>
      <c r="E40" s="22">
        <f>-0.8*SUM(G2:G32,G41:G42)</f>
        <v>3257134.3019145005</v>
      </c>
      <c r="F40" s="22">
        <f>D40*E40</f>
        <v>8142.8357547862515</v>
      </c>
      <c r="G40" s="13">
        <f>-F40</f>
        <v>-8142.8357547862515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0</v>
      </c>
      <c r="CU40" s="14">
        <f>G40</f>
        <v>-8142.8357547862515</v>
      </c>
    </row>
    <row r="41" spans="1:99" x14ac:dyDescent="0.25">
      <c r="A41" s="11" t="s">
        <v>4</v>
      </c>
      <c r="B41" s="11" t="s">
        <v>1</v>
      </c>
      <c r="C41" s="11" t="s">
        <v>22</v>
      </c>
      <c r="D41" s="12">
        <f>22*8</f>
        <v>176</v>
      </c>
      <c r="E41" s="11">
        <v>700</v>
      </c>
      <c r="F41" s="22">
        <f t="shared" ref="F41:F42" si="11">D41*E41</f>
        <v>123200</v>
      </c>
      <c r="G41" s="20">
        <f>-F41</f>
        <v>-123200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f t="shared" ref="Y41:AF41" si="12">$G$41/8</f>
        <v>-15400</v>
      </c>
      <c r="Z41" s="21">
        <f t="shared" si="12"/>
        <v>-15400</v>
      </c>
      <c r="AA41" s="21">
        <f t="shared" si="12"/>
        <v>-15400</v>
      </c>
      <c r="AB41" s="21">
        <f t="shared" si="12"/>
        <v>-15400</v>
      </c>
      <c r="AC41" s="21">
        <f t="shared" si="12"/>
        <v>-15400</v>
      </c>
      <c r="AD41" s="21">
        <f t="shared" si="12"/>
        <v>-15400</v>
      </c>
      <c r="AE41" s="21">
        <f t="shared" si="12"/>
        <v>-15400</v>
      </c>
      <c r="AF41" s="21">
        <f t="shared" si="12"/>
        <v>-15400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21">
        <v>0</v>
      </c>
      <c r="AZ41" s="21">
        <v>0</v>
      </c>
      <c r="BA41" s="21">
        <v>0</v>
      </c>
      <c r="BB41" s="21">
        <v>0</v>
      </c>
      <c r="BC41" s="21">
        <v>0</v>
      </c>
      <c r="BD41" s="21">
        <v>0</v>
      </c>
      <c r="BE41" s="21">
        <v>0</v>
      </c>
      <c r="BF41" s="21">
        <v>0</v>
      </c>
      <c r="BG41" s="21">
        <v>0</v>
      </c>
      <c r="BH41" s="21">
        <v>0</v>
      </c>
      <c r="BI41" s="21">
        <v>0</v>
      </c>
      <c r="BJ41" s="21">
        <v>0</v>
      </c>
      <c r="BK41" s="21">
        <v>0</v>
      </c>
      <c r="BL41" s="21">
        <v>0</v>
      </c>
      <c r="BM41" s="21">
        <v>0</v>
      </c>
      <c r="BN41" s="21">
        <v>0</v>
      </c>
      <c r="BO41" s="21">
        <v>0</v>
      </c>
      <c r="BP41" s="21">
        <v>0</v>
      </c>
      <c r="BQ41" s="21">
        <v>0</v>
      </c>
      <c r="BR41" s="21">
        <v>0</v>
      </c>
      <c r="BS41" s="21">
        <v>0</v>
      </c>
      <c r="BT41" s="21">
        <v>0</v>
      </c>
      <c r="BU41" s="21">
        <v>0</v>
      </c>
      <c r="BV41" s="21">
        <v>0</v>
      </c>
      <c r="BW41" s="21">
        <v>0</v>
      </c>
      <c r="BX41" s="21">
        <v>0</v>
      </c>
      <c r="BY41" s="21">
        <v>0</v>
      </c>
      <c r="BZ41" s="21">
        <v>0</v>
      </c>
      <c r="CA41" s="21">
        <v>0</v>
      </c>
      <c r="CB41" s="21">
        <v>0</v>
      </c>
      <c r="CC41" s="21">
        <v>0</v>
      </c>
      <c r="CD41" s="21">
        <v>0</v>
      </c>
      <c r="CE41" s="21">
        <v>0</v>
      </c>
      <c r="CF41" s="21">
        <v>0</v>
      </c>
      <c r="CG41" s="21">
        <v>0</v>
      </c>
      <c r="CH41" s="21">
        <v>0</v>
      </c>
      <c r="CI41" s="21">
        <v>0</v>
      </c>
      <c r="CJ41" s="21">
        <v>0</v>
      </c>
      <c r="CK41" s="21">
        <v>0</v>
      </c>
      <c r="CL41" s="21">
        <v>0</v>
      </c>
      <c r="CM41" s="21">
        <v>0</v>
      </c>
      <c r="CN41" s="21">
        <v>0</v>
      </c>
      <c r="CO41" s="21">
        <v>0</v>
      </c>
      <c r="CP41" s="21">
        <v>0</v>
      </c>
      <c r="CQ41" s="21">
        <v>0</v>
      </c>
      <c r="CR41" s="21">
        <v>0</v>
      </c>
      <c r="CS41" s="21">
        <v>0</v>
      </c>
      <c r="CT41" s="21">
        <v>0</v>
      </c>
      <c r="CU41" s="21">
        <v>0</v>
      </c>
    </row>
    <row r="42" spans="1:99" x14ac:dyDescent="0.25">
      <c r="A42" s="11" t="s">
        <v>4</v>
      </c>
      <c r="B42" s="11" t="s">
        <v>1</v>
      </c>
      <c r="C42" s="11" t="s">
        <v>17</v>
      </c>
      <c r="D42" s="12">
        <f>22*8</f>
        <v>176</v>
      </c>
      <c r="E42" s="11">
        <v>200</v>
      </c>
      <c r="F42" s="22">
        <f t="shared" si="11"/>
        <v>35200</v>
      </c>
      <c r="G42" s="13">
        <f>-$F$42</f>
        <v>-35200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f t="shared" ref="Y42:AF42" si="13">$G$42/8</f>
        <v>-4400</v>
      </c>
      <c r="Z42" s="14">
        <f t="shared" si="13"/>
        <v>-4400</v>
      </c>
      <c r="AA42" s="14">
        <f t="shared" si="13"/>
        <v>-4400</v>
      </c>
      <c r="AB42" s="14">
        <f t="shared" si="13"/>
        <v>-4400</v>
      </c>
      <c r="AC42" s="14">
        <f t="shared" si="13"/>
        <v>-4400</v>
      </c>
      <c r="AD42" s="14">
        <f t="shared" si="13"/>
        <v>-4400</v>
      </c>
      <c r="AE42" s="14">
        <f t="shared" si="13"/>
        <v>-4400</v>
      </c>
      <c r="AF42" s="14">
        <f t="shared" si="13"/>
        <v>-4400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</row>
    <row r="43" spans="1:99" x14ac:dyDescent="0.25">
      <c r="A43" s="11" t="s">
        <v>5</v>
      </c>
      <c r="B43" s="11" t="s">
        <v>174</v>
      </c>
      <c r="C43" s="11" t="s">
        <v>143</v>
      </c>
      <c r="D43" s="12">
        <v>22</v>
      </c>
      <c r="E43" s="11">
        <f>65*2183.04</f>
        <v>141897.60000000001</v>
      </c>
      <c r="F43" s="11">
        <f>D43*E43</f>
        <v>3121747.2</v>
      </c>
      <c r="G43" s="13">
        <f>F43</f>
        <v>3121747.2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f>G43</f>
        <v>3121747.2</v>
      </c>
    </row>
    <row r="44" spans="1:99" x14ac:dyDescent="0.25">
      <c r="A44" s="11" t="s">
        <v>5</v>
      </c>
      <c r="B44" s="11" t="s">
        <v>175</v>
      </c>
      <c r="C44" s="11" t="s">
        <v>176</v>
      </c>
      <c r="D44" s="12">
        <v>88</v>
      </c>
      <c r="E44" s="19">
        <v>2705</v>
      </c>
      <c r="F44" s="11">
        <f>D44*E44</f>
        <v>238040</v>
      </c>
      <c r="G44" s="13">
        <f>F44</f>
        <v>238040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f>G44</f>
        <v>238040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R44" s="14">
        <v>0</v>
      </c>
      <c r="CS44" s="14">
        <v>0</v>
      </c>
      <c r="CT44" s="14">
        <v>0</v>
      </c>
      <c r="CU44" s="14">
        <v>0</v>
      </c>
    </row>
    <row r="45" spans="1:99" x14ac:dyDescent="0.25">
      <c r="A45" s="11" t="s">
        <v>5</v>
      </c>
      <c r="B45" s="11" t="s">
        <v>175</v>
      </c>
      <c r="C45" s="11" t="s">
        <v>177</v>
      </c>
      <c r="D45" s="12">
        <v>88</v>
      </c>
      <c r="E45" s="11">
        <v>11000</v>
      </c>
      <c r="F45" s="11">
        <f>D45*E45</f>
        <v>968000</v>
      </c>
      <c r="G45" s="13">
        <f>F45</f>
        <v>968000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f>G45</f>
        <v>968000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</row>
    <row r="46" spans="1:99" x14ac:dyDescent="0.25">
      <c r="A46" s="11" t="s">
        <v>5</v>
      </c>
      <c r="B46" s="11" t="s">
        <v>178</v>
      </c>
      <c r="C46" s="11" t="s">
        <v>179</v>
      </c>
      <c r="D46" s="12">
        <f>22*60</f>
        <v>1320</v>
      </c>
      <c r="E46" s="11">
        <v>450</v>
      </c>
      <c r="F46" s="11">
        <f>D46*E46</f>
        <v>594000</v>
      </c>
      <c r="G46" s="13">
        <f>F46</f>
        <v>594000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f>($D$46*$E$46)/60</f>
        <v>9900</v>
      </c>
      <c r="AO46" s="14">
        <f t="shared" ref="AO46:CU46" si="14">($D$46*$E$46)/60</f>
        <v>9900</v>
      </c>
      <c r="AP46" s="14">
        <f t="shared" si="14"/>
        <v>9900</v>
      </c>
      <c r="AQ46" s="14">
        <f t="shared" si="14"/>
        <v>9900</v>
      </c>
      <c r="AR46" s="14">
        <f t="shared" si="14"/>
        <v>9900</v>
      </c>
      <c r="AS46" s="14">
        <f t="shared" si="14"/>
        <v>9900</v>
      </c>
      <c r="AT46" s="14">
        <f t="shared" si="14"/>
        <v>9900</v>
      </c>
      <c r="AU46" s="14">
        <f t="shared" si="14"/>
        <v>9900</v>
      </c>
      <c r="AV46" s="14">
        <f t="shared" si="14"/>
        <v>9900</v>
      </c>
      <c r="AW46" s="14">
        <f t="shared" si="14"/>
        <v>9900</v>
      </c>
      <c r="AX46" s="14">
        <f t="shared" si="14"/>
        <v>9900</v>
      </c>
      <c r="AY46" s="14">
        <f t="shared" si="14"/>
        <v>9900</v>
      </c>
      <c r="AZ46" s="14">
        <f t="shared" si="14"/>
        <v>9900</v>
      </c>
      <c r="BA46" s="14">
        <f t="shared" si="14"/>
        <v>9900</v>
      </c>
      <c r="BB46" s="14">
        <f t="shared" si="14"/>
        <v>9900</v>
      </c>
      <c r="BC46" s="14">
        <f t="shared" si="14"/>
        <v>9900</v>
      </c>
      <c r="BD46" s="14">
        <f t="shared" si="14"/>
        <v>9900</v>
      </c>
      <c r="BE46" s="14">
        <f t="shared" si="14"/>
        <v>9900</v>
      </c>
      <c r="BF46" s="14">
        <f t="shared" si="14"/>
        <v>9900</v>
      </c>
      <c r="BG46" s="14">
        <f t="shared" si="14"/>
        <v>9900</v>
      </c>
      <c r="BH46" s="14">
        <f t="shared" si="14"/>
        <v>9900</v>
      </c>
      <c r="BI46" s="14">
        <f t="shared" si="14"/>
        <v>9900</v>
      </c>
      <c r="BJ46" s="14">
        <f t="shared" si="14"/>
        <v>9900</v>
      </c>
      <c r="BK46" s="14">
        <f t="shared" si="14"/>
        <v>9900</v>
      </c>
      <c r="BL46" s="14">
        <f t="shared" si="14"/>
        <v>9900</v>
      </c>
      <c r="BM46" s="14">
        <f t="shared" si="14"/>
        <v>9900</v>
      </c>
      <c r="BN46" s="14">
        <f t="shared" si="14"/>
        <v>9900</v>
      </c>
      <c r="BO46" s="14">
        <f t="shared" si="14"/>
        <v>9900</v>
      </c>
      <c r="BP46" s="14">
        <f t="shared" si="14"/>
        <v>9900</v>
      </c>
      <c r="BQ46" s="14">
        <f t="shared" si="14"/>
        <v>9900</v>
      </c>
      <c r="BR46" s="14">
        <f t="shared" si="14"/>
        <v>9900</v>
      </c>
      <c r="BS46" s="14">
        <f t="shared" si="14"/>
        <v>9900</v>
      </c>
      <c r="BT46" s="14">
        <f t="shared" si="14"/>
        <v>9900</v>
      </c>
      <c r="BU46" s="14">
        <f t="shared" si="14"/>
        <v>9900</v>
      </c>
      <c r="BV46" s="14">
        <f t="shared" si="14"/>
        <v>9900</v>
      </c>
      <c r="BW46" s="14">
        <f t="shared" si="14"/>
        <v>9900</v>
      </c>
      <c r="BX46" s="14">
        <f t="shared" si="14"/>
        <v>9900</v>
      </c>
      <c r="BY46" s="14">
        <f t="shared" si="14"/>
        <v>9900</v>
      </c>
      <c r="BZ46" s="14">
        <f t="shared" si="14"/>
        <v>9900</v>
      </c>
      <c r="CA46" s="14">
        <f t="shared" si="14"/>
        <v>9900</v>
      </c>
      <c r="CB46" s="14">
        <f t="shared" si="14"/>
        <v>9900</v>
      </c>
      <c r="CC46" s="14">
        <f t="shared" si="14"/>
        <v>9900</v>
      </c>
      <c r="CD46" s="14">
        <f t="shared" si="14"/>
        <v>9900</v>
      </c>
      <c r="CE46" s="14">
        <f t="shared" si="14"/>
        <v>9900</v>
      </c>
      <c r="CF46" s="14">
        <f t="shared" si="14"/>
        <v>9900</v>
      </c>
      <c r="CG46" s="14">
        <f t="shared" si="14"/>
        <v>9900</v>
      </c>
      <c r="CH46" s="14">
        <f t="shared" si="14"/>
        <v>9900</v>
      </c>
      <c r="CI46" s="14">
        <f t="shared" si="14"/>
        <v>9900</v>
      </c>
      <c r="CJ46" s="14">
        <f t="shared" si="14"/>
        <v>9900</v>
      </c>
      <c r="CK46" s="14">
        <f t="shared" si="14"/>
        <v>9900</v>
      </c>
      <c r="CL46" s="14">
        <f t="shared" si="14"/>
        <v>9900</v>
      </c>
      <c r="CM46" s="14">
        <f t="shared" si="14"/>
        <v>9900</v>
      </c>
      <c r="CN46" s="14">
        <f t="shared" si="14"/>
        <v>9900</v>
      </c>
      <c r="CO46" s="14">
        <f t="shared" si="14"/>
        <v>9900</v>
      </c>
      <c r="CP46" s="14">
        <f t="shared" si="14"/>
        <v>9900</v>
      </c>
      <c r="CQ46" s="14">
        <f t="shared" si="14"/>
        <v>9900</v>
      </c>
      <c r="CR46" s="14">
        <f t="shared" si="14"/>
        <v>9900</v>
      </c>
      <c r="CS46" s="14">
        <f t="shared" si="14"/>
        <v>9900</v>
      </c>
      <c r="CT46" s="14">
        <f t="shared" si="14"/>
        <v>9900</v>
      </c>
      <c r="CU46" s="14">
        <f t="shared" si="14"/>
        <v>9900</v>
      </c>
    </row>
    <row r="47" spans="1:99" x14ac:dyDescent="0.25">
      <c r="A47" s="11" t="s">
        <v>5</v>
      </c>
      <c r="B47" s="11" t="s">
        <v>180</v>
      </c>
      <c r="C47" s="11" t="s">
        <v>152</v>
      </c>
      <c r="D47" s="12">
        <v>0</v>
      </c>
      <c r="E47" s="11">
        <v>50</v>
      </c>
      <c r="F47" s="22">
        <f>D47*E47</f>
        <v>0</v>
      </c>
      <c r="G47" s="15">
        <f>F47</f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f>($D$47*$E$47)/60</f>
        <v>0</v>
      </c>
      <c r="AO47" s="14">
        <f t="shared" ref="AO47:CU47" si="15">($D$47*$E$47)/60</f>
        <v>0</v>
      </c>
      <c r="AP47" s="14">
        <f t="shared" si="15"/>
        <v>0</v>
      </c>
      <c r="AQ47" s="14">
        <f t="shared" si="15"/>
        <v>0</v>
      </c>
      <c r="AR47" s="14">
        <f t="shared" si="15"/>
        <v>0</v>
      </c>
      <c r="AS47" s="14">
        <f t="shared" si="15"/>
        <v>0</v>
      </c>
      <c r="AT47" s="14">
        <f t="shared" si="15"/>
        <v>0</v>
      </c>
      <c r="AU47" s="14">
        <f t="shared" si="15"/>
        <v>0</v>
      </c>
      <c r="AV47" s="14">
        <f t="shared" si="15"/>
        <v>0</v>
      </c>
      <c r="AW47" s="14">
        <f t="shared" si="15"/>
        <v>0</v>
      </c>
      <c r="AX47" s="14">
        <f t="shared" si="15"/>
        <v>0</v>
      </c>
      <c r="AY47" s="14">
        <f t="shared" si="15"/>
        <v>0</v>
      </c>
      <c r="AZ47" s="14">
        <f t="shared" si="15"/>
        <v>0</v>
      </c>
      <c r="BA47" s="14">
        <f t="shared" si="15"/>
        <v>0</v>
      </c>
      <c r="BB47" s="14">
        <f t="shared" si="15"/>
        <v>0</v>
      </c>
      <c r="BC47" s="14">
        <f t="shared" si="15"/>
        <v>0</v>
      </c>
      <c r="BD47" s="14">
        <f t="shared" si="15"/>
        <v>0</v>
      </c>
      <c r="BE47" s="14">
        <f t="shared" si="15"/>
        <v>0</v>
      </c>
      <c r="BF47" s="14">
        <f t="shared" si="15"/>
        <v>0</v>
      </c>
      <c r="BG47" s="14">
        <f t="shared" si="15"/>
        <v>0</v>
      </c>
      <c r="BH47" s="14">
        <f t="shared" si="15"/>
        <v>0</v>
      </c>
      <c r="BI47" s="14">
        <f t="shared" si="15"/>
        <v>0</v>
      </c>
      <c r="BJ47" s="14">
        <f t="shared" si="15"/>
        <v>0</v>
      </c>
      <c r="BK47" s="14">
        <f t="shared" si="15"/>
        <v>0</v>
      </c>
      <c r="BL47" s="14">
        <f t="shared" si="15"/>
        <v>0</v>
      </c>
      <c r="BM47" s="14">
        <f t="shared" si="15"/>
        <v>0</v>
      </c>
      <c r="BN47" s="14">
        <f t="shared" si="15"/>
        <v>0</v>
      </c>
      <c r="BO47" s="14">
        <f t="shared" si="15"/>
        <v>0</v>
      </c>
      <c r="BP47" s="14">
        <f t="shared" si="15"/>
        <v>0</v>
      </c>
      <c r="BQ47" s="14">
        <f t="shared" si="15"/>
        <v>0</v>
      </c>
      <c r="BR47" s="14">
        <f t="shared" si="15"/>
        <v>0</v>
      </c>
      <c r="BS47" s="14">
        <f t="shared" si="15"/>
        <v>0</v>
      </c>
      <c r="BT47" s="14">
        <f t="shared" si="15"/>
        <v>0</v>
      </c>
      <c r="BU47" s="14">
        <f t="shared" si="15"/>
        <v>0</v>
      </c>
      <c r="BV47" s="14">
        <f t="shared" si="15"/>
        <v>0</v>
      </c>
      <c r="BW47" s="14">
        <f t="shared" si="15"/>
        <v>0</v>
      </c>
      <c r="BX47" s="14">
        <f t="shared" si="15"/>
        <v>0</v>
      </c>
      <c r="BY47" s="14">
        <f t="shared" si="15"/>
        <v>0</v>
      </c>
      <c r="BZ47" s="14">
        <f t="shared" si="15"/>
        <v>0</v>
      </c>
      <c r="CA47" s="14">
        <f t="shared" si="15"/>
        <v>0</v>
      </c>
      <c r="CB47" s="14">
        <f t="shared" si="15"/>
        <v>0</v>
      </c>
      <c r="CC47" s="14">
        <f t="shared" si="15"/>
        <v>0</v>
      </c>
      <c r="CD47" s="14">
        <f t="shared" si="15"/>
        <v>0</v>
      </c>
      <c r="CE47" s="14">
        <f t="shared" si="15"/>
        <v>0</v>
      </c>
      <c r="CF47" s="14">
        <f t="shared" si="15"/>
        <v>0</v>
      </c>
      <c r="CG47" s="14">
        <f t="shared" si="15"/>
        <v>0</v>
      </c>
      <c r="CH47" s="14">
        <f t="shared" si="15"/>
        <v>0</v>
      </c>
      <c r="CI47" s="14">
        <f t="shared" si="15"/>
        <v>0</v>
      </c>
      <c r="CJ47" s="14">
        <f t="shared" si="15"/>
        <v>0</v>
      </c>
      <c r="CK47" s="14">
        <f t="shared" si="15"/>
        <v>0</v>
      </c>
      <c r="CL47" s="14">
        <f t="shared" si="15"/>
        <v>0</v>
      </c>
      <c r="CM47" s="14">
        <f t="shared" si="15"/>
        <v>0</v>
      </c>
      <c r="CN47" s="14">
        <f t="shared" si="15"/>
        <v>0</v>
      </c>
      <c r="CO47" s="14">
        <f t="shared" si="15"/>
        <v>0</v>
      </c>
      <c r="CP47" s="14">
        <f t="shared" si="15"/>
        <v>0</v>
      </c>
      <c r="CQ47" s="14">
        <f t="shared" si="15"/>
        <v>0</v>
      </c>
      <c r="CR47" s="14">
        <f t="shared" si="15"/>
        <v>0</v>
      </c>
      <c r="CS47" s="14">
        <f t="shared" si="15"/>
        <v>0</v>
      </c>
      <c r="CT47" s="14">
        <f t="shared" si="15"/>
        <v>0</v>
      </c>
      <c r="CU47" s="14">
        <f t="shared" si="15"/>
        <v>0</v>
      </c>
    </row>
    <row r="48" spans="1:99" x14ac:dyDescent="0.25">
      <c r="A48" s="11" t="s">
        <v>181</v>
      </c>
      <c r="B48" s="11" t="s">
        <v>182</v>
      </c>
      <c r="C48" s="11" t="s">
        <v>5</v>
      </c>
      <c r="F48" s="27"/>
      <c r="G48" s="45">
        <f>SUM(F43:F47)</f>
        <v>4921787.2</v>
      </c>
      <c r="H48" s="29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</row>
    <row r="49" spans="1:99" x14ac:dyDescent="0.25">
      <c r="A49" s="11" t="s">
        <v>181</v>
      </c>
      <c r="B49" s="11" t="s">
        <v>182</v>
      </c>
      <c r="C49" s="11" t="s">
        <v>90</v>
      </c>
      <c r="F49" s="27"/>
      <c r="G49" s="45">
        <f>-SUM(F2:F42)</f>
        <v>-4456343.8389593987</v>
      </c>
      <c r="H49" s="29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</row>
    <row r="50" spans="1:99" x14ac:dyDescent="0.25">
      <c r="A50" s="11" t="s">
        <v>181</v>
      </c>
      <c r="B50" s="11" t="s">
        <v>182</v>
      </c>
      <c r="C50" s="11" t="s">
        <v>183</v>
      </c>
      <c r="F50" s="27"/>
      <c r="G50" s="45">
        <f>SUM(G48:G49)</f>
        <v>465443.36104060151</v>
      </c>
      <c r="H50" s="29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</row>
    <row r="51" spans="1:99" x14ac:dyDescent="0.25">
      <c r="A51" s="11" t="s">
        <v>181</v>
      </c>
      <c r="B51" s="11" t="s">
        <v>182</v>
      </c>
      <c r="C51" s="11" t="s">
        <v>184</v>
      </c>
      <c r="F51" s="27"/>
      <c r="G51" s="46">
        <f>G50/-G49</f>
        <v>0.10444511865791918</v>
      </c>
      <c r="H51" s="29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</row>
    <row r="52" spans="1:99" x14ac:dyDescent="0.25">
      <c r="A52" s="11" t="s">
        <v>181</v>
      </c>
      <c r="B52" s="11" t="s">
        <v>185</v>
      </c>
      <c r="C52" s="11" t="s">
        <v>186</v>
      </c>
      <c r="F52" s="31"/>
      <c r="G52" s="47"/>
      <c r="H52" s="32">
        <f t="shared" ref="H52:AM52" si="16">SUM(H2:H47)</f>
        <v>0</v>
      </c>
      <c r="I52" s="26">
        <f t="shared" si="16"/>
        <v>-7018</v>
      </c>
      <c r="J52" s="26">
        <f t="shared" si="16"/>
        <v>0</v>
      </c>
      <c r="K52" s="26">
        <f t="shared" si="16"/>
        <v>-10466.889964608001</v>
      </c>
      <c r="L52" s="26">
        <f t="shared" si="16"/>
        <v>0</v>
      </c>
      <c r="M52" s="26">
        <f t="shared" si="16"/>
        <v>-84054.431184023531</v>
      </c>
      <c r="N52" s="26">
        <f t="shared" si="16"/>
        <v>-968.87700000000007</v>
      </c>
      <c r="O52" s="26">
        <f t="shared" si="16"/>
        <v>0</v>
      </c>
      <c r="P52" s="26">
        <f t="shared" si="16"/>
        <v>-130801.57372430927</v>
      </c>
      <c r="Q52" s="26">
        <f t="shared" si="16"/>
        <v>-28534.345848000004</v>
      </c>
      <c r="R52" s="26">
        <f t="shared" si="16"/>
        <v>-3569.8899646080008</v>
      </c>
      <c r="S52" s="26">
        <f t="shared" si="16"/>
        <v>0</v>
      </c>
      <c r="T52" s="26">
        <f t="shared" si="16"/>
        <v>-114137.38339200002</v>
      </c>
      <c r="U52" s="26">
        <f t="shared" si="16"/>
        <v>0</v>
      </c>
      <c r="V52" s="26">
        <f t="shared" si="16"/>
        <v>0</v>
      </c>
      <c r="W52" s="26">
        <f t="shared" si="16"/>
        <v>-22292.805811487</v>
      </c>
      <c r="X52" s="26">
        <f t="shared" si="16"/>
        <v>-67431.880766073067</v>
      </c>
      <c r="Y52" s="26">
        <f t="shared" si="16"/>
        <v>-112754.7634357224</v>
      </c>
      <c r="Z52" s="26">
        <f t="shared" si="16"/>
        <v>-59995.395804529311</v>
      </c>
      <c r="AA52" s="26">
        <f t="shared" si="16"/>
        <v>-76855.833703322409</v>
      </c>
      <c r="AB52" s="26">
        <f t="shared" si="16"/>
        <v>-118477.86592669379</v>
      </c>
      <c r="AC52" s="26">
        <f t="shared" si="16"/>
        <v>-113219.73208432921</v>
      </c>
      <c r="AD52" s="26">
        <f t="shared" si="16"/>
        <v>-125647.43572595478</v>
      </c>
      <c r="AE52" s="26">
        <f t="shared" si="16"/>
        <v>-253462.16763948716</v>
      </c>
      <c r="AF52" s="26">
        <f t="shared" si="16"/>
        <v>-306999.76908998261</v>
      </c>
      <c r="AG52" s="26">
        <f t="shared" si="16"/>
        <v>-292616.83817242511</v>
      </c>
      <c r="AH52" s="26">
        <f t="shared" si="16"/>
        <v>-401955.02455867344</v>
      </c>
      <c r="AI52" s="26">
        <f t="shared" si="16"/>
        <v>-458523.82134680712</v>
      </c>
      <c r="AJ52" s="26">
        <f t="shared" si="16"/>
        <v>-564640.66877847118</v>
      </c>
      <c r="AK52" s="26">
        <f t="shared" si="16"/>
        <v>-408682.25324086082</v>
      </c>
      <c r="AL52" s="26">
        <f t="shared" si="16"/>
        <v>-316584.84981318266</v>
      </c>
      <c r="AM52" s="26">
        <f t="shared" si="16"/>
        <v>-117861.70609775775</v>
      </c>
      <c r="AN52" s="26">
        <f t="shared" ref="AN52:BS52" si="17">SUM(AN2:AN47)</f>
        <v>1195643.5893055624</v>
      </c>
      <c r="AO52" s="26">
        <f t="shared" si="17"/>
        <v>2431.8045522992979</v>
      </c>
      <c r="AP52" s="26">
        <f t="shared" si="17"/>
        <v>2547.9892787146773</v>
      </c>
      <c r="AQ52" s="26">
        <f t="shared" si="17"/>
        <v>2664.5128772487687</v>
      </c>
      <c r="AR52" s="26">
        <f t="shared" si="17"/>
        <v>2781.3763362785849</v>
      </c>
      <c r="AS52" s="26">
        <f t="shared" si="17"/>
        <v>2898.5806470639036</v>
      </c>
      <c r="AT52" s="26">
        <f t="shared" si="17"/>
        <v>3016.1268037556792</v>
      </c>
      <c r="AU52" s="26">
        <f t="shared" si="17"/>
        <v>3134.0158034044734</v>
      </c>
      <c r="AV52" s="26">
        <f t="shared" si="17"/>
        <v>3252.2486459689098</v>
      </c>
      <c r="AW52" s="26">
        <f t="shared" si="17"/>
        <v>3370.8263343241588</v>
      </c>
      <c r="AX52" s="26">
        <f t="shared" si="17"/>
        <v>3489.7498742704447</v>
      </c>
      <c r="AY52" s="26">
        <f t="shared" si="17"/>
        <v>3609.0202745415727</v>
      </c>
      <c r="AZ52" s="26">
        <f t="shared" si="17"/>
        <v>3728.638546813494</v>
      </c>
      <c r="BA52" s="26">
        <f t="shared" si="17"/>
        <v>3848.6057057128719</v>
      </c>
      <c r="BB52" s="26">
        <f t="shared" si="17"/>
        <v>3968.9227688257079</v>
      </c>
      <c r="BC52" s="26">
        <f t="shared" si="17"/>
        <v>4089.5907567059567</v>
      </c>
      <c r="BD52" s="26">
        <f t="shared" si="17"/>
        <v>4210.6106928841891</v>
      </c>
      <c r="BE52" s="26">
        <f t="shared" si="17"/>
        <v>4331.9836038762742</v>
      </c>
      <c r="BF52" s="26">
        <f t="shared" si="17"/>
        <v>4453.7105191920864</v>
      </c>
      <c r="BG52" s="26">
        <f t="shared" si="17"/>
        <v>4575.7924713442371</v>
      </c>
      <c r="BH52" s="26">
        <f t="shared" si="17"/>
        <v>4698.230495856832</v>
      </c>
      <c r="BI52" s="26">
        <f t="shared" si="17"/>
        <v>4821.025631274254</v>
      </c>
      <c r="BJ52" s="26">
        <f t="shared" si="17"/>
        <v>4944.1789191699772</v>
      </c>
      <c r="BK52" s="26">
        <f t="shared" si="17"/>
        <v>5067.6914041553964</v>
      </c>
      <c r="BL52" s="26">
        <f t="shared" si="17"/>
        <v>5191.5641338886899</v>
      </c>
      <c r="BM52" s="26">
        <f t="shared" si="17"/>
        <v>5315.7981590837044</v>
      </c>
      <c r="BN52" s="26">
        <f t="shared" si="17"/>
        <v>5440.3945335188728</v>
      </c>
      <c r="BO52" s="26">
        <f t="shared" si="17"/>
        <v>5565.3543140461416</v>
      </c>
      <c r="BP52" s="26">
        <f t="shared" si="17"/>
        <v>5690.6785605999494</v>
      </c>
      <c r="BQ52" s="26">
        <f t="shared" si="17"/>
        <v>5816.3683362062065</v>
      </c>
      <c r="BR52" s="26">
        <f t="shared" si="17"/>
        <v>5942.4247069913145</v>
      </c>
      <c r="BS52" s="26">
        <f t="shared" si="17"/>
        <v>6068.8487421912123</v>
      </c>
      <c r="BT52" s="26">
        <f t="shared" ref="BT52:CU52" si="18">SUM(BT2:BT47)</f>
        <v>6195.6415141604439</v>
      </c>
      <c r="BU52" s="26">
        <f t="shared" si="18"/>
        <v>6322.8040983812516</v>
      </c>
      <c r="BV52" s="26">
        <f t="shared" si="18"/>
        <v>6450.3375734727033</v>
      </c>
      <c r="BW52" s="26">
        <f t="shared" si="18"/>
        <v>6578.243021199838</v>
      </c>
      <c r="BX52" s="26">
        <f t="shared" si="18"/>
        <v>6706.5215264828448</v>
      </c>
      <c r="BY52" s="26">
        <f t="shared" si="18"/>
        <v>6835.1741774062593</v>
      </c>
      <c r="BZ52" s="26">
        <f t="shared" si="18"/>
        <v>6964.2020652282017</v>
      </c>
      <c r="CA52" s="26">
        <f t="shared" si="18"/>
        <v>7093.6062843896243</v>
      </c>
      <c r="CB52" s="26">
        <f t="shared" si="18"/>
        <v>7223.3879325236003</v>
      </c>
      <c r="CC52" s="26">
        <f t="shared" si="18"/>
        <v>7353.5481104646333</v>
      </c>
      <c r="CD52" s="26">
        <f t="shared" si="18"/>
        <v>7484.0879222579952</v>
      </c>
      <c r="CE52" s="26">
        <f t="shared" si="18"/>
        <v>7615.0084751690883</v>
      </c>
      <c r="CF52" s="26">
        <f t="shared" si="18"/>
        <v>7746.3108796928382</v>
      </c>
      <c r="CG52" s="26">
        <f t="shared" si="18"/>
        <v>7877.9962495631153</v>
      </c>
      <c r="CH52" s="26">
        <f t="shared" si="18"/>
        <v>8010.0657017621816</v>
      </c>
      <c r="CI52" s="26">
        <f t="shared" si="18"/>
        <v>8142.5203565301617</v>
      </c>
      <c r="CJ52" s="26">
        <f t="shared" si="18"/>
        <v>8275.3613373745466</v>
      </c>
      <c r="CK52" s="26">
        <f t="shared" si="18"/>
        <v>8408.589771079729</v>
      </c>
      <c r="CL52" s="26">
        <f t="shared" si="18"/>
        <v>8542.2067877165518</v>
      </c>
      <c r="CM52" s="26">
        <f t="shared" si="18"/>
        <v>8676.2135206518997</v>
      </c>
      <c r="CN52" s="26">
        <f t="shared" si="18"/>
        <v>8810.6111065583063</v>
      </c>
      <c r="CO52" s="26">
        <f t="shared" si="18"/>
        <v>8945.4006854236086</v>
      </c>
      <c r="CP52" s="26">
        <f t="shared" si="18"/>
        <v>9080.5834005606011</v>
      </c>
      <c r="CQ52" s="26">
        <f t="shared" si="18"/>
        <v>9216.1603986167429</v>
      </c>
      <c r="CR52" s="26">
        <f t="shared" si="18"/>
        <v>9352.1328295838812</v>
      </c>
      <c r="CS52" s="26">
        <f t="shared" si="18"/>
        <v>9488.501846808007</v>
      </c>
      <c r="CT52" s="26">
        <f t="shared" si="18"/>
        <v>9625.2686069990377</v>
      </c>
      <c r="CU52" s="26">
        <f t="shared" si="18"/>
        <v>3123366.7985154544</v>
      </c>
    </row>
    <row r="53" spans="1:99" x14ac:dyDescent="0.25">
      <c r="A53" s="11" t="s">
        <v>181</v>
      </c>
      <c r="B53" s="11" t="s">
        <v>185</v>
      </c>
      <c r="C53" s="11" t="s">
        <v>187</v>
      </c>
      <c r="F53" s="27"/>
      <c r="G53" s="46">
        <f>SUM(H52:CU52)</f>
        <v>465443.33535797289</v>
      </c>
      <c r="H53" s="49">
        <f>SUM(H52:R52)</f>
        <v>-265414.0076855488</v>
      </c>
      <c r="I53" s="49"/>
      <c r="J53" s="49"/>
      <c r="K53" s="49"/>
      <c r="L53" s="49"/>
      <c r="M53" s="49"/>
      <c r="N53" s="49"/>
      <c r="O53" s="49"/>
      <c r="P53" s="49"/>
      <c r="Q53" s="49"/>
      <c r="R53" s="50"/>
      <c r="S53" s="51">
        <f>SUM(S52:AD52)</f>
        <v>-810813.09665011207</v>
      </c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50"/>
      <c r="AE53" s="51">
        <f>SUM(AE52:AP52)</f>
        <v>-1920703.7156010719</v>
      </c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50"/>
      <c r="AQ53" s="51">
        <f>SUM(AQ52:BB52)</f>
        <v>39762.624618208574</v>
      </c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50"/>
      <c r="BC53" s="51">
        <f>SUM(BC52:BN52)</f>
        <v>57140.571320950476</v>
      </c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50"/>
      <c r="BO53" s="51">
        <f>SUM(BO52:BZ52)</f>
        <v>75136.598636366369</v>
      </c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50"/>
      <c r="CA53" s="51">
        <f>SUM(CA52:CL52)</f>
        <v>93772.689808524068</v>
      </c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50"/>
      <c r="CM53" s="51">
        <f>SUM(CM52:CU52)</f>
        <v>3196561.6709106565</v>
      </c>
      <c r="CN53" s="49"/>
      <c r="CO53" s="49"/>
      <c r="CP53" s="49"/>
      <c r="CQ53" s="49"/>
      <c r="CR53" s="49"/>
      <c r="CS53" s="49"/>
      <c r="CT53" s="49"/>
      <c r="CU53" s="50"/>
    </row>
    <row r="54" spans="1:99" x14ac:dyDescent="0.25">
      <c r="A54" s="11" t="s">
        <v>181</v>
      </c>
      <c r="B54" s="11" t="s">
        <v>188</v>
      </c>
      <c r="C54" s="11" t="s">
        <v>189</v>
      </c>
      <c r="F54" s="27"/>
      <c r="G54" s="45">
        <v>0.06</v>
      </c>
      <c r="H54" s="29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</row>
    <row r="55" spans="1:99" x14ac:dyDescent="0.25">
      <c r="A55" s="11" t="s">
        <v>181</v>
      </c>
      <c r="B55" s="11" t="s">
        <v>188</v>
      </c>
      <c r="C55" s="11" t="s">
        <v>91</v>
      </c>
      <c r="F55" s="27"/>
      <c r="G55" s="45">
        <f xml:space="preserve"> (1+G54)^(1/12)-1</f>
        <v>4.8675505653430484E-3</v>
      </c>
      <c r="H55" s="29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</row>
    <row r="56" spans="1:99" x14ac:dyDescent="0.25">
      <c r="A56" s="11" t="s">
        <v>181</v>
      </c>
      <c r="B56" s="11" t="s">
        <v>188</v>
      </c>
      <c r="C56" s="11" t="s">
        <v>92</v>
      </c>
      <c r="F56" s="27"/>
      <c r="G56" s="45">
        <v>5.0000000000000001E-4</v>
      </c>
      <c r="H56" s="29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spans="1:99" x14ac:dyDescent="0.25">
      <c r="A57" s="11" t="s">
        <v>181</v>
      </c>
      <c r="B57" s="11" t="s">
        <v>190</v>
      </c>
      <c r="C57" s="11" t="s">
        <v>93</v>
      </c>
      <c r="F57" s="27"/>
      <c r="G57" s="45">
        <f>NPV(G55,Q52:CU52)+SUM(H52:P52)</f>
        <v>-473998.06503881223</v>
      </c>
      <c r="H57" s="33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</row>
    <row r="58" spans="1:99" x14ac:dyDescent="0.25">
      <c r="A58" s="11" t="s">
        <v>181</v>
      </c>
      <c r="B58" s="11" t="s">
        <v>190</v>
      </c>
      <c r="C58" s="11" t="s">
        <v>94</v>
      </c>
      <c r="F58" s="27"/>
      <c r="G58" s="45">
        <f>CU58</f>
        <v>2.2795610231300945E-3</v>
      </c>
      <c r="H58" s="32"/>
      <c r="I58" s="26">
        <f>MIRR(H52:I52,G56,G55)</f>
        <v>-1</v>
      </c>
      <c r="J58" s="26">
        <f>MIRR($H$52:J52,$G$56,$G$55)</f>
        <v>-1</v>
      </c>
      <c r="K58" s="26">
        <f>MIRR($H$52:K52,$G$56,$G$55)</f>
        <v>-1</v>
      </c>
      <c r="L58" s="26">
        <f>MIRR($H$52:L52,$G$56,$G$55)</f>
        <v>-1</v>
      </c>
      <c r="M58" s="26">
        <f>MIRR($H$52:M52,$G$56,$G$55)</f>
        <v>-1</v>
      </c>
      <c r="N58" s="26">
        <f>MIRR($H$52:N52,$G$56,$G$55)</f>
        <v>-1</v>
      </c>
      <c r="O58" s="26">
        <f>MIRR($H$52:O52,$G$56,$G$55)</f>
        <v>-1</v>
      </c>
      <c r="P58" s="26">
        <f>MIRR($H$52:P52,$G$56,$G$55)</f>
        <v>-1</v>
      </c>
      <c r="Q58" s="26">
        <f>MIRR($H$52:Q52,$G$56,$G$55)</f>
        <v>-1</v>
      </c>
      <c r="R58" s="26">
        <f>MIRR($H$52:R52,$G$56,$G$55)</f>
        <v>-1</v>
      </c>
      <c r="S58" s="26">
        <f>MIRR($H$52:S52,$G$56,$G$55)</f>
        <v>-1</v>
      </c>
      <c r="T58" s="26">
        <f>MIRR($H$52:T52,$G$56,$G$55)</f>
        <v>-1</v>
      </c>
      <c r="U58" s="26">
        <f>MIRR($H$52:U52,$G$56,$G$55)</f>
        <v>-1</v>
      </c>
      <c r="V58" s="26">
        <f>MIRR($H$52:V52,$G$56,$G$55)</f>
        <v>-1</v>
      </c>
      <c r="W58" s="26">
        <f>MIRR($H$52:W52,$G$56,$G$55)</f>
        <v>-1</v>
      </c>
      <c r="X58" s="26">
        <f>MIRR($H$52:X52,$G$56,$G$55)</f>
        <v>-1</v>
      </c>
      <c r="Y58" s="26">
        <f>MIRR($H$52:Y52,$G$56,$G$55)</f>
        <v>-1</v>
      </c>
      <c r="Z58" s="26">
        <f>MIRR($H$52:Z52,$G$56,$G$55)</f>
        <v>-1</v>
      </c>
      <c r="AA58" s="26">
        <f>MIRR($H$52:AA52,$G$56,$G$55)</f>
        <v>-1</v>
      </c>
      <c r="AB58" s="26">
        <f>MIRR($H$52:AB52,$G$56,$G$55)</f>
        <v>-1</v>
      </c>
      <c r="AC58" s="26">
        <f>MIRR($H$52:AC52,$G$56,$G$55)</f>
        <v>-1</v>
      </c>
      <c r="AD58" s="26">
        <f>MIRR($H$52:AD52,$G$56,$G$55)</f>
        <v>-1</v>
      </c>
      <c r="AE58" s="26">
        <f>MIRR($H$52:AE52,$G$56,$G$55)</f>
        <v>-1</v>
      </c>
      <c r="AF58" s="26">
        <f>MIRR($H$52:AF52,$G$56,$G$55)</f>
        <v>-1</v>
      </c>
      <c r="AG58" s="26">
        <f>MIRR($H$52:AG52,$G$56,$G$55)</f>
        <v>-1</v>
      </c>
      <c r="AH58" s="26">
        <f>MIRR($H$52:AH52,$G$56,$G$55)</f>
        <v>-1</v>
      </c>
      <c r="AI58" s="26">
        <f>MIRR($H$52:AI52,$G$56,$G$55)</f>
        <v>-1</v>
      </c>
      <c r="AJ58" s="26">
        <f>MIRR($H$52:AJ52,$G$56,$G$55)</f>
        <v>-1</v>
      </c>
      <c r="AK58" s="26">
        <f>MIRR($H$52:AK52,$G$56,$G$55)</f>
        <v>-1</v>
      </c>
      <c r="AL58" s="26">
        <f>MIRR($H$52:AL52,$G$56,$G$55)</f>
        <v>-1</v>
      </c>
      <c r="AM58" s="26">
        <f>MIRR($H$52:AM52,$G$56,$G$55)</f>
        <v>-1</v>
      </c>
      <c r="AN58" s="26">
        <f>MIRR($H$52:AN52,$G$56,$G$55)</f>
        <v>-3.8123913452211333E-2</v>
      </c>
      <c r="AO58" s="26">
        <f>MIRR($H$52:AO52,$G$56,$G$55)</f>
        <v>-3.6789555193718737E-2</v>
      </c>
      <c r="AP58" s="26">
        <f>MIRR($H$52:AP52,$G$56,$G$55)</f>
        <v>-3.5529671687072106E-2</v>
      </c>
      <c r="AQ58" s="26">
        <f>MIRR($H$52:AQ52,$G$56,$G$55)</f>
        <v>-3.4338040943282078E-2</v>
      </c>
      <c r="AR58" s="26">
        <f>MIRR($H$52:AR52,$G$56,$G$55)</f>
        <v>-3.3209118762216439E-2</v>
      </c>
      <c r="AS58" s="26">
        <f>MIRR($H$52:AS52,$G$56,$G$55)</f>
        <v>-3.2137948908759983E-2</v>
      </c>
      <c r="AT58" s="26">
        <f>MIRR($H$52:AT52,$G$56,$G$55)</f>
        <v>-3.112008719995607E-2</v>
      </c>
      <c r="AU58" s="26">
        <f>MIRR($H$52:AU52,$G$56,$G$55)</f>
        <v>-3.0151537053296429E-2</v>
      </c>
      <c r="AV58" s="26">
        <f>MIRR($H$52:AV52,$G$56,$G$55)</f>
        <v>-2.9228694527233645E-2</v>
      </c>
      <c r="AW58" s="26">
        <f>MIRR($H$52:AW52,$G$56,$G$55)</f>
        <v>-2.8348301262260844E-2</v>
      </c>
      <c r="AX58" s="26">
        <f>MIRR($H$52:AX52,$G$56,$G$55)</f>
        <v>-2.7507404028748295E-2</v>
      </c>
      <c r="AY58" s="26">
        <f>MIRR($H$52:AY52,$G$56,$G$55)</f>
        <v>-2.6703319824317395E-2</v>
      </c>
      <c r="AZ58" s="26">
        <f>MIRR($H$52:AZ52,$G$56,$G$55)</f>
        <v>-2.5933605652537439E-2</v>
      </c>
      <c r="BA58" s="26">
        <f>MIRR($H$52:BA52,$G$56,$G$55)</f>
        <v>-2.5196032266561419E-2</v>
      </c>
      <c r="BB58" s="26">
        <f>MIRR($H$52:BB52,$G$56,$G$55)</f>
        <v>-2.4488561283912635E-2</v>
      </c>
      <c r="BC58" s="26">
        <f>MIRR($H$52:BC52,$G$56,$G$55)</f>
        <v>-2.3809325178132501E-2</v>
      </c>
      <c r="BD58" s="26">
        <f>MIRR($H$52:BD52,$G$56,$G$55)</f>
        <v>-2.3156609734116373E-2</v>
      </c>
      <c r="BE58" s="26">
        <f>MIRR($H$52:BE52,$G$56,$G$55)</f>
        <v>-2.2528838620417213E-2</v>
      </c>
      <c r="BF58" s="26">
        <f>MIRR($H$52:BF52,$G$56,$G$55)</f>
        <v>-2.1924559786458797E-2</v>
      </c>
      <c r="BG58" s="26">
        <f>MIRR($H$52:BG52,$G$56,$G$55)</f>
        <v>-2.1342433437753883E-2</v>
      </c>
      <c r="BH58" s="26">
        <f>MIRR($H$52:BH52,$G$56,$G$55)</f>
        <v>-2.0781221379675197E-2</v>
      </c>
      <c r="BI58" s="26">
        <f>MIRR($H$52:BI52,$G$56,$G$55)</f>
        <v>-2.0239777551507854E-2</v>
      </c>
      <c r="BJ58" s="26">
        <f>MIRR($H$52:BJ52,$G$56,$G$55)</f>
        <v>-1.9717039598560748E-2</v>
      </c>
      <c r="BK58" s="26">
        <f>MIRR($H$52:BK52,$G$56,$G$55)</f>
        <v>-1.9212021351967201E-2</v>
      </c>
      <c r="BL58" s="26">
        <f>MIRR($H$52:BL52,$G$56,$G$55)</f>
        <v>-1.8723806104180896E-2</v>
      </c>
      <c r="BM58" s="26">
        <f>MIRR($H$52:BM52,$G$56,$G$55)</f>
        <v>-1.8251540583694492E-2</v>
      </c>
      <c r="BN58" s="26">
        <f>MIRR($H$52:BN52,$G$56,$G$55)</f>
        <v>-1.7794429545645696E-2</v>
      </c>
      <c r="BO58" s="26">
        <f>MIRR($H$52:BO52,$G$56,$G$55)</f>
        <v>-1.7351730906133955E-2</v>
      </c>
      <c r="BP58" s="26">
        <f>MIRR($H$52:BP52,$G$56,$G$55)</f>
        <v>-1.692275135758059E-2</v>
      </c>
      <c r="BQ58" s="26">
        <f>MIRR($H$52:BQ52,$G$56,$G$55)</f>
        <v>-1.6506842410582978E-2</v>
      </c>
      <c r="BR58" s="26">
        <f>MIRR($H$52:BR52,$G$56,$G$55)</f>
        <v>-1.610339681466888E-2</v>
      </c>
      <c r="BS58" s="26">
        <f>MIRR($H$52:BS52,$G$56,$G$55)</f>
        <v>-1.5711845316333073E-2</v>
      </c>
      <c r="BT58" s="26">
        <f>MIRR($H$52:BT52,$G$56,$G$55)</f>
        <v>-1.5331653717879146E-2</v>
      </c>
      <c r="BU58" s="26">
        <f>MIRR($H$52:BU52,$G$56,$G$55)</f>
        <v>-1.4962320205028412E-2</v>
      </c>
      <c r="BV58" s="26">
        <f>MIRR($H$52:BV52,$G$56,$G$55)</f>
        <v>-1.4603372915099611E-2</v>
      </c>
      <c r="BW58" s="26">
        <f>MIRR($H$52:BW52,$G$56,$G$55)</f>
        <v>-1.4254367720891614E-2</v>
      </c>
      <c r="BX58" s="26">
        <f>MIRR($H$52:BX52,$G$56,$G$55)</f>
        <v>-1.3914886208297284E-2</v>
      </c>
      <c r="BY58" s="26">
        <f>MIRR($H$52:BY52,$G$56,$G$55)</f>
        <v>-1.3584533828194356E-2</v>
      </c>
      <c r="BZ58" s="26">
        <f>MIRR($H$52:BZ52,$G$56,$G$55)</f>
        <v>-1.3262938205362285E-2</v>
      </c>
      <c r="CA58" s="26">
        <f>MIRR($H$52:CA52,$G$56,$G$55)</f>
        <v>-1.2949747589096283E-2</v>
      </c>
      <c r="CB58" s="26">
        <f>MIRR($H$52:CB52,$G$56,$G$55)</f>
        <v>-1.2644629431874499E-2</v>
      </c>
      <c r="CC58" s="26">
        <f>MIRR($H$52:CC52,$G$56,$G$55)</f>
        <v>-1.2347269083918033E-2</v>
      </c>
      <c r="CD58" s="26">
        <f>MIRR($H$52:CD52,$G$56,$G$55)</f>
        <v>-1.2057368592780837E-2</v>
      </c>
      <c r="CE58" s="26">
        <f>MIRR($H$52:CE52,$G$56,$G$55)</f>
        <v>-1.177464559825725E-2</v>
      </c>
      <c r="CF58" s="26">
        <f>MIRR($H$52:CF52,$G$56,$G$55)</f>
        <v>-1.1498832313905916E-2</v>
      </c>
      <c r="CG58" s="26">
        <f>MIRR($H$52:CG52,$G$56,$G$55)</f>
        <v>-1.1229674587384442E-2</v>
      </c>
      <c r="CH58" s="26">
        <f>MIRR($H$52:CH52,$G$56,$G$55)</f>
        <v>-1.0966931032583171E-2</v>
      </c>
      <c r="CI58" s="26">
        <f>MIRR($H$52:CI52,$G$56,$G$55)</f>
        <v>-1.0710372227247023E-2</v>
      </c>
      <c r="CJ58" s="26">
        <f>MIRR($H$52:CJ52,$G$56,$G$55)</f>
        <v>-1.0459779970405592E-2</v>
      </c>
      <c r="CK58" s="26">
        <f>MIRR($H$52:CK52,$G$56,$G$55)</f>
        <v>-1.0214946594479302E-2</v>
      </c>
      <c r="CL58" s="26">
        <f>MIRR($H$52:CL52,$G$56,$G$55)</f>
        <v>-9.9756743274342918E-3</v>
      </c>
      <c r="CM58" s="26">
        <f>MIRR($H$52:CM52,$G$56,$G$55)</f>
        <v>-9.7417747007945144E-3</v>
      </c>
      <c r="CN58" s="26">
        <f>MIRR($H$52:CN52,$G$56,$G$55)</f>
        <v>-9.5130679997179612E-3</v>
      </c>
      <c r="CO58" s="26">
        <f>MIRR($H$52:CO52,$G$56,$G$55)</f>
        <v>-9.2893827516981053E-3</v>
      </c>
      <c r="CP58" s="26">
        <f>MIRR($H$52:CP52,$G$56,$G$55)</f>
        <v>-9.0705552507677201E-3</v>
      </c>
      <c r="CQ58" s="26">
        <f>MIRR($H$52:CQ52,$G$56,$G$55)</f>
        <v>-8.8564291143681251E-3</v>
      </c>
      <c r="CR58" s="26">
        <f>MIRR($H$52:CR52,$G$56,$G$55)</f>
        <v>-8.6468548703015902E-3</v>
      </c>
      <c r="CS58" s="26">
        <f>MIRR($H$52:CS52,$G$56,$G$55)</f>
        <v>-8.441689571415889E-3</v>
      </c>
      <c r="CT58" s="26">
        <f>MIRR($H$52:CT52,$G$56,$G$55)</f>
        <v>-8.2407964358777175E-3</v>
      </c>
      <c r="CU58" s="26">
        <f>MIRR($H$52:CU52,$G$56,$G$55)</f>
        <v>2.2795610231300945E-3</v>
      </c>
    </row>
    <row r="59" spans="1:99" x14ac:dyDescent="0.25">
      <c r="F59" s="36"/>
      <c r="G59" s="28"/>
      <c r="H59" s="37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</row>
  </sheetData>
  <mergeCells count="8">
    <mergeCell ref="BO53:BZ53"/>
    <mergeCell ref="CA53:CL53"/>
    <mergeCell ref="CM53:CU53"/>
    <mergeCell ref="H53:R53"/>
    <mergeCell ref="S53:AD53"/>
    <mergeCell ref="AE53:AP53"/>
    <mergeCell ref="AQ53:BB53"/>
    <mergeCell ref="BC53:BN53"/>
  </mergeCells>
  <conditionalFormatting sqref="AG19 AG22 AJ19 AJ22 AM19 AM22 AP22">
    <cfRule type="cellIs" dxfId="52" priority="8" stopIfTrue="1" operator="equal">
      <formula>#REF!</formula>
    </cfRule>
  </conditionalFormatting>
  <conditionalFormatting sqref="Y19:AF19 Y22:AF22 AH19:AI19 AH22:AI22 AK19:AL19 AK22:AL22 AN22:AO22 H33:V39 W33:CU36 W38:BC38 W39:CU39 N24:R24 H23:M24 N23:CU23 H16:W17 Y16:CU16 X17:CU17 H6:W12 Y7:AM7 X8:AM8 X6:AM6 Z9:AM9 AN6:CU9 X9:Y12 Z10:CU12 H40:CU45 H2:CU5 H13:CU15 H18:H22 H25:CU32 K22:R22 K18:K21 X18:AM18 X21:AM21 X20:AK20 AQ18:CU22 H46:AM46">
    <cfRule type="cellIs" dxfId="51" priority="10" stopIfTrue="1" operator="equal">
      <formula>#REF!</formula>
    </cfRule>
  </conditionalFormatting>
  <conditionalFormatting sqref="X7 X16 X19 S22:X22 W37:CU37 S24:CU24">
    <cfRule type="cellIs" dxfId="50" priority="9" stopIfTrue="1" operator="equal">
      <formula>#REF!</formula>
    </cfRule>
  </conditionalFormatting>
  <conditionalFormatting sqref="H47:CU47">
    <cfRule type="cellIs" dxfId="49" priority="7" stopIfTrue="1" operator="equal">
      <formula>#REF!</formula>
    </cfRule>
  </conditionalFormatting>
  <conditionalFormatting sqref="I18:J22">
    <cfRule type="cellIs" dxfId="48" priority="6" stopIfTrue="1" operator="equal">
      <formula>#REF!</formula>
    </cfRule>
  </conditionalFormatting>
  <conditionalFormatting sqref="L18:Q21">
    <cfRule type="cellIs" dxfId="47" priority="5" stopIfTrue="1" operator="equal">
      <formula>#REF!</formula>
    </cfRule>
  </conditionalFormatting>
  <conditionalFormatting sqref="R18:W21">
    <cfRule type="cellIs" dxfId="46" priority="4" stopIfTrue="1" operator="equal">
      <formula>#REF!</formula>
    </cfRule>
  </conditionalFormatting>
  <conditionalFormatting sqref="AL20:AM20">
    <cfRule type="cellIs" dxfId="45" priority="3" stopIfTrue="1" operator="equal">
      <formula>#REF!</formula>
    </cfRule>
  </conditionalFormatting>
  <conditionalFormatting sqref="AN18:AP21">
    <cfRule type="cellIs" dxfId="44" priority="2" stopIfTrue="1" operator="equal">
      <formula>#REF!</formula>
    </cfRule>
  </conditionalFormatting>
  <conditionalFormatting sqref="AN46:CU46">
    <cfRule type="cellIs" dxfId="43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 E2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"/>
  <dimension ref="A1:CU59"/>
  <sheetViews>
    <sheetView zoomScale="85" zoomScaleNormal="85" workbookViewId="0">
      <pane xSplit="7" ySplit="1" topLeftCell="H17" activePane="bottomRight" state="frozen"/>
      <selection pane="topRight" activeCell="J1" sqref="J1"/>
      <selection pane="bottomLeft" activeCell="A9" sqref="A9"/>
      <selection pane="bottomRight" activeCell="E20" sqref="E20"/>
    </sheetView>
  </sheetViews>
  <sheetFormatPr baseColWidth="10" defaultColWidth="10.7109375" defaultRowHeight="15" x14ac:dyDescent="0.25"/>
  <cols>
    <col min="1" max="1" width="10.7109375" style="11"/>
    <col min="2" max="2" width="24.140625" style="11" bestFit="1" customWidth="1"/>
    <col min="3" max="3" width="58.5703125" style="11" bestFit="1" customWidth="1"/>
    <col min="4" max="4" width="10.7109375" style="12"/>
    <col min="5" max="5" width="14" style="11" customWidth="1"/>
    <col min="6" max="6" width="18" style="11" customWidth="1"/>
    <col min="7" max="7" width="18.28515625" style="39" bestFit="1" customWidth="1"/>
    <col min="8" max="15" width="10.7109375" style="39"/>
    <col min="16" max="16" width="11.42578125" style="39" bestFit="1" customWidth="1"/>
    <col min="17" max="19" width="10.7109375" style="39"/>
    <col min="20" max="20" width="11.42578125" style="39" bestFit="1" customWidth="1"/>
    <col min="21" max="23" width="10.7109375" style="39"/>
    <col min="24" max="25" width="11.42578125" style="39" bestFit="1" customWidth="1"/>
    <col min="26" max="26" width="10.7109375" style="39"/>
    <col min="27" max="39" width="11.42578125" style="39" bestFit="1" customWidth="1"/>
    <col min="40" max="40" width="12.28515625" style="39" bestFit="1" customWidth="1"/>
    <col min="41" max="55" width="10.7109375" style="39"/>
    <col min="56" max="99" width="10.7109375" style="11"/>
    <col min="100" max="100" width="12.85546875" style="11" bestFit="1" customWidth="1"/>
    <col min="101" max="16384" width="10.7109375" style="11"/>
  </cols>
  <sheetData>
    <row r="1" spans="1:99" x14ac:dyDescent="0.25">
      <c r="A1" s="43" t="s">
        <v>191</v>
      </c>
      <c r="B1" s="43" t="s">
        <v>192</v>
      </c>
      <c r="C1" s="43" t="s">
        <v>193</v>
      </c>
      <c r="D1" s="44" t="s">
        <v>184</v>
      </c>
      <c r="E1" s="16" t="s">
        <v>194</v>
      </c>
      <c r="F1" s="16" t="s">
        <v>195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46</v>
      </c>
      <c r="M1" s="17" t="s">
        <v>47</v>
      </c>
      <c r="N1" s="17" t="s">
        <v>48</v>
      </c>
      <c r="O1" s="17" t="s">
        <v>49</v>
      </c>
      <c r="P1" s="17" t="s">
        <v>50</v>
      </c>
      <c r="Q1" s="17" t="s">
        <v>51</v>
      </c>
      <c r="R1" s="17" t="s">
        <v>52</v>
      </c>
      <c r="S1" s="17" t="s">
        <v>53</v>
      </c>
      <c r="T1" s="17" t="s">
        <v>54</v>
      </c>
      <c r="U1" s="17" t="s">
        <v>55</v>
      </c>
      <c r="V1" s="17" t="s">
        <v>56</v>
      </c>
      <c r="W1" s="17" t="s">
        <v>57</v>
      </c>
      <c r="X1" s="17" t="s">
        <v>58</v>
      </c>
      <c r="Y1" s="17" t="s">
        <v>59</v>
      </c>
      <c r="Z1" s="17" t="s">
        <v>60</v>
      </c>
      <c r="AA1" s="17" t="s">
        <v>61</v>
      </c>
      <c r="AB1" s="17" t="s">
        <v>62</v>
      </c>
      <c r="AC1" s="17" t="s">
        <v>63</v>
      </c>
      <c r="AD1" s="17" t="s">
        <v>64</v>
      </c>
      <c r="AE1" s="17" t="s">
        <v>65</v>
      </c>
      <c r="AF1" s="17" t="s">
        <v>66</v>
      </c>
      <c r="AG1" s="17" t="s">
        <v>67</v>
      </c>
      <c r="AH1" s="17" t="s">
        <v>68</v>
      </c>
      <c r="AI1" s="17" t="s">
        <v>69</v>
      </c>
      <c r="AJ1" s="17" t="s">
        <v>70</v>
      </c>
      <c r="AK1" s="17" t="s">
        <v>71</v>
      </c>
      <c r="AL1" s="17" t="s">
        <v>72</v>
      </c>
      <c r="AM1" s="17" t="s">
        <v>73</v>
      </c>
      <c r="AN1" s="17" t="s">
        <v>74</v>
      </c>
      <c r="AO1" s="17" t="s">
        <v>75</v>
      </c>
      <c r="AP1" s="17" t="s">
        <v>76</v>
      </c>
      <c r="AQ1" s="17" t="s">
        <v>77</v>
      </c>
      <c r="AR1" s="17" t="s">
        <v>78</v>
      </c>
      <c r="AS1" s="17" t="s">
        <v>79</v>
      </c>
      <c r="AT1" s="17" t="s">
        <v>80</v>
      </c>
      <c r="AU1" s="17" t="s">
        <v>81</v>
      </c>
      <c r="AV1" s="17" t="s">
        <v>82</v>
      </c>
      <c r="AW1" s="17" t="s">
        <v>83</v>
      </c>
      <c r="AX1" s="17" t="s">
        <v>84</v>
      </c>
      <c r="AY1" s="17" t="s">
        <v>85</v>
      </c>
      <c r="AZ1" s="17" t="s">
        <v>86</v>
      </c>
      <c r="BA1" s="17" t="s">
        <v>87</v>
      </c>
      <c r="BB1" s="17" t="s">
        <v>88</v>
      </c>
      <c r="BC1" s="17" t="s">
        <v>89</v>
      </c>
      <c r="BD1" s="17" t="s">
        <v>96</v>
      </c>
      <c r="BE1" s="17" t="s">
        <v>97</v>
      </c>
      <c r="BF1" s="17" t="s">
        <v>98</v>
      </c>
      <c r="BG1" s="17" t="s">
        <v>99</v>
      </c>
      <c r="BH1" s="17" t="s">
        <v>100</v>
      </c>
      <c r="BI1" s="17" t="s">
        <v>101</v>
      </c>
      <c r="BJ1" s="17" t="s">
        <v>102</v>
      </c>
      <c r="BK1" s="17" t="s">
        <v>103</v>
      </c>
      <c r="BL1" s="17" t="s">
        <v>104</v>
      </c>
      <c r="BM1" s="17" t="s">
        <v>105</v>
      </c>
      <c r="BN1" s="17" t="s">
        <v>106</v>
      </c>
      <c r="BO1" s="17" t="s">
        <v>107</v>
      </c>
      <c r="BP1" s="17" t="s">
        <v>108</v>
      </c>
      <c r="BQ1" s="17" t="s">
        <v>109</v>
      </c>
      <c r="BR1" s="17" t="s">
        <v>110</v>
      </c>
      <c r="BS1" s="17" t="s">
        <v>111</v>
      </c>
      <c r="BT1" s="17" t="s">
        <v>112</v>
      </c>
      <c r="BU1" s="17" t="s">
        <v>113</v>
      </c>
      <c r="BV1" s="17" t="s">
        <v>114</v>
      </c>
      <c r="BW1" s="17" t="s">
        <v>115</v>
      </c>
      <c r="BX1" s="17" t="s">
        <v>116</v>
      </c>
      <c r="BY1" s="17" t="s">
        <v>117</v>
      </c>
      <c r="BZ1" s="17" t="s">
        <v>118</v>
      </c>
      <c r="CA1" s="17" t="s">
        <v>119</v>
      </c>
      <c r="CB1" s="17" t="s">
        <v>120</v>
      </c>
      <c r="CC1" s="17" t="s">
        <v>121</v>
      </c>
      <c r="CD1" s="17" t="s">
        <v>122</v>
      </c>
      <c r="CE1" s="17" t="s">
        <v>123</v>
      </c>
      <c r="CF1" s="17" t="s">
        <v>124</v>
      </c>
      <c r="CG1" s="17" t="s">
        <v>125</v>
      </c>
      <c r="CH1" s="17" t="s">
        <v>126</v>
      </c>
      <c r="CI1" s="17" t="s">
        <v>127</v>
      </c>
      <c r="CJ1" s="17" t="s">
        <v>128</v>
      </c>
      <c r="CK1" s="17" t="s">
        <v>129</v>
      </c>
      <c r="CL1" s="17" t="s">
        <v>130</v>
      </c>
      <c r="CM1" s="17" t="s">
        <v>131</v>
      </c>
      <c r="CN1" s="17" t="s">
        <v>132</v>
      </c>
      <c r="CO1" s="17" t="s">
        <v>133</v>
      </c>
      <c r="CP1" s="17" t="s">
        <v>134</v>
      </c>
      <c r="CQ1" s="17" t="s">
        <v>135</v>
      </c>
      <c r="CR1" s="17" t="s">
        <v>136</v>
      </c>
      <c r="CS1" s="17" t="s">
        <v>137</v>
      </c>
      <c r="CT1" s="17" t="s">
        <v>138</v>
      </c>
      <c r="CU1" s="17" t="s">
        <v>139</v>
      </c>
    </row>
    <row r="2" spans="1:99" x14ac:dyDescent="0.25">
      <c r="A2" s="11" t="s">
        <v>4</v>
      </c>
      <c r="B2" s="11" t="s">
        <v>159</v>
      </c>
      <c r="C2" s="11" t="s">
        <v>31</v>
      </c>
      <c r="D2" s="40">
        <v>1</v>
      </c>
      <c r="E2" s="18">
        <v>5800</v>
      </c>
      <c r="F2" s="19">
        <f>D2*E2</f>
        <v>5800</v>
      </c>
      <c r="G2" s="20">
        <v>-5800</v>
      </c>
      <c r="H2" s="21">
        <v>0</v>
      </c>
      <c r="I2" s="21">
        <f>G2</f>
        <v>-5800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1">
        <v>0</v>
      </c>
      <c r="AG2" s="21">
        <v>0</v>
      </c>
      <c r="AH2" s="21">
        <v>0</v>
      </c>
      <c r="AI2" s="21">
        <v>0</v>
      </c>
      <c r="AJ2" s="21">
        <v>0</v>
      </c>
      <c r="AK2" s="21">
        <v>0</v>
      </c>
      <c r="AL2" s="21">
        <v>0</v>
      </c>
      <c r="AM2" s="21">
        <v>0</v>
      </c>
      <c r="AN2" s="21">
        <v>0</v>
      </c>
      <c r="AO2" s="21">
        <v>0</v>
      </c>
      <c r="AP2" s="21">
        <v>0</v>
      </c>
      <c r="AQ2" s="21">
        <v>0</v>
      </c>
      <c r="AR2" s="21">
        <v>0</v>
      </c>
      <c r="AS2" s="21">
        <v>0</v>
      </c>
      <c r="AT2" s="21">
        <v>0</v>
      </c>
      <c r="AU2" s="21">
        <v>0</v>
      </c>
      <c r="AV2" s="21">
        <v>0</v>
      </c>
      <c r="AW2" s="21">
        <v>0</v>
      </c>
      <c r="AX2" s="21">
        <v>0</v>
      </c>
      <c r="AY2" s="21">
        <v>0</v>
      </c>
      <c r="AZ2" s="21">
        <v>0</v>
      </c>
      <c r="BA2" s="21">
        <v>0</v>
      </c>
      <c r="BB2" s="21">
        <v>0</v>
      </c>
      <c r="BC2" s="21">
        <v>0</v>
      </c>
      <c r="BD2" s="21">
        <v>0</v>
      </c>
      <c r="BE2" s="21">
        <v>0</v>
      </c>
      <c r="BF2" s="21">
        <v>0</v>
      </c>
      <c r="BG2" s="21">
        <v>0</v>
      </c>
      <c r="BH2" s="21">
        <v>0</v>
      </c>
      <c r="BI2" s="21">
        <v>0</v>
      </c>
      <c r="BJ2" s="21">
        <v>0</v>
      </c>
      <c r="BK2" s="21">
        <v>0</v>
      </c>
      <c r="BL2" s="21">
        <v>0</v>
      </c>
      <c r="BM2" s="21">
        <v>0</v>
      </c>
      <c r="BN2" s="21">
        <v>0</v>
      </c>
      <c r="BO2" s="21">
        <v>0</v>
      </c>
      <c r="BP2" s="21">
        <v>0</v>
      </c>
      <c r="BQ2" s="21">
        <v>0</v>
      </c>
      <c r="BR2" s="21">
        <v>0</v>
      </c>
      <c r="BS2" s="21">
        <v>0</v>
      </c>
      <c r="BT2" s="21">
        <v>0</v>
      </c>
      <c r="BU2" s="21">
        <v>0</v>
      </c>
      <c r="BV2" s="21">
        <v>0</v>
      </c>
      <c r="BW2" s="21">
        <v>0</v>
      </c>
      <c r="BX2" s="21">
        <v>0</v>
      </c>
      <c r="BY2" s="21">
        <v>0</v>
      </c>
      <c r="BZ2" s="21">
        <v>0</v>
      </c>
      <c r="CA2" s="21">
        <v>0</v>
      </c>
      <c r="CB2" s="21">
        <v>0</v>
      </c>
      <c r="CC2" s="21">
        <v>0</v>
      </c>
      <c r="CD2" s="21">
        <v>0</v>
      </c>
      <c r="CE2" s="21">
        <v>0</v>
      </c>
      <c r="CF2" s="21">
        <v>0</v>
      </c>
      <c r="CG2" s="21">
        <v>0</v>
      </c>
      <c r="CH2" s="21">
        <v>0</v>
      </c>
      <c r="CI2" s="21">
        <v>0</v>
      </c>
      <c r="CJ2" s="21">
        <v>0</v>
      </c>
      <c r="CK2" s="21">
        <v>0</v>
      </c>
      <c r="CL2" s="21">
        <v>0</v>
      </c>
      <c r="CM2" s="21">
        <v>0</v>
      </c>
      <c r="CN2" s="21">
        <v>0</v>
      </c>
      <c r="CO2" s="21">
        <v>0</v>
      </c>
      <c r="CP2" s="21">
        <v>0</v>
      </c>
      <c r="CQ2" s="21">
        <v>0</v>
      </c>
      <c r="CR2" s="21">
        <v>0</v>
      </c>
      <c r="CS2" s="21">
        <v>0</v>
      </c>
      <c r="CT2" s="21">
        <v>0</v>
      </c>
      <c r="CU2" s="21">
        <v>0</v>
      </c>
    </row>
    <row r="3" spans="1:99" x14ac:dyDescent="0.25">
      <c r="A3" s="11" t="s">
        <v>4</v>
      </c>
      <c r="B3" s="11" t="s">
        <v>159</v>
      </c>
      <c r="C3" s="11" t="s">
        <v>18</v>
      </c>
      <c r="D3" s="41">
        <v>1</v>
      </c>
      <c r="E3" s="19">
        <v>1200</v>
      </c>
      <c r="F3" s="19">
        <f>D3*E3</f>
        <v>1200</v>
      </c>
      <c r="G3" s="13">
        <v>-1200</v>
      </c>
      <c r="H3" s="14">
        <v>0</v>
      </c>
      <c r="I3" s="14">
        <v>0</v>
      </c>
      <c r="J3" s="14">
        <v>0</v>
      </c>
      <c r="K3" s="14">
        <f>G3</f>
        <v>-1200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14">
        <v>0</v>
      </c>
      <c r="BU3" s="14">
        <v>0</v>
      </c>
      <c r="BV3" s="14">
        <v>0</v>
      </c>
      <c r="BW3" s="14">
        <v>0</v>
      </c>
      <c r="BX3" s="14">
        <v>0</v>
      </c>
      <c r="BY3" s="14">
        <v>0</v>
      </c>
      <c r="BZ3" s="14">
        <v>0</v>
      </c>
      <c r="CA3" s="14">
        <v>0</v>
      </c>
      <c r="CB3" s="14">
        <v>0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H3" s="14">
        <v>0</v>
      </c>
      <c r="CI3" s="14">
        <v>0</v>
      </c>
      <c r="CJ3" s="14">
        <v>0</v>
      </c>
      <c r="CK3" s="14">
        <v>0</v>
      </c>
      <c r="CL3" s="14">
        <v>0</v>
      </c>
      <c r="CM3" s="14">
        <v>0</v>
      </c>
      <c r="CN3" s="14">
        <v>0</v>
      </c>
      <c r="CO3" s="14">
        <v>0</v>
      </c>
      <c r="CP3" s="14">
        <v>0</v>
      </c>
      <c r="CQ3" s="14">
        <v>0</v>
      </c>
      <c r="CR3" s="14">
        <v>0</v>
      </c>
      <c r="CS3" s="14">
        <v>0</v>
      </c>
      <c r="CT3" s="14">
        <v>0</v>
      </c>
      <c r="CU3" s="14">
        <v>0</v>
      </c>
    </row>
    <row r="4" spans="1:99" x14ac:dyDescent="0.25">
      <c r="A4" s="11" t="s">
        <v>4</v>
      </c>
      <c r="B4" s="11" t="s">
        <v>159</v>
      </c>
      <c r="C4" s="11" t="s">
        <v>19</v>
      </c>
      <c r="D4" s="41">
        <v>1</v>
      </c>
      <c r="E4" s="19">
        <v>4500</v>
      </c>
      <c r="F4" s="19">
        <f>E4*D4</f>
        <v>4500</v>
      </c>
      <c r="G4" s="13">
        <v>-4500</v>
      </c>
      <c r="H4" s="14">
        <v>0</v>
      </c>
      <c r="I4" s="14">
        <v>0</v>
      </c>
      <c r="J4" s="14">
        <v>0</v>
      </c>
      <c r="K4" s="14">
        <f>G4</f>
        <v>-4500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14">
        <v>0</v>
      </c>
      <c r="BV4" s="14">
        <v>0</v>
      </c>
      <c r="BW4" s="14">
        <v>0</v>
      </c>
      <c r="BX4" s="14">
        <v>0</v>
      </c>
      <c r="BY4" s="14">
        <v>0</v>
      </c>
      <c r="BZ4" s="14">
        <v>0</v>
      </c>
      <c r="CA4" s="14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  <c r="CN4" s="14">
        <v>0</v>
      </c>
      <c r="CO4" s="14">
        <v>0</v>
      </c>
      <c r="CP4" s="14">
        <v>0</v>
      </c>
      <c r="CQ4" s="14">
        <v>0</v>
      </c>
      <c r="CR4" s="14">
        <v>0</v>
      </c>
      <c r="CS4" s="14">
        <v>0</v>
      </c>
      <c r="CT4" s="14">
        <v>0</v>
      </c>
      <c r="CU4" s="14">
        <v>0</v>
      </c>
    </row>
    <row r="5" spans="1:99" x14ac:dyDescent="0.25">
      <c r="A5" s="11" t="s">
        <v>4</v>
      </c>
      <c r="B5" s="11" t="s">
        <v>159</v>
      </c>
      <c r="C5" s="11" t="s">
        <v>9</v>
      </c>
      <c r="D5" s="41">
        <v>0.21</v>
      </c>
      <c r="E5" s="19">
        <f>F3+F4+F2</f>
        <v>11500</v>
      </c>
      <c r="F5" s="19">
        <f>D5*E5</f>
        <v>2415</v>
      </c>
      <c r="G5" s="13">
        <f>(G2+G3+G4)*0.21</f>
        <v>-2415</v>
      </c>
      <c r="H5" s="14">
        <f>(H2+H3+H4)*0.21</f>
        <v>0</v>
      </c>
      <c r="I5" s="14">
        <f>(I2+I3+I4)*0.21</f>
        <v>-1218</v>
      </c>
      <c r="J5" s="14">
        <v>0</v>
      </c>
      <c r="K5" s="14">
        <f>(K2+K3+K4)*0.21</f>
        <v>-1197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</row>
    <row r="6" spans="1:99" x14ac:dyDescent="0.25">
      <c r="A6" s="11" t="s">
        <v>4</v>
      </c>
      <c r="B6" s="11" t="s">
        <v>160</v>
      </c>
      <c r="C6" s="11" t="s">
        <v>15</v>
      </c>
      <c r="D6" s="12">
        <v>5.6099999999999997E-2</v>
      </c>
      <c r="E6" s="11">
        <f>F16</f>
        <v>435994.64999999997</v>
      </c>
      <c r="F6" s="11">
        <f>E6*D6</f>
        <v>24459.299864999997</v>
      </c>
      <c r="G6" s="20">
        <f t="shared" ref="G6:G37" si="0">-F6</f>
        <v>-24459.299864999997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f>G6</f>
        <v>-24459.299864999997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1">
        <v>0</v>
      </c>
      <c r="BA6" s="21">
        <v>0</v>
      </c>
      <c r="BB6" s="21">
        <v>0</v>
      </c>
      <c r="BC6" s="21">
        <v>0</v>
      </c>
      <c r="BD6" s="21">
        <v>0</v>
      </c>
      <c r="BE6" s="21">
        <v>0</v>
      </c>
      <c r="BF6" s="21">
        <v>0</v>
      </c>
      <c r="BG6" s="21">
        <v>0</v>
      </c>
      <c r="BH6" s="21">
        <v>0</v>
      </c>
      <c r="BI6" s="21">
        <v>0</v>
      </c>
      <c r="BJ6" s="21">
        <v>0</v>
      </c>
      <c r="BK6" s="21">
        <v>0</v>
      </c>
      <c r="BL6" s="21">
        <v>0</v>
      </c>
      <c r="BM6" s="21">
        <v>0</v>
      </c>
      <c r="BN6" s="21">
        <v>0</v>
      </c>
      <c r="BO6" s="21">
        <v>0</v>
      </c>
      <c r="BP6" s="21">
        <v>0</v>
      </c>
      <c r="BQ6" s="21">
        <v>0</v>
      </c>
      <c r="BR6" s="21">
        <v>0</v>
      </c>
      <c r="BS6" s="21">
        <v>0</v>
      </c>
      <c r="BT6" s="21">
        <v>0</v>
      </c>
      <c r="BU6" s="21">
        <v>0</v>
      </c>
      <c r="BV6" s="21">
        <v>0</v>
      </c>
      <c r="BW6" s="21">
        <v>0</v>
      </c>
      <c r="BX6" s="21">
        <v>0</v>
      </c>
      <c r="BY6" s="21">
        <v>0</v>
      </c>
      <c r="BZ6" s="21">
        <v>0</v>
      </c>
      <c r="CA6" s="21">
        <v>0</v>
      </c>
      <c r="CB6" s="21">
        <v>0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0</v>
      </c>
      <c r="CI6" s="21">
        <v>0</v>
      </c>
      <c r="CJ6" s="21">
        <v>0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</row>
    <row r="7" spans="1:99" x14ac:dyDescent="0.25">
      <c r="A7" s="11" t="s">
        <v>4</v>
      </c>
      <c r="B7" s="11" t="s">
        <v>160</v>
      </c>
      <c r="C7" s="11" t="s">
        <v>16</v>
      </c>
      <c r="D7" s="12">
        <v>4.7699999999999999E-2</v>
      </c>
      <c r="E7" s="11">
        <f>F16</f>
        <v>435994.64999999997</v>
      </c>
      <c r="F7" s="11">
        <f>E7*D7</f>
        <v>20796.944804999999</v>
      </c>
      <c r="G7" s="13">
        <f t="shared" si="0"/>
        <v>-20796.944804999999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f>G7*0.3</f>
        <v>-6239.0834414999999</v>
      </c>
      <c r="Y7" s="14">
        <f>0.7*G7</f>
        <v>-14557.861363499998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</row>
    <row r="8" spans="1:99" x14ac:dyDescent="0.25">
      <c r="A8" s="11" t="s">
        <v>4</v>
      </c>
      <c r="B8" s="11" t="s">
        <v>160</v>
      </c>
      <c r="C8" s="11" t="s">
        <v>161</v>
      </c>
      <c r="D8" s="12">
        <v>7.0000000000000001E-3</v>
      </c>
      <c r="E8" s="11">
        <f>F16</f>
        <v>435994.64999999997</v>
      </c>
      <c r="F8" s="11">
        <f t="shared" ref="F8:F19" si="1">D8*E8</f>
        <v>3051.9625499999997</v>
      </c>
      <c r="G8" s="13">
        <f t="shared" si="0"/>
        <v>-3051.9625499999997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f>G8*0.5</f>
        <v>-1525.9812749999999</v>
      </c>
      <c r="Y8" s="14">
        <f>G8*0.5</f>
        <v>-1525.9812749999999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</row>
    <row r="9" spans="1:99" x14ac:dyDescent="0.25">
      <c r="A9" s="11" t="s">
        <v>4</v>
      </c>
      <c r="B9" s="11" t="s">
        <v>160</v>
      </c>
      <c r="C9" s="11" t="s">
        <v>13</v>
      </c>
      <c r="D9" s="12">
        <v>5.6099999999999997E-2</v>
      </c>
      <c r="E9" s="11">
        <f>F18+F19</f>
        <v>4981258.3392000003</v>
      </c>
      <c r="F9" s="11">
        <f t="shared" si="1"/>
        <v>279448.59282912</v>
      </c>
      <c r="G9" s="13">
        <f t="shared" si="0"/>
        <v>-279448.59282912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f>G9*0.4</f>
        <v>-111779.43713164801</v>
      </c>
      <c r="N9" s="14">
        <v>0</v>
      </c>
      <c r="O9" s="14">
        <v>0</v>
      </c>
      <c r="P9" s="14">
        <f>G9*0.6</f>
        <v>-167669.15569747199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</row>
    <row r="10" spans="1:99" x14ac:dyDescent="0.25">
      <c r="A10" s="11" t="s">
        <v>4</v>
      </c>
      <c r="B10" s="11" t="s">
        <v>160</v>
      </c>
      <c r="C10" s="11" t="s">
        <v>14</v>
      </c>
      <c r="D10" s="12">
        <v>4.7699999999999999E-2</v>
      </c>
      <c r="E10" s="11">
        <f>F18+F19</f>
        <v>4981258.3392000003</v>
      </c>
      <c r="F10" s="11">
        <f t="shared" si="1"/>
        <v>237606.02277984002</v>
      </c>
      <c r="G10" s="13">
        <f t="shared" si="0"/>
        <v>-237606.02277984002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f>$G10/14</f>
        <v>-16971.858769988572</v>
      </c>
      <c r="AA10" s="14">
        <f t="shared" ref="AA10:AM10" si="2">$G10/14</f>
        <v>-16971.858769988572</v>
      </c>
      <c r="AB10" s="14">
        <f t="shared" si="2"/>
        <v>-16971.858769988572</v>
      </c>
      <c r="AC10" s="14">
        <f t="shared" si="2"/>
        <v>-16971.858769988572</v>
      </c>
      <c r="AD10" s="14">
        <f t="shared" si="2"/>
        <v>-16971.858769988572</v>
      </c>
      <c r="AE10" s="14">
        <f t="shared" si="2"/>
        <v>-16971.858769988572</v>
      </c>
      <c r="AF10" s="14">
        <f t="shared" si="2"/>
        <v>-16971.858769988572</v>
      </c>
      <c r="AG10" s="14">
        <f t="shared" si="2"/>
        <v>-16971.858769988572</v>
      </c>
      <c r="AH10" s="14">
        <f t="shared" si="2"/>
        <v>-16971.858769988572</v>
      </c>
      <c r="AI10" s="14">
        <f t="shared" si="2"/>
        <v>-16971.858769988572</v>
      </c>
      <c r="AJ10" s="14">
        <f t="shared" si="2"/>
        <v>-16971.858769988572</v>
      </c>
      <c r="AK10" s="14">
        <f t="shared" si="2"/>
        <v>-16971.858769988572</v>
      </c>
      <c r="AL10" s="14">
        <f t="shared" si="2"/>
        <v>-16971.858769988572</v>
      </c>
      <c r="AM10" s="14">
        <f t="shared" si="2"/>
        <v>-16971.858769988572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</row>
    <row r="11" spans="1:99" x14ac:dyDescent="0.25">
      <c r="A11" s="11" t="s">
        <v>4</v>
      </c>
      <c r="B11" s="11" t="s">
        <v>160</v>
      </c>
      <c r="C11" s="11" t="s">
        <v>162</v>
      </c>
      <c r="D11" s="12">
        <v>7.0000000000000001E-3</v>
      </c>
      <c r="E11" s="11">
        <f>F18+F19</f>
        <v>4981258.3392000003</v>
      </c>
      <c r="F11" s="11">
        <f t="shared" si="1"/>
        <v>34868.808374400003</v>
      </c>
      <c r="G11" s="13">
        <f t="shared" si="0"/>
        <v>-34868.808374400003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f>$G$11/14</f>
        <v>-2490.6291696000003</v>
      </c>
      <c r="AA11" s="14">
        <f t="shared" ref="AA11:AM11" si="3">$G$11/14</f>
        <v>-2490.6291696000003</v>
      </c>
      <c r="AB11" s="14">
        <f t="shared" si="3"/>
        <v>-2490.6291696000003</v>
      </c>
      <c r="AC11" s="14">
        <f t="shared" si="3"/>
        <v>-2490.6291696000003</v>
      </c>
      <c r="AD11" s="14">
        <f t="shared" si="3"/>
        <v>-2490.6291696000003</v>
      </c>
      <c r="AE11" s="14">
        <f t="shared" si="3"/>
        <v>-2490.6291696000003</v>
      </c>
      <c r="AF11" s="14">
        <f t="shared" si="3"/>
        <v>-2490.6291696000003</v>
      </c>
      <c r="AG11" s="14">
        <f t="shared" si="3"/>
        <v>-2490.6291696000003</v>
      </c>
      <c r="AH11" s="14">
        <f t="shared" si="3"/>
        <v>-2490.6291696000003</v>
      </c>
      <c r="AI11" s="14">
        <f t="shared" si="3"/>
        <v>-2490.6291696000003</v>
      </c>
      <c r="AJ11" s="14">
        <f t="shared" si="3"/>
        <v>-2490.6291696000003</v>
      </c>
      <c r="AK11" s="14">
        <f t="shared" si="3"/>
        <v>-2490.6291696000003</v>
      </c>
      <c r="AL11" s="14">
        <f t="shared" si="3"/>
        <v>-2490.6291696000003</v>
      </c>
      <c r="AM11" s="14">
        <f t="shared" si="3"/>
        <v>-2490.6291696000003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</row>
    <row r="12" spans="1:99" x14ac:dyDescent="0.25">
      <c r="A12" s="11" t="s">
        <v>4</v>
      </c>
      <c r="B12" s="11" t="s">
        <v>160</v>
      </c>
      <c r="C12" s="11" t="s">
        <v>140</v>
      </c>
      <c r="D12" s="12">
        <v>0.02</v>
      </c>
      <c r="E12" s="11">
        <f>F19+F18+F16</f>
        <v>5417252.9892000007</v>
      </c>
      <c r="F12" s="11">
        <f t="shared" si="1"/>
        <v>108345.05978400001</v>
      </c>
      <c r="G12" s="13">
        <f t="shared" si="0"/>
        <v>-108345.05978400001</v>
      </c>
      <c r="H12" s="14">
        <v>0</v>
      </c>
      <c r="I12" s="14">
        <v>0</v>
      </c>
      <c r="J12" s="14">
        <v>0</v>
      </c>
      <c r="K12" s="14">
        <f>G12*0.05</f>
        <v>-5417.2529892000011</v>
      </c>
      <c r="L12" s="14">
        <v>0</v>
      </c>
      <c r="M12" s="14">
        <v>0</v>
      </c>
      <c r="N12" s="14">
        <v>0</v>
      </c>
      <c r="O12" s="14">
        <v>0</v>
      </c>
      <c r="P12" s="14">
        <f>G12*0.15</f>
        <v>-16251.758967600001</v>
      </c>
      <c r="Q12" s="14">
        <v>0</v>
      </c>
      <c r="R12" s="14">
        <f>G12*0.05</f>
        <v>-5417.2529892000011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f t="shared" ref="X12:AL12" si="4">$G$12*0.04</f>
        <v>-4333.8023913600009</v>
      </c>
      <c r="Y12" s="14">
        <f t="shared" si="4"/>
        <v>-4333.8023913600009</v>
      </c>
      <c r="Z12" s="14">
        <f t="shared" si="4"/>
        <v>-4333.8023913600009</v>
      </c>
      <c r="AA12" s="14">
        <f t="shared" si="4"/>
        <v>-4333.8023913600009</v>
      </c>
      <c r="AB12" s="14">
        <f t="shared" si="4"/>
        <v>-4333.8023913600009</v>
      </c>
      <c r="AC12" s="14">
        <f t="shared" si="4"/>
        <v>-4333.8023913600009</v>
      </c>
      <c r="AD12" s="14">
        <f t="shared" si="4"/>
        <v>-4333.8023913600009</v>
      </c>
      <c r="AE12" s="14">
        <f t="shared" si="4"/>
        <v>-4333.8023913600009</v>
      </c>
      <c r="AF12" s="14">
        <f t="shared" si="4"/>
        <v>-4333.8023913600009</v>
      </c>
      <c r="AG12" s="14">
        <f t="shared" si="4"/>
        <v>-4333.8023913600009</v>
      </c>
      <c r="AH12" s="14">
        <f t="shared" si="4"/>
        <v>-4333.8023913600009</v>
      </c>
      <c r="AI12" s="14">
        <f t="shared" si="4"/>
        <v>-4333.8023913600009</v>
      </c>
      <c r="AJ12" s="14">
        <f t="shared" si="4"/>
        <v>-4333.8023913600009</v>
      </c>
      <c r="AK12" s="14">
        <f t="shared" si="4"/>
        <v>-4333.8023913600009</v>
      </c>
      <c r="AL12" s="14">
        <f t="shared" si="4"/>
        <v>-4333.8023913600009</v>
      </c>
      <c r="AM12" s="14">
        <f>$G$12*0.04</f>
        <v>-4333.8023913600009</v>
      </c>
      <c r="AN12" s="14">
        <f>G12*0.11</f>
        <v>-11917.956576240002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</row>
    <row r="13" spans="1:99" x14ac:dyDescent="0.25">
      <c r="A13" s="11" t="s">
        <v>4</v>
      </c>
      <c r="B13" s="11" t="s">
        <v>160</v>
      </c>
      <c r="C13" s="11" t="s">
        <v>163</v>
      </c>
      <c r="D13" s="12">
        <v>0.21</v>
      </c>
      <c r="E13" s="11">
        <f>F6+F7+F8</f>
        <v>48308.207219999997</v>
      </c>
      <c r="F13" s="11">
        <f t="shared" si="1"/>
        <v>10144.7235162</v>
      </c>
      <c r="G13" s="13">
        <f t="shared" si="0"/>
        <v>-10144.7235162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f>SUM(M6:M8)*0.21</f>
        <v>-5136.4529716499992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f>(X7+X8)*0.21</f>
        <v>-1630.663590465</v>
      </c>
      <c r="Y13" s="14">
        <f>(Y7+Y8)*0.21</f>
        <v>-3377.6069540849994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</row>
    <row r="14" spans="1:99" x14ac:dyDescent="0.25">
      <c r="A14" s="11" t="s">
        <v>4</v>
      </c>
      <c r="B14" s="11" t="s">
        <v>160</v>
      </c>
      <c r="C14" s="11" t="s">
        <v>164</v>
      </c>
      <c r="D14" s="12">
        <v>0.21</v>
      </c>
      <c r="E14" s="11">
        <f>F9+F10+F11+F12</f>
        <v>660268.4837673601</v>
      </c>
      <c r="F14" s="11">
        <f t="shared" si="1"/>
        <v>138656.38159114562</v>
      </c>
      <c r="G14" s="13">
        <f t="shared" si="0"/>
        <v>-138656.38159114562</v>
      </c>
      <c r="H14" s="14">
        <v>0</v>
      </c>
      <c r="I14" s="14">
        <v>0</v>
      </c>
      <c r="J14" s="14">
        <v>0</v>
      </c>
      <c r="K14" s="14">
        <f>SUM(K9:K12)*0.21</f>
        <v>-1137.6231277320003</v>
      </c>
      <c r="L14" s="14">
        <v>0</v>
      </c>
      <c r="M14" s="14">
        <f>SUM(M9:M12)*0.21</f>
        <v>-23473.681797646081</v>
      </c>
      <c r="N14" s="14">
        <v>0</v>
      </c>
      <c r="O14" s="14">
        <v>0</v>
      </c>
      <c r="P14" s="14">
        <f>SUM(P9:P12)*0.21</f>
        <v>-38623.392079665115</v>
      </c>
      <c r="Q14" s="14">
        <v>0</v>
      </c>
      <c r="R14" s="14">
        <f>SUM(R9:R12)*0.21</f>
        <v>-1137.6231277320003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f t="shared" ref="X14:AN14" si="5">SUM(X9:X12)*0.21</f>
        <v>-910.09850218560018</v>
      </c>
      <c r="Y14" s="14">
        <f t="shared" si="5"/>
        <v>-910.09850218560018</v>
      </c>
      <c r="Z14" s="14">
        <f t="shared" si="5"/>
        <v>-4997.2209694992007</v>
      </c>
      <c r="AA14" s="14">
        <f t="shared" si="5"/>
        <v>-4997.2209694992007</v>
      </c>
      <c r="AB14" s="14">
        <f t="shared" si="5"/>
        <v>-4997.2209694992007</v>
      </c>
      <c r="AC14" s="14">
        <f t="shared" si="5"/>
        <v>-4997.2209694992007</v>
      </c>
      <c r="AD14" s="14">
        <f t="shared" si="5"/>
        <v>-4997.2209694992007</v>
      </c>
      <c r="AE14" s="14">
        <f t="shared" si="5"/>
        <v>-4997.2209694992007</v>
      </c>
      <c r="AF14" s="14">
        <f t="shared" si="5"/>
        <v>-4997.2209694992007</v>
      </c>
      <c r="AG14" s="14">
        <f t="shared" si="5"/>
        <v>-4997.2209694992007</v>
      </c>
      <c r="AH14" s="14">
        <f t="shared" si="5"/>
        <v>-4997.2209694992007</v>
      </c>
      <c r="AI14" s="14">
        <f t="shared" si="5"/>
        <v>-4997.2209694992007</v>
      </c>
      <c r="AJ14" s="14">
        <f t="shared" si="5"/>
        <v>-4997.2209694992007</v>
      </c>
      <c r="AK14" s="14">
        <f t="shared" si="5"/>
        <v>-4997.2209694992007</v>
      </c>
      <c r="AL14" s="14">
        <f t="shared" si="5"/>
        <v>-4997.2209694992007</v>
      </c>
      <c r="AM14" s="14">
        <f t="shared" si="5"/>
        <v>-4997.2209694992007</v>
      </c>
      <c r="AN14" s="14">
        <f t="shared" si="5"/>
        <v>-2502.7708810104004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</row>
    <row r="15" spans="1:99" x14ac:dyDescent="0.25">
      <c r="A15" s="11" t="s">
        <v>4</v>
      </c>
      <c r="B15" s="11" t="s">
        <v>160</v>
      </c>
      <c r="C15" s="11" t="s">
        <v>20</v>
      </c>
      <c r="D15" s="12">
        <v>3.0000000000000001E-3</v>
      </c>
      <c r="E15" s="11">
        <f>F18+F19</f>
        <v>4981258.3392000003</v>
      </c>
      <c r="F15" s="11">
        <f t="shared" si="1"/>
        <v>14943.775017600001</v>
      </c>
      <c r="G15" s="13">
        <f t="shared" si="0"/>
        <v>-14943.775017600001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f>$G$15/14</f>
        <v>-1067.4125012571428</v>
      </c>
      <c r="AA15" s="14">
        <f t="shared" ref="AA15:AM15" si="6">$G$15/14</f>
        <v>-1067.4125012571428</v>
      </c>
      <c r="AB15" s="14">
        <f t="shared" si="6"/>
        <v>-1067.4125012571428</v>
      </c>
      <c r="AC15" s="14">
        <f t="shared" si="6"/>
        <v>-1067.4125012571428</v>
      </c>
      <c r="AD15" s="14">
        <f t="shared" si="6"/>
        <v>-1067.4125012571428</v>
      </c>
      <c r="AE15" s="14">
        <f t="shared" si="6"/>
        <v>-1067.4125012571428</v>
      </c>
      <c r="AF15" s="14">
        <f t="shared" si="6"/>
        <v>-1067.4125012571428</v>
      </c>
      <c r="AG15" s="14">
        <f t="shared" si="6"/>
        <v>-1067.4125012571428</v>
      </c>
      <c r="AH15" s="14">
        <f t="shared" si="6"/>
        <v>-1067.4125012571428</v>
      </c>
      <c r="AI15" s="14">
        <f t="shared" si="6"/>
        <v>-1067.4125012571428</v>
      </c>
      <c r="AJ15" s="14">
        <f t="shared" si="6"/>
        <v>-1067.4125012571428</v>
      </c>
      <c r="AK15" s="14">
        <f t="shared" si="6"/>
        <v>-1067.4125012571428</v>
      </c>
      <c r="AL15" s="14">
        <f t="shared" si="6"/>
        <v>-1067.4125012571428</v>
      </c>
      <c r="AM15" s="14">
        <f t="shared" si="6"/>
        <v>-1067.4125012571428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</row>
    <row r="16" spans="1:99" x14ac:dyDescent="0.25">
      <c r="A16" s="11" t="s">
        <v>4</v>
      </c>
      <c r="B16" s="11" t="s">
        <v>165</v>
      </c>
      <c r="C16" s="11" t="s">
        <v>8</v>
      </c>
      <c r="D16" s="12">
        <f>(98.3*7*13.5)+(59.1*7*13.5)+(62.3*7*13.5)</f>
        <v>20761.649999999998</v>
      </c>
      <c r="E16" s="11">
        <v>21</v>
      </c>
      <c r="F16" s="11">
        <f t="shared" si="1"/>
        <v>435994.64999999997</v>
      </c>
      <c r="G16" s="13">
        <f t="shared" si="0"/>
        <v>-435994.64999999997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f>G16*0.4</f>
        <v>-174397.86</v>
      </c>
      <c r="Y16" s="14">
        <f>G16*0.6</f>
        <v>-261596.78999999998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</row>
    <row r="17" spans="1:99" x14ac:dyDescent="0.25">
      <c r="A17" s="11" t="s">
        <v>4</v>
      </c>
      <c r="B17" s="11" t="s">
        <v>165</v>
      </c>
      <c r="C17" s="11" t="s">
        <v>12</v>
      </c>
      <c r="D17" s="41">
        <v>11735</v>
      </c>
      <c r="E17" s="11">
        <v>5.75</v>
      </c>
      <c r="F17" s="11">
        <f t="shared" si="1"/>
        <v>67476.25</v>
      </c>
      <c r="G17" s="13">
        <f t="shared" si="0"/>
        <v>-67476.25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f>G17*0.4</f>
        <v>-26990.5</v>
      </c>
      <c r="Y17" s="14">
        <f>G17*0.6</f>
        <v>-40485.75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</row>
    <row r="18" spans="1:99" x14ac:dyDescent="0.25">
      <c r="A18" s="11" t="s">
        <v>4</v>
      </c>
      <c r="B18" s="11" t="s">
        <v>165</v>
      </c>
      <c r="C18" s="11" t="s">
        <v>2</v>
      </c>
      <c r="D18" s="12">
        <f>88*65*1.2</f>
        <v>6864</v>
      </c>
      <c r="E18" s="11">
        <v>725.70780000000002</v>
      </c>
      <c r="F18" s="11">
        <f t="shared" si="1"/>
        <v>4981258.3392000003</v>
      </c>
      <c r="G18" s="13">
        <f t="shared" si="0"/>
        <v>-4981258.3392000003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f>'evolucion certificaciones nuevo'!E21</f>
        <v>-49812.583392</v>
      </c>
      <c r="AA18" s="14">
        <f>'evolucion certificaciones nuevo'!F21</f>
        <v>-124531.45848000002</v>
      </c>
      <c r="AB18" s="14">
        <f>'evolucion certificaciones nuevo'!G21</f>
        <v>-184306.55855039999</v>
      </c>
      <c r="AC18" s="14">
        <f>'evolucion certificaciones nuevo'!H21</f>
        <v>-288912.98367360001</v>
      </c>
      <c r="AD18" s="14">
        <f>'evolucion certificaciones nuevo'!I21</f>
        <v>-308838.01703039999</v>
      </c>
      <c r="AE18" s="14">
        <f>'evolucion certificaciones nuevo'!J21</f>
        <v>-308838.01703039999</v>
      </c>
      <c r="AF18" s="14">
        <f>'evolucion certificaciones nuevo'!K21</f>
        <v>-298875.500352</v>
      </c>
      <c r="AG18" s="14">
        <f>'evolucion certificaciones nuevo'!L21</f>
        <v>-303856.7586912</v>
      </c>
      <c r="AH18" s="14">
        <f>'evolucion certificaciones nuevo'!M21</f>
        <v>-363631.85876159999</v>
      </c>
      <c r="AI18" s="14">
        <f>'evolucion certificaciones nuevo'!N21</f>
        <v>-622657.29240000003</v>
      </c>
      <c r="AJ18" s="14">
        <f>'evolucion certificaciones nuevo'!O21</f>
        <v>-821907.62596800004</v>
      </c>
      <c r="AK18" s="14">
        <f>'evolucion certificaciones nuevo'!P21</f>
        <v>-602732.25904320006</v>
      </c>
      <c r="AL18" s="14">
        <f>'evolucion certificaciones nuevo'!Q21</f>
        <v>-408463.18381440005</v>
      </c>
      <c r="AM18" s="14">
        <f>'evolucion certificaciones nuevo'!R21</f>
        <v>-293894.24201280001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</row>
    <row r="19" spans="1:99" x14ac:dyDescent="0.25">
      <c r="A19" s="11" t="s">
        <v>4</v>
      </c>
      <c r="B19" s="11" t="s">
        <v>165</v>
      </c>
      <c r="C19" s="53" t="s">
        <v>150</v>
      </c>
      <c r="D19" s="12">
        <v>0</v>
      </c>
      <c r="E19" s="11">
        <v>0</v>
      </c>
      <c r="F19" s="11">
        <f t="shared" si="1"/>
        <v>0</v>
      </c>
      <c r="G19" s="13">
        <f t="shared" si="0"/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</row>
    <row r="20" spans="1:99" x14ac:dyDescent="0.25">
      <c r="A20" s="11" t="s">
        <v>4</v>
      </c>
      <c r="B20" s="11" t="s">
        <v>165</v>
      </c>
      <c r="C20" s="11" t="s">
        <v>11</v>
      </c>
      <c r="D20" s="12">
        <v>0.21</v>
      </c>
      <c r="E20" s="11">
        <f>F16</f>
        <v>435994.64999999997</v>
      </c>
      <c r="F20" s="11">
        <f>E20*D20</f>
        <v>91558.876499999984</v>
      </c>
      <c r="G20" s="13">
        <f t="shared" si="0"/>
        <v>-91558.876499999984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f>W16*0.21</f>
        <v>0</v>
      </c>
      <c r="X20" s="14">
        <f>X16*0.21</f>
        <v>-36623.550599999995</v>
      </c>
      <c r="Y20" s="14">
        <f>Y16*0.21</f>
        <v>-54935.325899999996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</row>
    <row r="21" spans="1:99" x14ac:dyDescent="0.25">
      <c r="A21" s="11" t="s">
        <v>4</v>
      </c>
      <c r="B21" s="11" t="s">
        <v>165</v>
      </c>
      <c r="C21" s="11" t="s">
        <v>10</v>
      </c>
      <c r="D21" s="12">
        <v>0.1</v>
      </c>
      <c r="E21" s="11">
        <f>F18+F19</f>
        <v>4981258.3392000003</v>
      </c>
      <c r="F21" s="11">
        <f>E21*D21</f>
        <v>498125.83392000006</v>
      </c>
      <c r="G21" s="13">
        <f t="shared" si="0"/>
        <v>-498125.83392000006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f t="shared" ref="Z21:AM21" si="7">(Z18+Z19)*0.1</f>
        <v>-4981.2583392000006</v>
      </c>
      <c r="AA21" s="14">
        <f t="shared" si="7"/>
        <v>-12453.145848000002</v>
      </c>
      <c r="AB21" s="14">
        <f t="shared" si="7"/>
        <v>-18430.65585504</v>
      </c>
      <c r="AC21" s="14">
        <f t="shared" si="7"/>
        <v>-28891.298367360003</v>
      </c>
      <c r="AD21" s="14">
        <f t="shared" si="7"/>
        <v>-30883.801703040001</v>
      </c>
      <c r="AE21" s="14">
        <f t="shared" si="7"/>
        <v>-30883.801703040001</v>
      </c>
      <c r="AF21" s="14">
        <f t="shared" si="7"/>
        <v>-29887.550035200002</v>
      </c>
      <c r="AG21" s="14">
        <f t="shared" si="7"/>
        <v>-30385.675869120001</v>
      </c>
      <c r="AH21" s="14">
        <f t="shared" si="7"/>
        <v>-36363.185876160001</v>
      </c>
      <c r="AI21" s="14">
        <f t="shared" si="7"/>
        <v>-62265.729240000008</v>
      </c>
      <c r="AJ21" s="14">
        <f t="shared" si="7"/>
        <v>-82190.762596800007</v>
      </c>
      <c r="AK21" s="14">
        <f t="shared" si="7"/>
        <v>-60273.22590432001</v>
      </c>
      <c r="AL21" s="14">
        <f t="shared" si="7"/>
        <v>-40846.318381440011</v>
      </c>
      <c r="AM21" s="14">
        <f t="shared" si="7"/>
        <v>-29389.424201280002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</row>
    <row r="22" spans="1:99" x14ac:dyDescent="0.25">
      <c r="A22" s="11" t="s">
        <v>4</v>
      </c>
      <c r="B22" s="11" t="s">
        <v>165</v>
      </c>
      <c r="C22" s="11" t="s">
        <v>21</v>
      </c>
      <c r="D22" s="12">
        <v>1</v>
      </c>
      <c r="E22" s="11">
        <v>700</v>
      </c>
      <c r="F22" s="11">
        <f t="shared" ref="F22:F37" si="8">D22*E22</f>
        <v>700</v>
      </c>
      <c r="G22" s="13">
        <f t="shared" si="0"/>
        <v>-700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f>G22</f>
        <v>-700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</row>
    <row r="23" spans="1:99" x14ac:dyDescent="0.25">
      <c r="A23" s="11" t="s">
        <v>4</v>
      </c>
      <c r="B23" s="11" t="s">
        <v>0</v>
      </c>
      <c r="C23" s="11" t="s">
        <v>7</v>
      </c>
      <c r="D23" s="12">
        <f>5%</f>
        <v>0.05</v>
      </c>
      <c r="E23" s="11">
        <f>(F18+F19)</f>
        <v>4981258.3392000003</v>
      </c>
      <c r="F23" s="11">
        <f t="shared" si="8"/>
        <v>249062.91696000003</v>
      </c>
      <c r="G23" s="20">
        <f t="shared" si="0"/>
        <v>-249062.91696000003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f>G23*0.2</f>
        <v>-49812.583392000008</v>
      </c>
      <c r="R23" s="21">
        <v>0</v>
      </c>
      <c r="S23" s="21">
        <v>0</v>
      </c>
      <c r="T23" s="21">
        <f>G23*0.8</f>
        <v>-199250.33356800003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</row>
    <row r="24" spans="1:99" x14ac:dyDescent="0.25">
      <c r="A24" s="11" t="s">
        <v>4</v>
      </c>
      <c r="B24" s="11" t="s">
        <v>0</v>
      </c>
      <c r="C24" s="11" t="s">
        <v>6</v>
      </c>
      <c r="D24" s="12">
        <f>5%</f>
        <v>0.05</v>
      </c>
      <c r="E24" s="11">
        <f>F16</f>
        <v>435994.64999999997</v>
      </c>
      <c r="F24" s="11">
        <f t="shared" si="8"/>
        <v>21799.732499999998</v>
      </c>
      <c r="G24" s="13">
        <f t="shared" si="0"/>
        <v>-21799.732499999998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f>G24*0.2</f>
        <v>-4359.9465</v>
      </c>
      <c r="O24" s="14">
        <v>0</v>
      </c>
      <c r="P24" s="14">
        <f>G24*0.8</f>
        <v>-17439.786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</row>
    <row r="25" spans="1:99" x14ac:dyDescent="0.25">
      <c r="A25" s="11" t="s">
        <v>4</v>
      </c>
      <c r="B25" s="11" t="s">
        <v>0</v>
      </c>
      <c r="C25" s="11" t="s">
        <v>166</v>
      </c>
      <c r="D25" s="12">
        <v>2.9999999999999997E-4</v>
      </c>
      <c r="E25" s="11">
        <f>F18+F19</f>
        <v>4981258.3392000003</v>
      </c>
      <c r="F25" s="11">
        <f t="shared" si="8"/>
        <v>1494.3775017599999</v>
      </c>
      <c r="G25" s="13">
        <f t="shared" si="0"/>
        <v>-1494.3775017599999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f>G25</f>
        <v>-1494.3775017599999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</row>
    <row r="26" spans="1:99" x14ac:dyDescent="0.25">
      <c r="A26" s="11" t="s">
        <v>4</v>
      </c>
      <c r="B26" s="11" t="s">
        <v>0</v>
      </c>
      <c r="C26" s="11" t="s">
        <v>167</v>
      </c>
      <c r="D26" s="12">
        <v>2.0000000000000001E-4</v>
      </c>
      <c r="E26" s="11">
        <f>F18+F19</f>
        <v>4981258.3392000003</v>
      </c>
      <c r="F26" s="11">
        <f t="shared" si="8"/>
        <v>996.2516678400001</v>
      </c>
      <c r="G26" s="13">
        <f t="shared" si="0"/>
        <v>-996.2516678400001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f>G26</f>
        <v>-996.2516678400001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</row>
    <row r="27" spans="1:99" x14ac:dyDescent="0.25">
      <c r="A27" s="11" t="s">
        <v>4</v>
      </c>
      <c r="B27" s="11" t="s">
        <v>0</v>
      </c>
      <c r="C27" s="11" t="s">
        <v>168</v>
      </c>
      <c r="D27" s="12">
        <v>1</v>
      </c>
      <c r="E27" s="11">
        <v>250</v>
      </c>
      <c r="F27" s="11">
        <f t="shared" si="8"/>
        <v>250</v>
      </c>
      <c r="G27" s="13">
        <f t="shared" si="0"/>
        <v>-250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f>G27</f>
        <v>-250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</row>
    <row r="28" spans="1:99" x14ac:dyDescent="0.25">
      <c r="A28" s="11" t="s">
        <v>4</v>
      </c>
      <c r="B28" s="11" t="s">
        <v>0</v>
      </c>
      <c r="C28" s="11" t="s">
        <v>169</v>
      </c>
      <c r="D28" s="12">
        <v>2.9999999999999997E-4</v>
      </c>
      <c r="E28" s="11">
        <f>F18+F19</f>
        <v>4981258.3392000003</v>
      </c>
      <c r="F28" s="11">
        <f t="shared" si="8"/>
        <v>1494.3775017599999</v>
      </c>
      <c r="G28" s="13">
        <f t="shared" si="0"/>
        <v>-1494.3775017599999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f>G28</f>
        <v>-1494.3775017599999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</row>
    <row r="29" spans="1:99" x14ac:dyDescent="0.25">
      <c r="A29" s="11" t="s">
        <v>4</v>
      </c>
      <c r="B29" s="11" t="s">
        <v>0</v>
      </c>
      <c r="C29" s="11" t="s">
        <v>170</v>
      </c>
      <c r="D29" s="12">
        <v>2.0000000000000001E-4</v>
      </c>
      <c r="E29" s="11">
        <f>F18+F19</f>
        <v>4981258.3392000003</v>
      </c>
      <c r="F29" s="11">
        <f t="shared" si="8"/>
        <v>996.2516678400001</v>
      </c>
      <c r="G29" s="13">
        <f t="shared" si="0"/>
        <v>-996.2516678400001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f t="shared" ref="AN29:AN32" si="9">G29</f>
        <v>-996.2516678400001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</row>
    <row r="30" spans="1:99" x14ac:dyDescent="0.25">
      <c r="A30" s="11" t="s">
        <v>4</v>
      </c>
      <c r="B30" s="11" t="s">
        <v>0</v>
      </c>
      <c r="C30" s="11" t="s">
        <v>171</v>
      </c>
      <c r="D30" s="12">
        <v>1</v>
      </c>
      <c r="E30" s="11">
        <v>250</v>
      </c>
      <c r="F30" s="11">
        <f t="shared" si="8"/>
        <v>250</v>
      </c>
      <c r="G30" s="13">
        <f t="shared" si="0"/>
        <v>-250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f t="shared" si="9"/>
        <v>-250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</row>
    <row r="31" spans="1:99" x14ac:dyDescent="0.25">
      <c r="A31" s="11" t="s">
        <v>4</v>
      </c>
      <c r="B31" s="11" t="s">
        <v>0</v>
      </c>
      <c r="C31" s="11" t="s">
        <v>23</v>
      </c>
      <c r="D31" s="12">
        <v>8.9999999999999993E-3</v>
      </c>
      <c r="E31" s="11">
        <f>F18+F19</f>
        <v>4981258.3392000003</v>
      </c>
      <c r="F31" s="11">
        <f t="shared" si="8"/>
        <v>44831.325052799999</v>
      </c>
      <c r="G31" s="13">
        <f t="shared" si="0"/>
        <v>-44831.325052799999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f>$G$31/16</f>
        <v>-2801.9578157999999</v>
      </c>
      <c r="Y31" s="14">
        <f t="shared" ref="Y31:AM31" si="10">$G$31/16</f>
        <v>-2801.9578157999999</v>
      </c>
      <c r="Z31" s="14">
        <f t="shared" si="10"/>
        <v>-2801.9578157999999</v>
      </c>
      <c r="AA31" s="14">
        <f t="shared" si="10"/>
        <v>-2801.9578157999999</v>
      </c>
      <c r="AB31" s="14">
        <f t="shared" si="10"/>
        <v>-2801.9578157999999</v>
      </c>
      <c r="AC31" s="14">
        <f t="shared" si="10"/>
        <v>-2801.9578157999999</v>
      </c>
      <c r="AD31" s="14">
        <f t="shared" si="10"/>
        <v>-2801.9578157999999</v>
      </c>
      <c r="AE31" s="14">
        <f t="shared" si="10"/>
        <v>-2801.9578157999999</v>
      </c>
      <c r="AF31" s="14">
        <f t="shared" si="10"/>
        <v>-2801.9578157999999</v>
      </c>
      <c r="AG31" s="14">
        <f t="shared" si="10"/>
        <v>-2801.9578157999999</v>
      </c>
      <c r="AH31" s="14">
        <f t="shared" si="10"/>
        <v>-2801.9578157999999</v>
      </c>
      <c r="AI31" s="14">
        <f t="shared" si="10"/>
        <v>-2801.9578157999999</v>
      </c>
      <c r="AJ31" s="14">
        <f t="shared" si="10"/>
        <v>-2801.9578157999999</v>
      </c>
      <c r="AK31" s="14">
        <f t="shared" si="10"/>
        <v>-2801.9578157999999</v>
      </c>
      <c r="AL31" s="14">
        <f t="shared" si="10"/>
        <v>-2801.9578157999999</v>
      </c>
      <c r="AM31" s="14">
        <f t="shared" si="10"/>
        <v>-2801.9578157999999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</row>
    <row r="32" spans="1:99" x14ac:dyDescent="0.25">
      <c r="A32" s="11" t="s">
        <v>4</v>
      </c>
      <c r="B32" s="11" t="s">
        <v>0</v>
      </c>
      <c r="C32" s="11" t="s">
        <v>172</v>
      </c>
      <c r="D32" s="12">
        <v>2.5000000000000001E-3</v>
      </c>
      <c r="E32" s="11">
        <f>16*65*1.2*725.71</f>
        <v>905686.08000000007</v>
      </c>
      <c r="F32" s="11">
        <f t="shared" si="8"/>
        <v>2264.2152000000001</v>
      </c>
      <c r="G32" s="13">
        <f t="shared" si="0"/>
        <v>-2264.2152000000001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f t="shared" si="9"/>
        <v>-2264.2152000000001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</row>
    <row r="33" spans="1:99" x14ac:dyDescent="0.25">
      <c r="A33" s="11" t="s">
        <v>4</v>
      </c>
      <c r="B33" s="11" t="s">
        <v>24</v>
      </c>
      <c r="C33" s="11" t="s">
        <v>27</v>
      </c>
      <c r="D33" s="40">
        <v>1</v>
      </c>
      <c r="E33" s="22">
        <v>2500</v>
      </c>
      <c r="F33" s="22">
        <f t="shared" si="8"/>
        <v>2500</v>
      </c>
      <c r="G33" s="23">
        <f t="shared" si="0"/>
        <v>-2500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5">
        <v>0</v>
      </c>
      <c r="W33" s="25">
        <f>G33</f>
        <v>-2500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>
        <v>0</v>
      </c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  <c r="BO33" s="25">
        <v>0</v>
      </c>
      <c r="BP33" s="25">
        <v>0</v>
      </c>
      <c r="BQ33" s="25">
        <v>0</v>
      </c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</v>
      </c>
      <c r="CD33" s="25">
        <v>0</v>
      </c>
      <c r="CE33" s="25">
        <v>0</v>
      </c>
      <c r="CF33" s="25">
        <v>0</v>
      </c>
      <c r="CG33" s="25">
        <v>0</v>
      </c>
      <c r="CH33" s="25">
        <v>0</v>
      </c>
      <c r="CI33" s="25">
        <v>0</v>
      </c>
      <c r="CJ33" s="25">
        <v>0</v>
      </c>
      <c r="CK33" s="25">
        <v>0</v>
      </c>
      <c r="CL33" s="25">
        <v>0</v>
      </c>
      <c r="CM33" s="25">
        <v>0</v>
      </c>
      <c r="CN33" s="25">
        <v>0</v>
      </c>
      <c r="CO33" s="25">
        <v>0</v>
      </c>
      <c r="CP33" s="25">
        <v>0</v>
      </c>
      <c r="CQ33" s="25">
        <v>0</v>
      </c>
      <c r="CR33" s="25">
        <v>0</v>
      </c>
      <c r="CS33" s="25">
        <v>0</v>
      </c>
      <c r="CT33" s="25">
        <v>0</v>
      </c>
      <c r="CU33" s="25">
        <v>0</v>
      </c>
    </row>
    <row r="34" spans="1:99" x14ac:dyDescent="0.25">
      <c r="A34" s="11" t="s">
        <v>4</v>
      </c>
      <c r="B34" s="11" t="s">
        <v>24</v>
      </c>
      <c r="C34" s="11" t="s">
        <v>173</v>
      </c>
      <c r="D34" s="42">
        <v>2.5000000000000001E-3</v>
      </c>
      <c r="E34" s="22">
        <f>-0.8*SUM(G2:G32,G41:G42)</f>
        <v>6841591.9750274457</v>
      </c>
      <c r="F34" s="22">
        <f t="shared" si="8"/>
        <v>17103.979937568616</v>
      </c>
      <c r="G34" s="13">
        <f t="shared" si="0"/>
        <v>-17103.979937568616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f>G34</f>
        <v>-17103.979937568616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</row>
    <row r="35" spans="1:99" x14ac:dyDescent="0.25">
      <c r="A35" s="11" t="s">
        <v>4</v>
      </c>
      <c r="B35" s="11" t="s">
        <v>24</v>
      </c>
      <c r="C35" s="11" t="s">
        <v>28</v>
      </c>
      <c r="D35" s="40">
        <v>1</v>
      </c>
      <c r="E35" s="22">
        <v>250</v>
      </c>
      <c r="F35" s="22">
        <f t="shared" si="8"/>
        <v>250</v>
      </c>
      <c r="G35" s="13">
        <f t="shared" si="0"/>
        <v>-250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f>G35</f>
        <v>-250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</row>
    <row r="36" spans="1:99" x14ac:dyDescent="0.25">
      <c r="A36" s="11" t="s">
        <v>4</v>
      </c>
      <c r="B36" s="11" t="s">
        <v>24</v>
      </c>
      <c r="C36" s="11" t="s">
        <v>29</v>
      </c>
      <c r="D36" s="42">
        <v>2.5000000000000001E-3</v>
      </c>
      <c r="E36" s="22">
        <f>-0.8*SUM(G2:G32,G41:G42)</f>
        <v>6841591.9750274457</v>
      </c>
      <c r="F36" s="22">
        <f t="shared" si="8"/>
        <v>17103.979937568616</v>
      </c>
      <c r="G36" s="13">
        <f t="shared" si="0"/>
        <v>-17103.979937568616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f>G36</f>
        <v>-17103.979937568616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</row>
    <row r="37" spans="1:99" x14ac:dyDescent="0.25">
      <c r="A37" s="11" t="s">
        <v>4</v>
      </c>
      <c r="B37" s="11" t="s">
        <v>24</v>
      </c>
      <c r="C37" s="11" t="s">
        <v>25</v>
      </c>
      <c r="D37" s="42">
        <v>1E-3</v>
      </c>
      <c r="E37" s="22">
        <f>-0.8*SUM(G2:G32,G41:G42)</f>
        <v>6841591.9750274457</v>
      </c>
      <c r="F37" s="22">
        <f t="shared" si="8"/>
        <v>6841.5919750274461</v>
      </c>
      <c r="G37" s="13">
        <f t="shared" si="0"/>
        <v>-6841.5919750274461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f>G37</f>
        <v>-6841.5919750274461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</row>
    <row r="38" spans="1:99" x14ac:dyDescent="0.25">
      <c r="A38" s="11" t="s">
        <v>4</v>
      </c>
      <c r="B38" s="11" t="s">
        <v>24</v>
      </c>
      <c r="C38" s="11" t="s">
        <v>95</v>
      </c>
      <c r="D38" s="42">
        <f>intereses!C5</f>
        <v>3.5000000000000003E-2</v>
      </c>
      <c r="E38" s="22">
        <f>0.8*(SUM(F2:F42)-F44-F45)</f>
        <v>6604842.0404576324</v>
      </c>
      <c r="F38" s="22">
        <v>604374.07999999996</v>
      </c>
      <c r="G38" s="13"/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-19264.122616666667</v>
      </c>
      <c r="AO38" s="14">
        <v>-18969.861635247129</v>
      </c>
      <c r="AP38" s="14">
        <v>-18674.742392631786</v>
      </c>
      <c r="AQ38" s="14">
        <v>-18378.762385558817</v>
      </c>
      <c r="AR38" s="14">
        <v>-18081.919103465214</v>
      </c>
      <c r="AS38" s="14">
        <v>-17784.210028465506</v>
      </c>
      <c r="AT38" s="14">
        <v>-17485.632635330381</v>
      </c>
      <c r="AU38" s="14">
        <v>-17186.184391465278</v>
      </c>
      <c r="AV38" s="14">
        <v>-16885.862756888902</v>
      </c>
      <c r="AW38" s="14">
        <v>-16584.665184211684</v>
      </c>
      <c r="AX38" s="14">
        <v>-16282.589118614149</v>
      </c>
      <c r="AY38" s="14">
        <v>-15979.631997825296</v>
      </c>
      <c r="AZ38" s="14">
        <v>-15675.791252100802</v>
      </c>
      <c r="BA38" s="14">
        <v>-15371.064304201283</v>
      </c>
      <c r="BB38" s="14">
        <v>-15065.448569370386</v>
      </c>
      <c r="BC38" s="14">
        <v>-14758.941455312903</v>
      </c>
      <c r="BD38" s="26">
        <v>-14451.540362172749</v>
      </c>
      <c r="BE38" s="26">
        <v>-14143.242682510941</v>
      </c>
      <c r="BF38" s="26">
        <v>-13834.045801283446</v>
      </c>
      <c r="BG38" s="26">
        <v>-13523.947095819041</v>
      </c>
      <c r="BH38" s="26">
        <v>-13212.943935797031</v>
      </c>
      <c r="BI38" s="26">
        <v>-12901.033683224956</v>
      </c>
      <c r="BJ38" s="26">
        <v>-12588.213692416215</v>
      </c>
      <c r="BK38" s="26">
        <v>-12274.481309967614</v>
      </c>
      <c r="BL38" s="26">
        <v>-11959.833874736871</v>
      </c>
      <c r="BM38" s="26">
        <v>-11644.268717820038</v>
      </c>
      <c r="BN38" s="26">
        <v>-11327.783162528865</v>
      </c>
      <c r="BO38" s="26">
        <v>-11010.374524368093</v>
      </c>
      <c r="BP38" s="26">
        <v>-10692.040111012686</v>
      </c>
      <c r="BQ38" s="26">
        <v>-10372.777222284991</v>
      </c>
      <c r="BR38" s="26">
        <v>-10052.583150131839</v>
      </c>
      <c r="BS38" s="26">
        <v>-9731.4551786015763</v>
      </c>
      <c r="BT38" s="26">
        <v>-9409.3905838210158</v>
      </c>
      <c r="BU38" s="26">
        <v>-9086.3866339723445</v>
      </c>
      <c r="BV38" s="26">
        <v>-8762.4405892699488</v>
      </c>
      <c r="BW38" s="26">
        <v>-8437.5497019371724</v>
      </c>
      <c r="BX38" s="26">
        <v>-8111.7112161830046</v>
      </c>
      <c r="BY38" s="26">
        <v>-7784.9223681787253</v>
      </c>
      <c r="BZ38" s="26">
        <v>-7457.1803860344307</v>
      </c>
      <c r="CA38" s="26">
        <v>-7128.4824897755489</v>
      </c>
      <c r="CB38" s="26">
        <v>-6798.8258913192467</v>
      </c>
      <c r="CC38" s="26">
        <v>-6468.2077944507782</v>
      </c>
      <c r="CD38" s="26">
        <v>-6136.6253947997793</v>
      </c>
      <c r="CE38" s="26">
        <v>-5804.0758798164625</v>
      </c>
      <c r="CF38" s="26">
        <v>-5470.5564287477782</v>
      </c>
      <c r="CG38" s="26">
        <v>-5136.064212613478</v>
      </c>
      <c r="CH38" s="26">
        <v>-4800.5963941821183</v>
      </c>
      <c r="CI38" s="26">
        <v>-4464.1501279470012</v>
      </c>
      <c r="CJ38" s="26">
        <v>-4126.7225601020318</v>
      </c>
      <c r="CK38" s="26">
        <v>-3788.3108285175144</v>
      </c>
      <c r="CL38" s="26">
        <v>-3448.9120627158754</v>
      </c>
      <c r="CM38" s="26">
        <v>-3108.523383847315</v>
      </c>
      <c r="CN38" s="26">
        <v>-2767.1419046653878</v>
      </c>
      <c r="CO38" s="26">
        <v>-2424.7647295025135</v>
      </c>
      <c r="CP38" s="26">
        <v>-2081.388954245414</v>
      </c>
      <c r="CQ38" s="26">
        <v>-1737.0116663104811</v>
      </c>
      <c r="CR38" s="26">
        <v>-1391.6299446190715</v>
      </c>
      <c r="CS38" s="26">
        <v>-1045.2408595727288</v>
      </c>
      <c r="CT38" s="26">
        <v>-697.84147302833435</v>
      </c>
      <c r="CU38" s="26">
        <v>-349.42883827318497</v>
      </c>
    </row>
    <row r="39" spans="1:99" x14ac:dyDescent="0.25">
      <c r="A39" s="11" t="s">
        <v>4</v>
      </c>
      <c r="B39" s="11" t="s">
        <v>24</v>
      </c>
      <c r="C39" s="11" t="s">
        <v>39</v>
      </c>
      <c r="D39" s="42">
        <f>intereses!E5</f>
        <v>0.05</v>
      </c>
      <c r="E39" s="22">
        <f>-0.8*SUM(G2:G32,G41:G42)</f>
        <v>6841591.9750274457</v>
      </c>
      <c r="F39" s="22">
        <v>244824.97</v>
      </c>
      <c r="G39" s="13"/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-28506.633250000003</v>
      </c>
      <c r="Y39" s="14">
        <v>-26779.989805960406</v>
      </c>
      <c r="Z39" s="14">
        <v>-25046.152014237316</v>
      </c>
      <c r="AA39" s="14">
        <v>-23305.089898382041</v>
      </c>
      <c r="AB39" s="14">
        <v>-21556.77335704404</v>
      </c>
      <c r="AC39" s="14">
        <v>-19801.172163450465</v>
      </c>
      <c r="AD39" s="14">
        <v>-18038.255964883581</v>
      </c>
      <c r="AE39" s="14">
        <v>-16267.994282156</v>
      </c>
      <c r="AF39" s="14">
        <v>-14490.356509083722</v>
      </c>
      <c r="AG39" s="14">
        <v>-12705.311911956978</v>
      </c>
      <c r="AH39" s="14">
        <v>-10912.829629008871</v>
      </c>
      <c r="AI39" s="14">
        <v>-9112.878669881813</v>
      </c>
      <c r="AJ39" s="14">
        <v>-7305.4279150917264</v>
      </c>
      <c r="AK39" s="14">
        <v>-5490.4461154900146</v>
      </c>
      <c r="AL39" s="14">
        <v>-3667.9018917232961</v>
      </c>
      <c r="AM39" s="14">
        <v>-1837.7637336908822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</row>
    <row r="40" spans="1:99" x14ac:dyDescent="0.25">
      <c r="A40" s="11" t="s">
        <v>4</v>
      </c>
      <c r="B40" s="11" t="s">
        <v>24</v>
      </c>
      <c r="C40" s="11" t="s">
        <v>26</v>
      </c>
      <c r="D40" s="42">
        <v>2.5000000000000001E-3</v>
      </c>
      <c r="E40" s="22">
        <f>-0.8*SUM(G2:G32,G41:G42)</f>
        <v>6841591.9750274457</v>
      </c>
      <c r="F40" s="22">
        <f t="shared" ref="F40:F45" si="11">D40*E40</f>
        <v>17103.979937568616</v>
      </c>
      <c r="G40" s="13">
        <f>-F40</f>
        <v>-17103.979937568616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0</v>
      </c>
      <c r="CU40" s="14">
        <f>G40</f>
        <v>-17103.979937568616</v>
      </c>
    </row>
    <row r="41" spans="1:99" x14ac:dyDescent="0.25">
      <c r="A41" s="11" t="s">
        <v>4</v>
      </c>
      <c r="B41" s="11" t="s">
        <v>1</v>
      </c>
      <c r="C41" s="11" t="s">
        <v>22</v>
      </c>
      <c r="D41" s="12">
        <f>88*16</f>
        <v>1408</v>
      </c>
      <c r="E41" s="11">
        <v>700</v>
      </c>
      <c r="F41" s="22">
        <f t="shared" si="11"/>
        <v>985600</v>
      </c>
      <c r="G41" s="20">
        <f>-F41</f>
        <v>-985600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f>$G$41/16</f>
        <v>-61600</v>
      </c>
      <c r="Y41" s="21">
        <f t="shared" ref="Y41:AM41" si="12">$G$41/16</f>
        <v>-61600</v>
      </c>
      <c r="Z41" s="21">
        <f t="shared" si="12"/>
        <v>-61600</v>
      </c>
      <c r="AA41" s="21">
        <f t="shared" si="12"/>
        <v>-61600</v>
      </c>
      <c r="AB41" s="21">
        <f t="shared" si="12"/>
        <v>-61600</v>
      </c>
      <c r="AC41" s="21">
        <f t="shared" si="12"/>
        <v>-61600</v>
      </c>
      <c r="AD41" s="21">
        <f t="shared" si="12"/>
        <v>-61600</v>
      </c>
      <c r="AE41" s="21">
        <f t="shared" si="12"/>
        <v>-61600</v>
      </c>
      <c r="AF41" s="21">
        <f t="shared" si="12"/>
        <v>-61600</v>
      </c>
      <c r="AG41" s="21">
        <f t="shared" si="12"/>
        <v>-61600</v>
      </c>
      <c r="AH41" s="21">
        <f t="shared" si="12"/>
        <v>-61600</v>
      </c>
      <c r="AI41" s="21">
        <f t="shared" si="12"/>
        <v>-61600</v>
      </c>
      <c r="AJ41" s="21">
        <f t="shared" si="12"/>
        <v>-61600</v>
      </c>
      <c r="AK41" s="21">
        <f t="shared" si="12"/>
        <v>-61600</v>
      </c>
      <c r="AL41" s="21">
        <f t="shared" si="12"/>
        <v>-61600</v>
      </c>
      <c r="AM41" s="21">
        <f t="shared" si="12"/>
        <v>-61600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21">
        <v>0</v>
      </c>
      <c r="AZ41" s="21">
        <v>0</v>
      </c>
      <c r="BA41" s="21">
        <v>0</v>
      </c>
      <c r="BB41" s="21">
        <v>0</v>
      </c>
      <c r="BC41" s="21">
        <v>0</v>
      </c>
      <c r="BD41" s="21">
        <v>0</v>
      </c>
      <c r="BE41" s="21">
        <v>0</v>
      </c>
      <c r="BF41" s="21">
        <v>0</v>
      </c>
      <c r="BG41" s="21">
        <v>0</v>
      </c>
      <c r="BH41" s="21">
        <v>0</v>
      </c>
      <c r="BI41" s="21">
        <v>0</v>
      </c>
      <c r="BJ41" s="21">
        <v>0</v>
      </c>
      <c r="BK41" s="21">
        <v>0</v>
      </c>
      <c r="BL41" s="21">
        <v>0</v>
      </c>
      <c r="BM41" s="21">
        <v>0</v>
      </c>
      <c r="BN41" s="21">
        <v>0</v>
      </c>
      <c r="BO41" s="21">
        <v>0</v>
      </c>
      <c r="BP41" s="21">
        <v>0</v>
      </c>
      <c r="BQ41" s="21">
        <v>0</v>
      </c>
      <c r="BR41" s="21">
        <v>0</v>
      </c>
      <c r="BS41" s="21">
        <v>0</v>
      </c>
      <c r="BT41" s="21">
        <v>0</v>
      </c>
      <c r="BU41" s="21">
        <v>0</v>
      </c>
      <c r="BV41" s="21">
        <v>0</v>
      </c>
      <c r="BW41" s="21">
        <v>0</v>
      </c>
      <c r="BX41" s="21">
        <v>0</v>
      </c>
      <c r="BY41" s="21">
        <v>0</v>
      </c>
      <c r="BZ41" s="21">
        <v>0</v>
      </c>
      <c r="CA41" s="21">
        <v>0</v>
      </c>
      <c r="CB41" s="21">
        <v>0</v>
      </c>
      <c r="CC41" s="21">
        <v>0</v>
      </c>
      <c r="CD41" s="21">
        <v>0</v>
      </c>
      <c r="CE41" s="21">
        <v>0</v>
      </c>
      <c r="CF41" s="21">
        <v>0</v>
      </c>
      <c r="CG41" s="21">
        <v>0</v>
      </c>
      <c r="CH41" s="21">
        <v>0</v>
      </c>
      <c r="CI41" s="21">
        <v>0</v>
      </c>
      <c r="CJ41" s="21">
        <v>0</v>
      </c>
      <c r="CK41" s="21">
        <v>0</v>
      </c>
      <c r="CL41" s="21">
        <v>0</v>
      </c>
      <c r="CM41" s="21">
        <v>0</v>
      </c>
      <c r="CN41" s="21">
        <v>0</v>
      </c>
      <c r="CO41" s="21">
        <v>0</v>
      </c>
      <c r="CP41" s="21">
        <v>0</v>
      </c>
      <c r="CQ41" s="21">
        <v>0</v>
      </c>
      <c r="CR41" s="21">
        <v>0</v>
      </c>
      <c r="CS41" s="21">
        <v>0</v>
      </c>
      <c r="CT41" s="21">
        <v>0</v>
      </c>
      <c r="CU41" s="21">
        <v>0</v>
      </c>
    </row>
    <row r="42" spans="1:99" x14ac:dyDescent="0.25">
      <c r="A42" s="11" t="s">
        <v>4</v>
      </c>
      <c r="B42" s="11" t="s">
        <v>1</v>
      </c>
      <c r="C42" s="11" t="s">
        <v>17</v>
      </c>
      <c r="D42" s="12">
        <f>88*16</f>
        <v>1408</v>
      </c>
      <c r="E42" s="11">
        <v>200</v>
      </c>
      <c r="F42" s="22">
        <f t="shared" si="11"/>
        <v>281600</v>
      </c>
      <c r="G42" s="13">
        <f>-$F$42</f>
        <v>-281600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f>$G$42/16</f>
        <v>-17600</v>
      </c>
      <c r="Y42" s="14">
        <f t="shared" ref="Y42:AM42" si="13">$G$42/16</f>
        <v>-17600</v>
      </c>
      <c r="Z42" s="14">
        <f t="shared" si="13"/>
        <v>-17600</v>
      </c>
      <c r="AA42" s="14">
        <f t="shared" si="13"/>
        <v>-17600</v>
      </c>
      <c r="AB42" s="14">
        <f t="shared" si="13"/>
        <v>-17600</v>
      </c>
      <c r="AC42" s="14">
        <f t="shared" si="13"/>
        <v>-17600</v>
      </c>
      <c r="AD42" s="14">
        <f t="shared" si="13"/>
        <v>-17600</v>
      </c>
      <c r="AE42" s="14">
        <f t="shared" si="13"/>
        <v>-17600</v>
      </c>
      <c r="AF42" s="14">
        <f t="shared" si="13"/>
        <v>-17600</v>
      </c>
      <c r="AG42" s="14">
        <f t="shared" si="13"/>
        <v>-17600</v>
      </c>
      <c r="AH42" s="14">
        <f t="shared" si="13"/>
        <v>-17600</v>
      </c>
      <c r="AI42" s="14">
        <f t="shared" si="13"/>
        <v>-17600</v>
      </c>
      <c r="AJ42" s="14">
        <f t="shared" si="13"/>
        <v>-17600</v>
      </c>
      <c r="AK42" s="14">
        <f t="shared" si="13"/>
        <v>-17600</v>
      </c>
      <c r="AL42" s="14">
        <f t="shared" si="13"/>
        <v>-17600</v>
      </c>
      <c r="AM42" s="14">
        <f t="shared" si="13"/>
        <v>-17600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</row>
    <row r="43" spans="1:99" x14ac:dyDescent="0.25">
      <c r="A43" s="11" t="s">
        <v>5</v>
      </c>
      <c r="B43" s="11" t="s">
        <v>174</v>
      </c>
      <c r="C43" s="11" t="s">
        <v>143</v>
      </c>
      <c r="D43" s="12">
        <v>0</v>
      </c>
      <c r="E43" s="11">
        <f>65*2183.04</f>
        <v>141897.60000000001</v>
      </c>
      <c r="F43" s="22">
        <f t="shared" si="11"/>
        <v>0</v>
      </c>
      <c r="G43" s="13">
        <f>F43</f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f>G43</f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v>0</v>
      </c>
    </row>
    <row r="44" spans="1:99" x14ac:dyDescent="0.25">
      <c r="A44" s="11" t="s">
        <v>5</v>
      </c>
      <c r="B44" s="11" t="s">
        <v>175</v>
      </c>
      <c r="C44" s="11" t="s">
        <v>176</v>
      </c>
      <c r="D44" s="12">
        <v>88</v>
      </c>
      <c r="E44" s="11">
        <v>2705</v>
      </c>
      <c r="F44" s="11">
        <f t="shared" si="11"/>
        <v>238040</v>
      </c>
      <c r="G44" s="13">
        <f>F44</f>
        <v>238040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f>G44</f>
        <v>238040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R44" s="14">
        <v>0</v>
      </c>
      <c r="CS44" s="14">
        <v>0</v>
      </c>
      <c r="CT44" s="14">
        <v>0</v>
      </c>
      <c r="CU44" s="14">
        <v>0</v>
      </c>
    </row>
    <row r="45" spans="1:99" x14ac:dyDescent="0.25">
      <c r="A45" s="11" t="s">
        <v>5</v>
      </c>
      <c r="B45" s="11" t="s">
        <v>175</v>
      </c>
      <c r="C45" s="11" t="s">
        <v>177</v>
      </c>
      <c r="D45" s="12">
        <v>88</v>
      </c>
      <c r="E45" s="11">
        <v>11000</v>
      </c>
      <c r="F45" s="11">
        <f t="shared" si="11"/>
        <v>968000</v>
      </c>
      <c r="G45" s="13">
        <f>F45</f>
        <v>968000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f>G45</f>
        <v>968000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</row>
    <row r="46" spans="1:99" x14ac:dyDescent="0.25">
      <c r="A46" s="11" t="s">
        <v>5</v>
      </c>
      <c r="B46" s="11" t="s">
        <v>178</v>
      </c>
      <c r="C46" s="11" t="s">
        <v>179</v>
      </c>
      <c r="D46" s="12">
        <v>0</v>
      </c>
      <c r="E46" s="11">
        <v>450</v>
      </c>
      <c r="F46" s="11">
        <f t="shared" ref="F46:F47" si="14">D46*E46</f>
        <v>0</v>
      </c>
      <c r="G46" s="13">
        <f>F46</f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f>$D$46*$E$46/60</f>
        <v>0</v>
      </c>
      <c r="AO46" s="14">
        <f t="shared" ref="AO46:CU46" si="15">$D$46*$E$46/60</f>
        <v>0</v>
      </c>
      <c r="AP46" s="14">
        <f t="shared" si="15"/>
        <v>0</v>
      </c>
      <c r="AQ46" s="14">
        <f t="shared" si="15"/>
        <v>0</v>
      </c>
      <c r="AR46" s="14">
        <f t="shared" si="15"/>
        <v>0</v>
      </c>
      <c r="AS46" s="14">
        <f t="shared" si="15"/>
        <v>0</v>
      </c>
      <c r="AT46" s="14">
        <f t="shared" si="15"/>
        <v>0</v>
      </c>
      <c r="AU46" s="14">
        <f t="shared" si="15"/>
        <v>0</v>
      </c>
      <c r="AV46" s="14">
        <f t="shared" si="15"/>
        <v>0</v>
      </c>
      <c r="AW46" s="14">
        <f t="shared" si="15"/>
        <v>0</v>
      </c>
      <c r="AX46" s="14">
        <f t="shared" si="15"/>
        <v>0</v>
      </c>
      <c r="AY46" s="14">
        <f t="shared" si="15"/>
        <v>0</v>
      </c>
      <c r="AZ46" s="14">
        <f t="shared" si="15"/>
        <v>0</v>
      </c>
      <c r="BA46" s="14">
        <f t="shared" si="15"/>
        <v>0</v>
      </c>
      <c r="BB46" s="14">
        <f t="shared" si="15"/>
        <v>0</v>
      </c>
      <c r="BC46" s="14">
        <f t="shared" si="15"/>
        <v>0</v>
      </c>
      <c r="BD46" s="14">
        <f t="shared" si="15"/>
        <v>0</v>
      </c>
      <c r="BE46" s="14">
        <f t="shared" si="15"/>
        <v>0</v>
      </c>
      <c r="BF46" s="14">
        <f t="shared" si="15"/>
        <v>0</v>
      </c>
      <c r="BG46" s="14">
        <f t="shared" si="15"/>
        <v>0</v>
      </c>
      <c r="BH46" s="14">
        <f t="shared" si="15"/>
        <v>0</v>
      </c>
      <c r="BI46" s="14">
        <f t="shared" si="15"/>
        <v>0</v>
      </c>
      <c r="BJ46" s="14">
        <f t="shared" si="15"/>
        <v>0</v>
      </c>
      <c r="BK46" s="14">
        <f t="shared" si="15"/>
        <v>0</v>
      </c>
      <c r="BL46" s="14">
        <f t="shared" si="15"/>
        <v>0</v>
      </c>
      <c r="BM46" s="14">
        <f t="shared" si="15"/>
        <v>0</v>
      </c>
      <c r="BN46" s="14">
        <f t="shared" si="15"/>
        <v>0</v>
      </c>
      <c r="BO46" s="14">
        <f t="shared" si="15"/>
        <v>0</v>
      </c>
      <c r="BP46" s="14">
        <f t="shared" si="15"/>
        <v>0</v>
      </c>
      <c r="BQ46" s="14">
        <f t="shared" si="15"/>
        <v>0</v>
      </c>
      <c r="BR46" s="14">
        <f t="shared" si="15"/>
        <v>0</v>
      </c>
      <c r="BS46" s="14">
        <f t="shared" si="15"/>
        <v>0</v>
      </c>
      <c r="BT46" s="14">
        <f t="shared" si="15"/>
        <v>0</v>
      </c>
      <c r="BU46" s="14">
        <f t="shared" si="15"/>
        <v>0</v>
      </c>
      <c r="BV46" s="14">
        <f t="shared" si="15"/>
        <v>0</v>
      </c>
      <c r="BW46" s="14">
        <f t="shared" si="15"/>
        <v>0</v>
      </c>
      <c r="BX46" s="14">
        <f t="shared" si="15"/>
        <v>0</v>
      </c>
      <c r="BY46" s="14">
        <f t="shared" si="15"/>
        <v>0</v>
      </c>
      <c r="BZ46" s="14">
        <f t="shared" si="15"/>
        <v>0</v>
      </c>
      <c r="CA46" s="14">
        <f t="shared" si="15"/>
        <v>0</v>
      </c>
      <c r="CB46" s="14">
        <f t="shared" si="15"/>
        <v>0</v>
      </c>
      <c r="CC46" s="14">
        <f t="shared" si="15"/>
        <v>0</v>
      </c>
      <c r="CD46" s="14">
        <f t="shared" si="15"/>
        <v>0</v>
      </c>
      <c r="CE46" s="14">
        <f t="shared" si="15"/>
        <v>0</v>
      </c>
      <c r="CF46" s="14">
        <f t="shared" si="15"/>
        <v>0</v>
      </c>
      <c r="CG46" s="14">
        <f t="shared" si="15"/>
        <v>0</v>
      </c>
      <c r="CH46" s="14">
        <f t="shared" si="15"/>
        <v>0</v>
      </c>
      <c r="CI46" s="14">
        <f t="shared" si="15"/>
        <v>0</v>
      </c>
      <c r="CJ46" s="14">
        <f t="shared" si="15"/>
        <v>0</v>
      </c>
      <c r="CK46" s="14">
        <f t="shared" si="15"/>
        <v>0</v>
      </c>
      <c r="CL46" s="14">
        <f t="shared" si="15"/>
        <v>0</v>
      </c>
      <c r="CM46" s="14">
        <f t="shared" si="15"/>
        <v>0</v>
      </c>
      <c r="CN46" s="14">
        <f t="shared" si="15"/>
        <v>0</v>
      </c>
      <c r="CO46" s="14">
        <f t="shared" si="15"/>
        <v>0</v>
      </c>
      <c r="CP46" s="14">
        <f t="shared" si="15"/>
        <v>0</v>
      </c>
      <c r="CQ46" s="14">
        <f t="shared" si="15"/>
        <v>0</v>
      </c>
      <c r="CR46" s="14">
        <f t="shared" si="15"/>
        <v>0</v>
      </c>
      <c r="CS46" s="14">
        <f t="shared" si="15"/>
        <v>0</v>
      </c>
      <c r="CT46" s="14">
        <f t="shared" si="15"/>
        <v>0</v>
      </c>
      <c r="CU46" s="14">
        <f t="shared" si="15"/>
        <v>0</v>
      </c>
    </row>
    <row r="47" spans="1:99" x14ac:dyDescent="0.25">
      <c r="A47" s="11" t="s">
        <v>5</v>
      </c>
      <c r="B47" s="11" t="s">
        <v>180</v>
      </c>
      <c r="C47" s="11" t="s">
        <v>152</v>
      </c>
      <c r="D47" s="12">
        <v>0</v>
      </c>
      <c r="E47" s="11">
        <v>50</v>
      </c>
      <c r="F47" s="11">
        <f t="shared" si="14"/>
        <v>0</v>
      </c>
      <c r="G47" s="15">
        <f>F47</f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f>$D$47*$E$47/60</f>
        <v>0</v>
      </c>
      <c r="AO47" s="14">
        <f t="shared" ref="AO47:CU47" si="16">$D$47*$E$47/60</f>
        <v>0</v>
      </c>
      <c r="AP47" s="14">
        <f t="shared" si="16"/>
        <v>0</v>
      </c>
      <c r="AQ47" s="14">
        <f t="shared" si="16"/>
        <v>0</v>
      </c>
      <c r="AR47" s="14">
        <f t="shared" si="16"/>
        <v>0</v>
      </c>
      <c r="AS47" s="14">
        <f t="shared" si="16"/>
        <v>0</v>
      </c>
      <c r="AT47" s="14">
        <f t="shared" si="16"/>
        <v>0</v>
      </c>
      <c r="AU47" s="14">
        <f t="shared" si="16"/>
        <v>0</v>
      </c>
      <c r="AV47" s="14">
        <f t="shared" si="16"/>
        <v>0</v>
      </c>
      <c r="AW47" s="14">
        <f t="shared" si="16"/>
        <v>0</v>
      </c>
      <c r="AX47" s="14">
        <f t="shared" si="16"/>
        <v>0</v>
      </c>
      <c r="AY47" s="14">
        <f t="shared" si="16"/>
        <v>0</v>
      </c>
      <c r="AZ47" s="14">
        <f t="shared" si="16"/>
        <v>0</v>
      </c>
      <c r="BA47" s="14">
        <f t="shared" si="16"/>
        <v>0</v>
      </c>
      <c r="BB47" s="14">
        <f t="shared" si="16"/>
        <v>0</v>
      </c>
      <c r="BC47" s="14">
        <f t="shared" si="16"/>
        <v>0</v>
      </c>
      <c r="BD47" s="14">
        <f t="shared" si="16"/>
        <v>0</v>
      </c>
      <c r="BE47" s="14">
        <f t="shared" si="16"/>
        <v>0</v>
      </c>
      <c r="BF47" s="14">
        <f t="shared" si="16"/>
        <v>0</v>
      </c>
      <c r="BG47" s="14">
        <f t="shared" si="16"/>
        <v>0</v>
      </c>
      <c r="BH47" s="14">
        <f t="shared" si="16"/>
        <v>0</v>
      </c>
      <c r="BI47" s="14">
        <f t="shared" si="16"/>
        <v>0</v>
      </c>
      <c r="BJ47" s="14">
        <f t="shared" si="16"/>
        <v>0</v>
      </c>
      <c r="BK47" s="14">
        <f t="shared" si="16"/>
        <v>0</v>
      </c>
      <c r="BL47" s="14">
        <f t="shared" si="16"/>
        <v>0</v>
      </c>
      <c r="BM47" s="14">
        <f t="shared" si="16"/>
        <v>0</v>
      </c>
      <c r="BN47" s="14">
        <f t="shared" si="16"/>
        <v>0</v>
      </c>
      <c r="BO47" s="14">
        <f t="shared" si="16"/>
        <v>0</v>
      </c>
      <c r="BP47" s="14">
        <f t="shared" si="16"/>
        <v>0</v>
      </c>
      <c r="BQ47" s="14">
        <f t="shared" si="16"/>
        <v>0</v>
      </c>
      <c r="BR47" s="14">
        <f t="shared" si="16"/>
        <v>0</v>
      </c>
      <c r="BS47" s="14">
        <f t="shared" si="16"/>
        <v>0</v>
      </c>
      <c r="BT47" s="14">
        <f t="shared" si="16"/>
        <v>0</v>
      </c>
      <c r="BU47" s="14">
        <f t="shared" si="16"/>
        <v>0</v>
      </c>
      <c r="BV47" s="14">
        <f t="shared" si="16"/>
        <v>0</v>
      </c>
      <c r="BW47" s="14">
        <f t="shared" si="16"/>
        <v>0</v>
      </c>
      <c r="BX47" s="14">
        <f t="shared" si="16"/>
        <v>0</v>
      </c>
      <c r="BY47" s="14">
        <f t="shared" si="16"/>
        <v>0</v>
      </c>
      <c r="BZ47" s="14">
        <f t="shared" si="16"/>
        <v>0</v>
      </c>
      <c r="CA47" s="14">
        <f t="shared" si="16"/>
        <v>0</v>
      </c>
      <c r="CB47" s="14">
        <f t="shared" si="16"/>
        <v>0</v>
      </c>
      <c r="CC47" s="14">
        <f t="shared" si="16"/>
        <v>0</v>
      </c>
      <c r="CD47" s="14">
        <f t="shared" si="16"/>
        <v>0</v>
      </c>
      <c r="CE47" s="14">
        <f t="shared" si="16"/>
        <v>0</v>
      </c>
      <c r="CF47" s="14">
        <f t="shared" si="16"/>
        <v>0</v>
      </c>
      <c r="CG47" s="14">
        <f t="shared" si="16"/>
        <v>0</v>
      </c>
      <c r="CH47" s="14">
        <f t="shared" si="16"/>
        <v>0</v>
      </c>
      <c r="CI47" s="14">
        <f t="shared" si="16"/>
        <v>0</v>
      </c>
      <c r="CJ47" s="14">
        <f t="shared" si="16"/>
        <v>0</v>
      </c>
      <c r="CK47" s="14">
        <f t="shared" si="16"/>
        <v>0</v>
      </c>
      <c r="CL47" s="14">
        <f t="shared" si="16"/>
        <v>0</v>
      </c>
      <c r="CM47" s="14">
        <f t="shared" si="16"/>
        <v>0</v>
      </c>
      <c r="CN47" s="14">
        <f t="shared" si="16"/>
        <v>0</v>
      </c>
      <c r="CO47" s="14">
        <f t="shared" si="16"/>
        <v>0</v>
      </c>
      <c r="CP47" s="14">
        <f t="shared" si="16"/>
        <v>0</v>
      </c>
      <c r="CQ47" s="14">
        <f t="shared" si="16"/>
        <v>0</v>
      </c>
      <c r="CR47" s="14">
        <f t="shared" si="16"/>
        <v>0</v>
      </c>
      <c r="CS47" s="14">
        <f t="shared" si="16"/>
        <v>0</v>
      </c>
      <c r="CT47" s="14">
        <f t="shared" si="16"/>
        <v>0</v>
      </c>
      <c r="CU47" s="14">
        <f t="shared" si="16"/>
        <v>0</v>
      </c>
    </row>
    <row r="48" spans="1:99" x14ac:dyDescent="0.25">
      <c r="A48" s="11" t="s">
        <v>181</v>
      </c>
      <c r="B48" s="11" t="s">
        <v>182</v>
      </c>
      <c r="C48" s="11" t="s">
        <v>5</v>
      </c>
      <c r="F48" s="27"/>
      <c r="G48" s="45">
        <f>SUM(F43:F47)</f>
        <v>1206040</v>
      </c>
      <c r="H48" s="29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</row>
    <row r="49" spans="1:99" x14ac:dyDescent="0.25">
      <c r="A49" s="11" t="s">
        <v>181</v>
      </c>
      <c r="B49" s="11" t="s">
        <v>182</v>
      </c>
      <c r="C49" s="11" t="s">
        <v>90</v>
      </c>
      <c r="F49" s="27"/>
      <c r="G49" s="45">
        <f>-SUM(F2:F42)</f>
        <v>-9462092.5505720396</v>
      </c>
      <c r="H49" s="29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</row>
    <row r="50" spans="1:99" x14ac:dyDescent="0.25">
      <c r="A50" s="11" t="s">
        <v>181</v>
      </c>
      <c r="B50" s="11" t="s">
        <v>182</v>
      </c>
      <c r="C50" s="11" t="s">
        <v>183</v>
      </c>
      <c r="F50" s="27"/>
      <c r="G50" s="45">
        <f>SUM(G48:G49)</f>
        <v>-8256052.5505720396</v>
      </c>
      <c r="H50" s="29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</row>
    <row r="51" spans="1:99" x14ac:dyDescent="0.25">
      <c r="A51" s="11" t="s">
        <v>181</v>
      </c>
      <c r="B51" s="11" t="s">
        <v>182</v>
      </c>
      <c r="C51" s="11" t="s">
        <v>184</v>
      </c>
      <c r="F51" s="27"/>
      <c r="G51" s="46">
        <f>G50/-G49</f>
        <v>-0.87253982207909309</v>
      </c>
      <c r="H51" s="29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</row>
    <row r="52" spans="1:99" x14ac:dyDescent="0.25">
      <c r="A52" s="11" t="s">
        <v>181</v>
      </c>
      <c r="B52" s="11" t="s">
        <v>185</v>
      </c>
      <c r="C52" s="11" t="s">
        <v>186</v>
      </c>
      <c r="F52" s="31"/>
      <c r="G52" s="47"/>
      <c r="H52" s="32">
        <f t="shared" ref="H52:AM52" si="17">SUM(H2:H47)</f>
        <v>0</v>
      </c>
      <c r="I52" s="26">
        <f t="shared" si="17"/>
        <v>-7018</v>
      </c>
      <c r="J52" s="26">
        <f t="shared" si="17"/>
        <v>0</v>
      </c>
      <c r="K52" s="26">
        <f t="shared" si="17"/>
        <v>-13451.876116932002</v>
      </c>
      <c r="L52" s="26">
        <f t="shared" si="17"/>
        <v>0</v>
      </c>
      <c r="M52" s="26">
        <f t="shared" si="17"/>
        <v>-164848.87176594409</v>
      </c>
      <c r="N52" s="26">
        <f t="shared" si="17"/>
        <v>-4359.9465</v>
      </c>
      <c r="O52" s="26">
        <f t="shared" si="17"/>
        <v>0</v>
      </c>
      <c r="P52" s="26">
        <f t="shared" si="17"/>
        <v>-239984.09274473711</v>
      </c>
      <c r="Q52" s="26">
        <f t="shared" si="17"/>
        <v>-49812.583392000008</v>
      </c>
      <c r="R52" s="26">
        <f t="shared" si="17"/>
        <v>-6554.8761169320014</v>
      </c>
      <c r="S52" s="26">
        <f t="shared" si="17"/>
        <v>0</v>
      </c>
      <c r="T52" s="26">
        <f t="shared" si="17"/>
        <v>-199250.33356800003</v>
      </c>
      <c r="U52" s="26">
        <f t="shared" si="17"/>
        <v>0</v>
      </c>
      <c r="V52" s="26">
        <f t="shared" si="17"/>
        <v>0</v>
      </c>
      <c r="W52" s="26">
        <f t="shared" si="17"/>
        <v>-43799.55185016468</v>
      </c>
      <c r="X52" s="26">
        <f t="shared" si="17"/>
        <v>-363160.13086631056</v>
      </c>
      <c r="Y52" s="26">
        <f t="shared" si="17"/>
        <v>-490505.16400789097</v>
      </c>
      <c r="Z52" s="26">
        <f t="shared" si="17"/>
        <v>-191702.87536294223</v>
      </c>
      <c r="AA52" s="26">
        <f t="shared" si="17"/>
        <v>-272152.575843887</v>
      </c>
      <c r="AB52" s="26">
        <f t="shared" si="17"/>
        <v>-336156.86937998899</v>
      </c>
      <c r="AC52" s="26">
        <f t="shared" si="17"/>
        <v>-449468.33582191536</v>
      </c>
      <c r="AD52" s="26">
        <f t="shared" si="17"/>
        <v>-469622.95631582849</v>
      </c>
      <c r="AE52" s="26">
        <f t="shared" si="17"/>
        <v>-467852.69463310088</v>
      </c>
      <c r="AF52" s="26">
        <f t="shared" si="17"/>
        <v>-455116.2885137886</v>
      </c>
      <c r="AG52" s="26">
        <f t="shared" si="17"/>
        <v>-458810.62808978185</v>
      </c>
      <c r="AH52" s="26">
        <f t="shared" si="17"/>
        <v>-522770.75588427373</v>
      </c>
      <c r="AI52" s="26">
        <f t="shared" si="17"/>
        <v>-805898.78192738676</v>
      </c>
      <c r="AJ52" s="26">
        <f t="shared" si="17"/>
        <v>-1023266.6980973966</v>
      </c>
      <c r="AK52" s="26">
        <f t="shared" si="17"/>
        <v>-780358.812680515</v>
      </c>
      <c r="AL52" s="26">
        <f t="shared" si="17"/>
        <v>-564840.28570506815</v>
      </c>
      <c r="AM52" s="26">
        <f t="shared" si="17"/>
        <v>-437684.31156527577</v>
      </c>
      <c r="AN52" s="26">
        <f t="shared" ref="AN52:BS52" si="18">SUM(AN2:AN47)</f>
        <v>1164609.676386883</v>
      </c>
      <c r="AO52" s="26">
        <f t="shared" si="18"/>
        <v>-18969.861635247129</v>
      </c>
      <c r="AP52" s="26">
        <f t="shared" si="18"/>
        <v>-18674.742392631786</v>
      </c>
      <c r="AQ52" s="26">
        <f t="shared" si="18"/>
        <v>-18378.762385558817</v>
      </c>
      <c r="AR52" s="26">
        <f t="shared" si="18"/>
        <v>-18081.919103465214</v>
      </c>
      <c r="AS52" s="26">
        <f t="shared" si="18"/>
        <v>-17784.210028465506</v>
      </c>
      <c r="AT52" s="26">
        <f t="shared" si="18"/>
        <v>-17485.632635330381</v>
      </c>
      <c r="AU52" s="26">
        <f t="shared" si="18"/>
        <v>-17186.184391465278</v>
      </c>
      <c r="AV52" s="26">
        <f t="shared" si="18"/>
        <v>-16885.862756888902</v>
      </c>
      <c r="AW52" s="26">
        <f t="shared" si="18"/>
        <v>-16584.665184211684</v>
      </c>
      <c r="AX52" s="26">
        <f t="shared" si="18"/>
        <v>-16282.589118614149</v>
      </c>
      <c r="AY52" s="26">
        <f t="shared" si="18"/>
        <v>-15979.631997825296</v>
      </c>
      <c r="AZ52" s="26">
        <f t="shared" si="18"/>
        <v>-15675.791252100802</v>
      </c>
      <c r="BA52" s="26">
        <f t="shared" si="18"/>
        <v>-15371.064304201283</v>
      </c>
      <c r="BB52" s="26">
        <f t="shared" si="18"/>
        <v>-15065.448569370386</v>
      </c>
      <c r="BC52" s="26">
        <f t="shared" si="18"/>
        <v>-14758.941455312903</v>
      </c>
      <c r="BD52" s="26">
        <f t="shared" si="18"/>
        <v>-14451.540362172749</v>
      </c>
      <c r="BE52" s="26">
        <f t="shared" si="18"/>
        <v>-14143.242682510941</v>
      </c>
      <c r="BF52" s="26">
        <f t="shared" si="18"/>
        <v>-13834.045801283446</v>
      </c>
      <c r="BG52" s="26">
        <f t="shared" si="18"/>
        <v>-13523.947095819041</v>
      </c>
      <c r="BH52" s="26">
        <f t="shared" si="18"/>
        <v>-13212.943935797031</v>
      </c>
      <c r="BI52" s="26">
        <f t="shared" si="18"/>
        <v>-12901.033683224956</v>
      </c>
      <c r="BJ52" s="26">
        <f t="shared" si="18"/>
        <v>-12588.213692416215</v>
      </c>
      <c r="BK52" s="26">
        <f t="shared" si="18"/>
        <v>-12274.481309967614</v>
      </c>
      <c r="BL52" s="26">
        <f t="shared" si="18"/>
        <v>-11959.833874736871</v>
      </c>
      <c r="BM52" s="26">
        <f t="shared" si="18"/>
        <v>-11644.268717820038</v>
      </c>
      <c r="BN52" s="26">
        <f t="shared" si="18"/>
        <v>-11327.783162528865</v>
      </c>
      <c r="BO52" s="26">
        <f t="shared" si="18"/>
        <v>-11010.374524368093</v>
      </c>
      <c r="BP52" s="26">
        <f t="shared" si="18"/>
        <v>-10692.040111012686</v>
      </c>
      <c r="BQ52" s="26">
        <f t="shared" si="18"/>
        <v>-10372.777222284991</v>
      </c>
      <c r="BR52" s="26">
        <f t="shared" si="18"/>
        <v>-10052.583150131839</v>
      </c>
      <c r="BS52" s="26">
        <f t="shared" si="18"/>
        <v>-9731.4551786015763</v>
      </c>
      <c r="BT52" s="26">
        <f t="shared" ref="BT52:CU52" si="19">SUM(BT2:BT47)</f>
        <v>-9409.3905838210158</v>
      </c>
      <c r="BU52" s="26">
        <f t="shared" si="19"/>
        <v>-9086.3866339723445</v>
      </c>
      <c r="BV52" s="26">
        <f t="shared" si="19"/>
        <v>-8762.4405892699488</v>
      </c>
      <c r="BW52" s="26">
        <f t="shared" si="19"/>
        <v>-8437.5497019371724</v>
      </c>
      <c r="BX52" s="26">
        <f t="shared" si="19"/>
        <v>-8111.7112161830046</v>
      </c>
      <c r="BY52" s="26">
        <f t="shared" si="19"/>
        <v>-7784.9223681787253</v>
      </c>
      <c r="BZ52" s="26">
        <f t="shared" si="19"/>
        <v>-7457.1803860344307</v>
      </c>
      <c r="CA52" s="26">
        <f t="shared" si="19"/>
        <v>-7128.4824897755489</v>
      </c>
      <c r="CB52" s="26">
        <f t="shared" si="19"/>
        <v>-6798.8258913192467</v>
      </c>
      <c r="CC52" s="26">
        <f t="shared" si="19"/>
        <v>-6468.2077944507782</v>
      </c>
      <c r="CD52" s="26">
        <f t="shared" si="19"/>
        <v>-6136.6253947997793</v>
      </c>
      <c r="CE52" s="26">
        <f t="shared" si="19"/>
        <v>-5804.0758798164625</v>
      </c>
      <c r="CF52" s="26">
        <f t="shared" si="19"/>
        <v>-5470.5564287477782</v>
      </c>
      <c r="CG52" s="26">
        <f t="shared" si="19"/>
        <v>-5136.064212613478</v>
      </c>
      <c r="CH52" s="26">
        <f t="shared" si="19"/>
        <v>-4800.5963941821183</v>
      </c>
      <c r="CI52" s="26">
        <f t="shared" si="19"/>
        <v>-4464.1501279470012</v>
      </c>
      <c r="CJ52" s="26">
        <f t="shared" si="19"/>
        <v>-4126.7225601020318</v>
      </c>
      <c r="CK52" s="26">
        <f t="shared" si="19"/>
        <v>-3788.3108285175144</v>
      </c>
      <c r="CL52" s="26">
        <f t="shared" si="19"/>
        <v>-3448.9120627158754</v>
      </c>
      <c r="CM52" s="26">
        <f t="shared" si="19"/>
        <v>-3108.523383847315</v>
      </c>
      <c r="CN52" s="26">
        <f t="shared" si="19"/>
        <v>-2767.1419046653878</v>
      </c>
      <c r="CO52" s="26">
        <f t="shared" si="19"/>
        <v>-2424.7647295025135</v>
      </c>
      <c r="CP52" s="26">
        <f t="shared" si="19"/>
        <v>-2081.388954245414</v>
      </c>
      <c r="CQ52" s="26">
        <f t="shared" si="19"/>
        <v>-1737.0116663104811</v>
      </c>
      <c r="CR52" s="26">
        <f t="shared" si="19"/>
        <v>-1391.6299446190715</v>
      </c>
      <c r="CS52" s="26">
        <f t="shared" si="19"/>
        <v>-1045.2408595727288</v>
      </c>
      <c r="CT52" s="26">
        <f t="shared" si="19"/>
        <v>-697.84147302833435</v>
      </c>
      <c r="CU52" s="26">
        <f t="shared" si="19"/>
        <v>-17453.408775841803</v>
      </c>
    </row>
    <row r="53" spans="1:99" x14ac:dyDescent="0.25">
      <c r="A53" s="11" t="s">
        <v>181</v>
      </c>
      <c r="B53" s="11" t="s">
        <v>185</v>
      </c>
      <c r="C53" s="11" t="s">
        <v>187</v>
      </c>
      <c r="F53" s="27"/>
      <c r="G53" s="46">
        <f>SUM(H52:CU52)</f>
        <v>-8256052.5553145651</v>
      </c>
      <c r="H53" s="49">
        <f>SUM(H52:R52)</f>
        <v>-486030.24663654523</v>
      </c>
      <c r="I53" s="49"/>
      <c r="J53" s="49"/>
      <c r="K53" s="49"/>
      <c r="L53" s="49"/>
      <c r="M53" s="49"/>
      <c r="N53" s="49"/>
      <c r="O53" s="49"/>
      <c r="P53" s="49"/>
      <c r="Q53" s="49"/>
      <c r="R53" s="50"/>
      <c r="S53" s="51">
        <f>SUM(S52:AD52)</f>
        <v>-2815818.7930169282</v>
      </c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50"/>
      <c r="AE53" s="51">
        <f>SUM(AE52:AP52)</f>
        <v>-4389634.1847375827</v>
      </c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50"/>
      <c r="AQ53" s="51">
        <f>SUM(AQ52:BB52)</f>
        <v>-200761.76172749768</v>
      </c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50"/>
      <c r="BC53" s="51">
        <f>SUM(BC52:BN52)</f>
        <v>-156620.27577359063</v>
      </c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50"/>
      <c r="BO53" s="51">
        <f>SUM(BO52:BZ52)</f>
        <v>-110908.81166579583</v>
      </c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50"/>
      <c r="CA53" s="51">
        <f>SUM(CA52:CL52)</f>
        <v>-63571.530064987608</v>
      </c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50"/>
      <c r="CM53" s="51">
        <f>SUM(CM52:CU52)</f>
        <v>-32706.95169163305</v>
      </c>
      <c r="CN53" s="49"/>
      <c r="CO53" s="49"/>
      <c r="CP53" s="49"/>
      <c r="CQ53" s="49"/>
      <c r="CR53" s="49"/>
      <c r="CS53" s="49"/>
      <c r="CT53" s="49"/>
      <c r="CU53" s="50"/>
    </row>
    <row r="54" spans="1:99" x14ac:dyDescent="0.25">
      <c r="A54" s="11" t="s">
        <v>181</v>
      </c>
      <c r="B54" s="11" t="s">
        <v>188</v>
      </c>
      <c r="C54" s="11" t="s">
        <v>189</v>
      </c>
      <c r="F54" s="27"/>
      <c r="G54" s="45">
        <v>0.06</v>
      </c>
      <c r="H54" s="29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</row>
    <row r="55" spans="1:99" x14ac:dyDescent="0.25">
      <c r="A55" s="11" t="s">
        <v>181</v>
      </c>
      <c r="B55" s="11" t="s">
        <v>188</v>
      </c>
      <c r="C55" s="11" t="s">
        <v>91</v>
      </c>
      <c r="F55" s="27"/>
      <c r="G55" s="45">
        <f xml:space="preserve"> (1+G54)^(1/12)-1</f>
        <v>4.8675505653430484E-3</v>
      </c>
      <c r="H55" s="29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</row>
    <row r="56" spans="1:99" x14ac:dyDescent="0.25">
      <c r="A56" s="11" t="s">
        <v>181</v>
      </c>
      <c r="B56" s="11" t="s">
        <v>188</v>
      </c>
      <c r="C56" s="11" t="s">
        <v>92</v>
      </c>
      <c r="F56" s="27"/>
      <c r="G56" s="45">
        <v>5.0000000000000001E-4</v>
      </c>
      <c r="H56" s="29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spans="1:99" x14ac:dyDescent="0.25">
      <c r="A57" s="11" t="s">
        <v>181</v>
      </c>
      <c r="B57" s="11" t="s">
        <v>190</v>
      </c>
      <c r="C57" s="11" t="s">
        <v>93</v>
      </c>
      <c r="F57" s="27"/>
      <c r="G57" s="45">
        <f>NPV(G55,Q52:CU52)+SUM(H52:P52)</f>
        <v>-7632723.8092189021</v>
      </c>
      <c r="H57" s="33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</row>
    <row r="58" spans="1:99" x14ac:dyDescent="0.25">
      <c r="A58" s="11" t="s">
        <v>181</v>
      </c>
      <c r="B58" s="11" t="s">
        <v>190</v>
      </c>
      <c r="C58" s="11" t="s">
        <v>94</v>
      </c>
      <c r="F58" s="27"/>
      <c r="G58" s="45">
        <f>CU58</f>
        <v>-1.9493214214815091E-2</v>
      </c>
      <c r="H58" s="32"/>
      <c r="I58" s="26">
        <f>MIRR(H52:I52,G56,G55)</f>
        <v>-1</v>
      </c>
      <c r="J58" s="26">
        <f>MIRR($H$52:J52,$G$56,$G$55)</f>
        <v>-1</v>
      </c>
      <c r="K58" s="26">
        <f>MIRR($H$52:K52,$G$56,$G$55)</f>
        <v>-1</v>
      </c>
      <c r="L58" s="26">
        <f>MIRR($H$52:L52,$G$56,$G$55)</f>
        <v>-1</v>
      </c>
      <c r="M58" s="26">
        <f>MIRR($H$52:M52,$G$56,$G$55)</f>
        <v>-1</v>
      </c>
      <c r="N58" s="26">
        <f>MIRR($H$52:N52,$G$56,$G$55)</f>
        <v>-1</v>
      </c>
      <c r="O58" s="26">
        <f>MIRR($H$52:O52,$G$56,$G$55)</f>
        <v>-1</v>
      </c>
      <c r="P58" s="26">
        <f>MIRR($H$52:P52,$G$56,$G$55)</f>
        <v>-1</v>
      </c>
      <c r="Q58" s="26">
        <f>MIRR($H$52:Q52,$G$56,$G$55)</f>
        <v>-1</v>
      </c>
      <c r="R58" s="26">
        <f>MIRR($H$52:R52,$G$56,$G$55)</f>
        <v>-1</v>
      </c>
      <c r="S58" s="26">
        <f>MIRR($H$52:S52,$G$56,$G$55)</f>
        <v>-1</v>
      </c>
      <c r="T58" s="26">
        <f>MIRR($H$52:T52,$G$56,$G$55)</f>
        <v>-1</v>
      </c>
      <c r="U58" s="26">
        <f>MIRR($H$52:U52,$G$56,$G$55)</f>
        <v>-1</v>
      </c>
      <c r="V58" s="26">
        <f>MIRR($H$52:V52,$G$56,$G$55)</f>
        <v>-1</v>
      </c>
      <c r="W58" s="26">
        <f>MIRR($H$52:W52,$G$56,$G$55)</f>
        <v>-1</v>
      </c>
      <c r="X58" s="26">
        <f>MIRR($H$52:X52,$G$56,$G$55)</f>
        <v>-1</v>
      </c>
      <c r="Y58" s="26">
        <f>MIRR($H$52:Y52,$G$56,$G$55)</f>
        <v>-1</v>
      </c>
      <c r="Z58" s="26">
        <f>MIRR($H$52:Z52,$G$56,$G$55)</f>
        <v>-1</v>
      </c>
      <c r="AA58" s="26">
        <f>MIRR($H$52:AA52,$G$56,$G$55)</f>
        <v>-1</v>
      </c>
      <c r="AB58" s="26">
        <f>MIRR($H$52:AB52,$G$56,$G$55)</f>
        <v>-1</v>
      </c>
      <c r="AC58" s="26">
        <f>MIRR($H$52:AC52,$G$56,$G$55)</f>
        <v>-1</v>
      </c>
      <c r="AD58" s="26">
        <f>MIRR($H$52:AD52,$G$56,$G$55)</f>
        <v>-1</v>
      </c>
      <c r="AE58" s="26">
        <f>MIRR($H$52:AE52,$G$56,$G$55)</f>
        <v>-1</v>
      </c>
      <c r="AF58" s="26">
        <f>MIRR($H$52:AF52,$G$56,$G$55)</f>
        <v>-1</v>
      </c>
      <c r="AG58" s="26">
        <f>MIRR($H$52:AG52,$G$56,$G$55)</f>
        <v>-1</v>
      </c>
      <c r="AH58" s="26">
        <f>MIRR($H$52:AH52,$G$56,$G$55)</f>
        <v>-1</v>
      </c>
      <c r="AI58" s="26">
        <f>MIRR($H$52:AI52,$G$56,$G$55)</f>
        <v>-1</v>
      </c>
      <c r="AJ58" s="26">
        <f>MIRR($H$52:AJ52,$G$56,$G$55)</f>
        <v>-1</v>
      </c>
      <c r="AK58" s="26">
        <f>MIRR($H$52:AK52,$G$56,$G$55)</f>
        <v>-1</v>
      </c>
      <c r="AL58" s="26">
        <f>MIRR($H$52:AL52,$G$56,$G$55)</f>
        <v>-1</v>
      </c>
      <c r="AM58" s="26">
        <f>MIRR($H$52:AM52,$G$56,$G$55)</f>
        <v>-1</v>
      </c>
      <c r="AN58" s="26">
        <f>MIRR($H$52:AN52,$G$56,$G$55)</f>
        <v>-6.0962353990842932E-2</v>
      </c>
      <c r="AO58" s="26">
        <f>MIRR($H$52:AO52,$G$56,$G$55)</f>
        <v>-5.9093321337309823E-2</v>
      </c>
      <c r="AP58" s="26">
        <f>MIRR($H$52:AP52,$G$56,$G$55)</f>
        <v>-5.7329758570801026E-2</v>
      </c>
      <c r="AQ58" s="26">
        <f>MIRR($H$52:AQ52,$G$56,$G$55)</f>
        <v>-5.5662901786776131E-2</v>
      </c>
      <c r="AR58" s="26">
        <f>MIRR($H$52:AR52,$G$56,$G$55)</f>
        <v>-5.4084931955158955E-2</v>
      </c>
      <c r="AS58" s="26">
        <f>MIRR($H$52:AS52,$G$56,$G$55)</f>
        <v>-5.2588850945107679E-2</v>
      </c>
      <c r="AT58" s="26">
        <f>MIRR($H$52:AT52,$G$56,$G$55)</f>
        <v>-5.1168376565155826E-2</v>
      </c>
      <c r="AU58" s="26">
        <f>MIRR($H$52:AU52,$G$56,$G$55)</f>
        <v>-4.9817853301798332E-2</v>
      </c>
      <c r="AV58" s="26">
        <f>MIRR($H$52:AV52,$G$56,$G$55)</f>
        <v>-4.8532176084579826E-2</v>
      </c>
      <c r="AW58" s="26">
        <f>MIRR($H$52:AW52,$G$56,$G$55)</f>
        <v>-4.7306724913014353E-2</v>
      </c>
      <c r="AX58" s="26">
        <f>MIRR($H$52:AX52,$G$56,$G$55)</f>
        <v>-4.6137308582131054E-2</v>
      </c>
      <c r="AY58" s="26">
        <f>MIRR($H$52:AY52,$G$56,$G$55)</f>
        <v>-4.5020116063062665E-2</v>
      </c>
      <c r="AZ58" s="26">
        <f>MIRR($H$52:AZ52,$G$56,$G$55)</f>
        <v>-4.3951674350991676E-2</v>
      </c>
      <c r="BA58" s="26">
        <f>MIRR($H$52:BA52,$G$56,$G$55)</f>
        <v>-4.292881179875141E-2</v>
      </c>
      <c r="BB58" s="26">
        <f>MIRR($H$52:BB52,$G$56,$G$55)</f>
        <v>-4.1948626121037225E-2</v>
      </c>
      <c r="BC58" s="26">
        <f>MIRR($H$52:BC52,$G$56,$G$55)</f>
        <v>-4.100845638967443E-2</v>
      </c>
      <c r="BD58" s="26">
        <f>MIRR($H$52:BD52,$G$56,$G$55)</f>
        <v>-4.0105858451067178E-2</v>
      </c>
      <c r="BE58" s="26">
        <f>MIRR($H$52:BE52,$G$56,$G$55)</f>
        <v>-3.9238583287754869E-2</v>
      </c>
      <c r="BF58" s="26">
        <f>MIRR($H$52:BF52,$G$56,$G$55)</f>
        <v>-3.8404557920824423E-2</v>
      </c>
      <c r="BG58" s="26">
        <f>MIRR($H$52:BG52,$G$56,$G$55)</f>
        <v>-3.7601868511829561E-2</v>
      </c>
      <c r="BH58" s="26">
        <f>MIRR($H$52:BH52,$G$56,$G$55)</f>
        <v>-3.6828745374281491E-2</v>
      </c>
      <c r="BI58" s="26">
        <f>MIRR($H$52:BI52,$G$56,$G$55)</f>
        <v>-3.6083549647640489E-2</v>
      </c>
      <c r="BJ58" s="26">
        <f>MIRR($H$52:BJ52,$G$56,$G$55)</f>
        <v>-3.5364761422604141E-2</v>
      </c>
      <c r="BK58" s="26">
        <f>MIRR($H$52:BK52,$G$56,$G$55)</f>
        <v>-3.4670969136602392E-2</v>
      </c>
      <c r="BL58" s="26">
        <f>MIRR($H$52:BL52,$G$56,$G$55)</f>
        <v>-3.400086008377623E-2</v>
      </c>
      <c r="BM58" s="26">
        <f>MIRR($H$52:BM52,$G$56,$G$55)</f>
        <v>-3.3353211905158497E-2</v>
      </c>
      <c r="BN58" s="26">
        <f>MIRR($H$52:BN52,$G$56,$G$55)</f>
        <v>-3.2726884942950729E-2</v>
      </c>
      <c r="BO58" s="26">
        <f>MIRR($H$52:BO52,$G$56,$G$55)</f>
        <v>-3.2120815358243182E-2</v>
      </c>
      <c r="BP58" s="26">
        <f>MIRR($H$52:BP52,$G$56,$G$55)</f>
        <v>-3.1534008924704482E-2</v>
      </c>
      <c r="BQ58" s="26">
        <f>MIRR($H$52:BQ52,$G$56,$G$55)</f>
        <v>-3.0965535422036394E-2</v>
      </c>
      <c r="BR58" s="26">
        <f>MIRR($H$52:BR52,$G$56,$G$55)</f>
        <v>-3.0414523562648732E-2</v>
      </c>
      <c r="BS58" s="26">
        <f>MIRR($H$52:BS52,$G$56,$G$55)</f>
        <v>-2.9880156393317647E-2</v>
      </c>
      <c r="BT58" s="26">
        <f>MIRR($H$52:BT52,$G$56,$G$55)</f>
        <v>-2.936166712074495E-2</v>
      </c>
      <c r="BU58" s="26">
        <f>MIRR($H$52:BU52,$G$56,$G$55)</f>
        <v>-2.8858335316120587E-2</v>
      </c>
      <c r="BV58" s="26">
        <f>MIRR($H$52:BV52,$G$56,$G$55)</f>
        <v>-2.8369483459141809E-2</v>
      </c>
      <c r="BW58" s="26">
        <f>MIRR($H$52:BW52,$G$56,$G$55)</f>
        <v>-2.7894473786592044E-2</v>
      </c>
      <c r="BX58" s="26">
        <f>MIRR($H$52:BX52,$G$56,$G$55)</f>
        <v>-2.7432705414617842E-2</v>
      </c>
      <c r="BY58" s="26">
        <f>MIRR($H$52:BY52,$G$56,$G$55)</f>
        <v>-2.6983611707371069E-2</v>
      </c>
      <c r="BZ58" s="26">
        <f>MIRR($H$52:BZ52,$G$56,$G$55)</f>
        <v>-2.6546657867752566E-2</v>
      </c>
      <c r="CA58" s="26">
        <f>MIRR($H$52:CA52,$G$56,$G$55)</f>
        <v>-2.6121338728692045E-2</v>
      </c>
      <c r="CB58" s="26">
        <f>MIRR($H$52:CB52,$G$56,$G$55)</f>
        <v>-2.5707176725755509E-2</v>
      </c>
      <c r="CC58" s="26">
        <f>MIRR($H$52:CC52,$G$56,$G$55)</f>
        <v>-2.5303720033945876E-2</v>
      </c>
      <c r="CD58" s="26">
        <f>MIRR($H$52:CD52,$G$56,$G$55)</f>
        <v>-2.491054085339206E-2</v>
      </c>
      <c r="CE58" s="26">
        <f>MIRR($H$52:CE52,$G$56,$G$55)</f>
        <v>-2.4527233830223261E-2</v>
      </c>
      <c r="CF58" s="26">
        <f>MIRR($H$52:CF52,$G$56,$G$55)</f>
        <v>-2.4153414600356471E-2</v>
      </c>
      <c r="CG58" s="26">
        <f>MIRR($H$52:CG52,$G$56,$G$55)</f>
        <v>-2.3788718445174495E-2</v>
      </c>
      <c r="CH58" s="26">
        <f>MIRR($H$52:CH52,$G$56,$G$55)</f>
        <v>-2.3432799049191266E-2</v>
      </c>
      <c r="CI58" s="26">
        <f>MIRR($H$52:CI52,$G$56,$G$55)</f>
        <v>-2.3085327350790164E-2</v>
      </c>
      <c r="CJ58" s="26">
        <f>MIRR($H$52:CJ52,$G$56,$G$55)</f>
        <v>-2.2745990477997857E-2</v>
      </c>
      <c r="CK58" s="26">
        <f>MIRR($H$52:CK52,$G$56,$G$55)</f>
        <v>-2.2414490762043715E-2</v>
      </c>
      <c r="CL58" s="26">
        <f>MIRR($H$52:CL52,$G$56,$G$55)</f>
        <v>-2.2090544822148339E-2</v>
      </c>
      <c r="CM58" s="26">
        <f>MIRR($H$52:CM52,$G$56,$G$55)</f>
        <v>-2.1773882715612869E-2</v>
      </c>
      <c r="CN58" s="26">
        <f>MIRR($H$52:CN52,$G$56,$G$55)</f>
        <v>-2.1464247147833904E-2</v>
      </c>
      <c r="CO58" s="26">
        <f>MIRR($H$52:CO52,$G$56,$G$55)</f>
        <v>-2.1161392737373053E-2</v>
      </c>
      <c r="CP58" s="26">
        <f>MIRR($H$52:CP52,$G$56,$G$55)</f>
        <v>-2.0865085331653321E-2</v>
      </c>
      <c r="CQ58" s="26">
        <f>MIRR($H$52:CQ52,$G$56,$G$55)</f>
        <v>-2.0575101369258553E-2</v>
      </c>
      <c r="CR58" s="26">
        <f>MIRR($H$52:CR52,$G$56,$G$55)</f>
        <v>-2.0291227285175295E-2</v>
      </c>
      <c r="CS58" s="26">
        <f>MIRR($H$52:CS52,$G$56,$G$55)</f>
        <v>-2.0013258955637547E-2</v>
      </c>
      <c r="CT58" s="26">
        <f>MIRR($H$52:CT52,$G$56,$G$55)</f>
        <v>-1.9741001179531037E-2</v>
      </c>
      <c r="CU58" s="26">
        <f>MIRR($H$52:CU52,$G$56,$G$55)</f>
        <v>-1.9493214214815091E-2</v>
      </c>
    </row>
    <row r="59" spans="1:99" x14ac:dyDescent="0.25">
      <c r="F59" s="36"/>
      <c r="G59" s="45"/>
      <c r="H59" s="37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</row>
  </sheetData>
  <mergeCells count="8">
    <mergeCell ref="BO53:BZ53"/>
    <mergeCell ref="CA53:CL53"/>
    <mergeCell ref="CM53:CU53"/>
    <mergeCell ref="H53:R53"/>
    <mergeCell ref="S53:AD53"/>
    <mergeCell ref="AE53:AP53"/>
    <mergeCell ref="AQ53:BB53"/>
    <mergeCell ref="BC53:BN53"/>
  </mergeCells>
  <conditionalFormatting sqref="AG19 AG22 AJ19 AJ22 AM19 AM22 AP19 AP22">
    <cfRule type="cellIs" dxfId="42" priority="13" stopIfTrue="1" operator="equal">
      <formula>#REF!</formula>
    </cfRule>
  </conditionalFormatting>
  <conditionalFormatting sqref="Y22:AF22 AH19:AI19 AH22:AI22 AK19:AL19 AK22:AL22 AN19:AO19 AN22:AO22 H33:V39 W33:CU36 W38:BC38 W39:CU39 N24:R24 H23:M24 N23:CU23 H16:W17 Y16:CU16 X17:CU17 H6:W11 X9:Y11 Y7:AM7 X8:AM8 X6:AM6 Z9:AM9 Z10:CU11 AN6:CU9 Y19:AF19 H40:CU45 H2:CU5 H13:CU15 H18:H22 AQ19:CU19 H25:CU32 K22:R22 K19:R19 K18:U18 Z18:AM18 K21:U21 Z21:AM21 K20:AI20 AQ22:CU22 AS18:CU18 AS20:CU21">
    <cfRule type="cellIs" dxfId="41" priority="15" stopIfTrue="1" operator="equal">
      <formula>#REF!</formula>
    </cfRule>
  </conditionalFormatting>
  <conditionalFormatting sqref="X7 X16 S19:X19 S22:X22 W37:CU37 S24:CU24">
    <cfRule type="cellIs" dxfId="40" priority="14" stopIfTrue="1" operator="equal">
      <formula>#REF!</formula>
    </cfRule>
  </conditionalFormatting>
  <conditionalFormatting sqref="H12:CU12">
    <cfRule type="cellIs" dxfId="39" priority="12" stopIfTrue="1" operator="equal">
      <formula>#REF!</formula>
    </cfRule>
  </conditionalFormatting>
  <conditionalFormatting sqref="H46:AN46">
    <cfRule type="cellIs" dxfId="38" priority="11" stopIfTrue="1" operator="equal">
      <formula>#REF!</formula>
    </cfRule>
  </conditionalFormatting>
  <conditionalFormatting sqref="H47:AN47">
    <cfRule type="cellIs" dxfId="37" priority="10" stopIfTrue="1" operator="equal">
      <formula>#REF!</formula>
    </cfRule>
  </conditionalFormatting>
  <conditionalFormatting sqref="AO46:CU46">
    <cfRule type="cellIs" dxfId="36" priority="9" stopIfTrue="1" operator="equal">
      <formula>#REF!</formula>
    </cfRule>
  </conditionalFormatting>
  <conditionalFormatting sqref="AO47:CU47">
    <cfRule type="cellIs" dxfId="35" priority="8" stopIfTrue="1" operator="equal">
      <formula>#REF!</formula>
    </cfRule>
  </conditionalFormatting>
  <conditionalFormatting sqref="I18:J22">
    <cfRule type="cellIs" dxfId="34" priority="7" stopIfTrue="1" operator="equal">
      <formula>#REF!</formula>
    </cfRule>
  </conditionalFormatting>
  <conditionalFormatting sqref="V18:Y18">
    <cfRule type="cellIs" dxfId="33" priority="6" stopIfTrue="1" operator="equal">
      <formula>#REF!</formula>
    </cfRule>
  </conditionalFormatting>
  <conditionalFormatting sqref="V21:Y21">
    <cfRule type="cellIs" dxfId="32" priority="5" stopIfTrue="1" operator="equal">
      <formula>#REF!</formula>
    </cfRule>
  </conditionalFormatting>
  <conditionalFormatting sqref="AJ20:AM20">
    <cfRule type="cellIs" dxfId="31" priority="4" stopIfTrue="1" operator="equal">
      <formula>#REF!</formula>
    </cfRule>
  </conditionalFormatting>
  <conditionalFormatting sqref="AN18:AR18">
    <cfRule type="cellIs" dxfId="30" priority="3" stopIfTrue="1" operator="equal">
      <formula>#REF!</formula>
    </cfRule>
  </conditionalFormatting>
  <conditionalFormatting sqref="AN20:AR20">
    <cfRule type="cellIs" dxfId="29" priority="2" stopIfTrue="1" operator="equal">
      <formula>#REF!</formula>
    </cfRule>
  </conditionalFormatting>
  <conditionalFormatting sqref="AN21:AR21">
    <cfRule type="cellIs" dxfId="28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4"/>
  <dimension ref="A1:CU59"/>
  <sheetViews>
    <sheetView zoomScale="85" zoomScaleNormal="85" workbookViewId="0">
      <pane xSplit="7" ySplit="1" topLeftCell="Z11" activePane="bottomRight" state="frozen"/>
      <selection pane="topRight" activeCell="J1" sqref="J1"/>
      <selection pane="bottomLeft" activeCell="A9" sqref="A9"/>
      <selection pane="bottomRight" activeCell="C15" sqref="C15"/>
    </sheetView>
  </sheetViews>
  <sheetFormatPr baseColWidth="10" defaultColWidth="10.7109375" defaultRowHeight="15" x14ac:dyDescent="0.25"/>
  <cols>
    <col min="1" max="1" width="10.7109375" style="11"/>
    <col min="2" max="2" width="24.140625" style="11" bestFit="1" customWidth="1"/>
    <col min="3" max="3" width="58.5703125" style="11" bestFit="1" customWidth="1"/>
    <col min="4" max="4" width="10.7109375" style="12"/>
    <col min="5" max="5" width="14" style="11" customWidth="1"/>
    <col min="6" max="6" width="18" style="11" customWidth="1"/>
    <col min="7" max="7" width="18.28515625" style="39" bestFit="1" customWidth="1"/>
    <col min="8" max="15" width="10.7109375" style="39"/>
    <col min="16" max="16" width="11.42578125" style="39" bestFit="1" customWidth="1"/>
    <col min="17" max="19" width="10.7109375" style="39"/>
    <col min="20" max="20" width="11.42578125" style="39" bestFit="1" customWidth="1"/>
    <col min="21" max="27" width="10.7109375" style="39"/>
    <col min="28" max="39" width="11.42578125" style="39" bestFit="1" customWidth="1"/>
    <col min="40" max="40" width="12.28515625" style="39" bestFit="1" customWidth="1"/>
    <col min="41" max="55" width="10.7109375" style="39"/>
    <col min="56" max="99" width="10.7109375" style="11"/>
    <col min="100" max="100" width="12.85546875" style="11" bestFit="1" customWidth="1"/>
    <col min="101" max="16384" width="10.7109375" style="11"/>
  </cols>
  <sheetData>
    <row r="1" spans="1:99" x14ac:dyDescent="0.25">
      <c r="A1" s="43" t="s">
        <v>191</v>
      </c>
      <c r="B1" s="43" t="s">
        <v>192</v>
      </c>
      <c r="C1" s="43" t="s">
        <v>193</v>
      </c>
      <c r="D1" s="44" t="s">
        <v>184</v>
      </c>
      <c r="E1" s="16" t="s">
        <v>194</v>
      </c>
      <c r="F1" s="16" t="s">
        <v>195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46</v>
      </c>
      <c r="M1" s="17" t="s">
        <v>47</v>
      </c>
      <c r="N1" s="17" t="s">
        <v>48</v>
      </c>
      <c r="O1" s="17" t="s">
        <v>49</v>
      </c>
      <c r="P1" s="17" t="s">
        <v>50</v>
      </c>
      <c r="Q1" s="17" t="s">
        <v>51</v>
      </c>
      <c r="R1" s="17" t="s">
        <v>52</v>
      </c>
      <c r="S1" s="17" t="s">
        <v>53</v>
      </c>
      <c r="T1" s="17" t="s">
        <v>54</v>
      </c>
      <c r="U1" s="17" t="s">
        <v>55</v>
      </c>
      <c r="V1" s="17" t="s">
        <v>56</v>
      </c>
      <c r="W1" s="17" t="s">
        <v>57</v>
      </c>
      <c r="X1" s="17" t="s">
        <v>58</v>
      </c>
      <c r="Y1" s="17" t="s">
        <v>59</v>
      </c>
      <c r="Z1" s="17" t="s">
        <v>60</v>
      </c>
      <c r="AA1" s="17" t="s">
        <v>61</v>
      </c>
      <c r="AB1" s="17" t="s">
        <v>62</v>
      </c>
      <c r="AC1" s="17" t="s">
        <v>63</v>
      </c>
      <c r="AD1" s="17" t="s">
        <v>64</v>
      </c>
      <c r="AE1" s="17" t="s">
        <v>65</v>
      </c>
      <c r="AF1" s="17" t="s">
        <v>66</v>
      </c>
      <c r="AG1" s="17" t="s">
        <v>67</v>
      </c>
      <c r="AH1" s="17" t="s">
        <v>68</v>
      </c>
      <c r="AI1" s="17" t="s">
        <v>69</v>
      </c>
      <c r="AJ1" s="17" t="s">
        <v>70</v>
      </c>
      <c r="AK1" s="17" t="s">
        <v>71</v>
      </c>
      <c r="AL1" s="17" t="s">
        <v>72</v>
      </c>
      <c r="AM1" s="17" t="s">
        <v>73</v>
      </c>
      <c r="AN1" s="17" t="s">
        <v>74</v>
      </c>
      <c r="AO1" s="17" t="s">
        <v>75</v>
      </c>
      <c r="AP1" s="17" t="s">
        <v>76</v>
      </c>
      <c r="AQ1" s="17" t="s">
        <v>77</v>
      </c>
      <c r="AR1" s="17" t="s">
        <v>78</v>
      </c>
      <c r="AS1" s="17" t="s">
        <v>79</v>
      </c>
      <c r="AT1" s="17" t="s">
        <v>80</v>
      </c>
      <c r="AU1" s="17" t="s">
        <v>81</v>
      </c>
      <c r="AV1" s="17" t="s">
        <v>82</v>
      </c>
      <c r="AW1" s="17" t="s">
        <v>83</v>
      </c>
      <c r="AX1" s="17" t="s">
        <v>84</v>
      </c>
      <c r="AY1" s="17" t="s">
        <v>85</v>
      </c>
      <c r="AZ1" s="17" t="s">
        <v>86</v>
      </c>
      <c r="BA1" s="17" t="s">
        <v>87</v>
      </c>
      <c r="BB1" s="17" t="s">
        <v>88</v>
      </c>
      <c r="BC1" s="17" t="s">
        <v>89</v>
      </c>
      <c r="BD1" s="17" t="s">
        <v>96</v>
      </c>
      <c r="BE1" s="17" t="s">
        <v>97</v>
      </c>
      <c r="BF1" s="17" t="s">
        <v>98</v>
      </c>
      <c r="BG1" s="17" t="s">
        <v>99</v>
      </c>
      <c r="BH1" s="17" t="s">
        <v>100</v>
      </c>
      <c r="BI1" s="17" t="s">
        <v>101</v>
      </c>
      <c r="BJ1" s="17" t="s">
        <v>102</v>
      </c>
      <c r="BK1" s="17" t="s">
        <v>103</v>
      </c>
      <c r="BL1" s="17" t="s">
        <v>104</v>
      </c>
      <c r="BM1" s="17" t="s">
        <v>105</v>
      </c>
      <c r="BN1" s="17" t="s">
        <v>106</v>
      </c>
      <c r="BO1" s="17" t="s">
        <v>107</v>
      </c>
      <c r="BP1" s="17" t="s">
        <v>108</v>
      </c>
      <c r="BQ1" s="17" t="s">
        <v>109</v>
      </c>
      <c r="BR1" s="17" t="s">
        <v>110</v>
      </c>
      <c r="BS1" s="17" t="s">
        <v>111</v>
      </c>
      <c r="BT1" s="17" t="s">
        <v>112</v>
      </c>
      <c r="BU1" s="17" t="s">
        <v>113</v>
      </c>
      <c r="BV1" s="17" t="s">
        <v>114</v>
      </c>
      <c r="BW1" s="17" t="s">
        <v>115</v>
      </c>
      <c r="BX1" s="17" t="s">
        <v>116</v>
      </c>
      <c r="BY1" s="17" t="s">
        <v>117</v>
      </c>
      <c r="BZ1" s="17" t="s">
        <v>118</v>
      </c>
      <c r="CA1" s="17" t="s">
        <v>119</v>
      </c>
      <c r="CB1" s="17" t="s">
        <v>120</v>
      </c>
      <c r="CC1" s="17" t="s">
        <v>121</v>
      </c>
      <c r="CD1" s="17" t="s">
        <v>122</v>
      </c>
      <c r="CE1" s="17" t="s">
        <v>123</v>
      </c>
      <c r="CF1" s="17" t="s">
        <v>124</v>
      </c>
      <c r="CG1" s="17" t="s">
        <v>125</v>
      </c>
      <c r="CH1" s="17" t="s">
        <v>126</v>
      </c>
      <c r="CI1" s="17" t="s">
        <v>127</v>
      </c>
      <c r="CJ1" s="17" t="s">
        <v>128</v>
      </c>
      <c r="CK1" s="17" t="s">
        <v>129</v>
      </c>
      <c r="CL1" s="17" t="s">
        <v>130</v>
      </c>
      <c r="CM1" s="17" t="s">
        <v>131</v>
      </c>
      <c r="CN1" s="17" t="s">
        <v>132</v>
      </c>
      <c r="CO1" s="17" t="s">
        <v>133</v>
      </c>
      <c r="CP1" s="17" t="s">
        <v>134</v>
      </c>
      <c r="CQ1" s="17" t="s">
        <v>135</v>
      </c>
      <c r="CR1" s="17" t="s">
        <v>136</v>
      </c>
      <c r="CS1" s="17" t="s">
        <v>137</v>
      </c>
      <c r="CT1" s="17" t="s">
        <v>138</v>
      </c>
      <c r="CU1" s="17" t="s">
        <v>139</v>
      </c>
    </row>
    <row r="2" spans="1:99" x14ac:dyDescent="0.25">
      <c r="A2" s="11" t="s">
        <v>4</v>
      </c>
      <c r="B2" s="11" t="s">
        <v>159</v>
      </c>
      <c r="C2" s="11" t="s">
        <v>31</v>
      </c>
      <c r="D2" s="40">
        <v>1</v>
      </c>
      <c r="E2" s="18">
        <v>5800</v>
      </c>
      <c r="F2" s="19">
        <f>D2*E2</f>
        <v>5800</v>
      </c>
      <c r="G2" s="20">
        <v>-5800</v>
      </c>
      <c r="H2" s="21">
        <v>0</v>
      </c>
      <c r="I2" s="21">
        <f>G2</f>
        <v>-5800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1">
        <v>0</v>
      </c>
      <c r="AG2" s="21">
        <v>0</v>
      </c>
      <c r="AH2" s="21">
        <v>0</v>
      </c>
      <c r="AI2" s="21">
        <v>0</v>
      </c>
      <c r="AJ2" s="21">
        <v>0</v>
      </c>
      <c r="AK2" s="21">
        <v>0</v>
      </c>
      <c r="AL2" s="21">
        <v>0</v>
      </c>
      <c r="AM2" s="21">
        <v>0</v>
      </c>
      <c r="AN2" s="21">
        <v>0</v>
      </c>
      <c r="AO2" s="21">
        <v>0</v>
      </c>
      <c r="AP2" s="21">
        <v>0</v>
      </c>
      <c r="AQ2" s="21">
        <v>0</v>
      </c>
      <c r="AR2" s="21">
        <v>0</v>
      </c>
      <c r="AS2" s="21">
        <v>0</v>
      </c>
      <c r="AT2" s="21">
        <v>0</v>
      </c>
      <c r="AU2" s="21">
        <v>0</v>
      </c>
      <c r="AV2" s="21">
        <v>0</v>
      </c>
      <c r="AW2" s="21">
        <v>0</v>
      </c>
      <c r="AX2" s="21">
        <v>0</v>
      </c>
      <c r="AY2" s="21">
        <v>0</v>
      </c>
      <c r="AZ2" s="21">
        <v>0</v>
      </c>
      <c r="BA2" s="21">
        <v>0</v>
      </c>
      <c r="BB2" s="21">
        <v>0</v>
      </c>
      <c r="BC2" s="21">
        <v>0</v>
      </c>
      <c r="BD2" s="21">
        <v>0</v>
      </c>
      <c r="BE2" s="21">
        <v>0</v>
      </c>
      <c r="BF2" s="21">
        <v>0</v>
      </c>
      <c r="BG2" s="21">
        <v>0</v>
      </c>
      <c r="BH2" s="21">
        <v>0</v>
      </c>
      <c r="BI2" s="21">
        <v>0</v>
      </c>
      <c r="BJ2" s="21">
        <v>0</v>
      </c>
      <c r="BK2" s="21">
        <v>0</v>
      </c>
      <c r="BL2" s="21">
        <v>0</v>
      </c>
      <c r="BM2" s="21">
        <v>0</v>
      </c>
      <c r="BN2" s="21">
        <v>0</v>
      </c>
      <c r="BO2" s="21">
        <v>0</v>
      </c>
      <c r="BP2" s="21">
        <v>0</v>
      </c>
      <c r="BQ2" s="21">
        <v>0</v>
      </c>
      <c r="BR2" s="21">
        <v>0</v>
      </c>
      <c r="BS2" s="21">
        <v>0</v>
      </c>
      <c r="BT2" s="21">
        <v>0</v>
      </c>
      <c r="BU2" s="21">
        <v>0</v>
      </c>
      <c r="BV2" s="21">
        <v>0</v>
      </c>
      <c r="BW2" s="21">
        <v>0</v>
      </c>
      <c r="BX2" s="21">
        <v>0</v>
      </c>
      <c r="BY2" s="21">
        <v>0</v>
      </c>
      <c r="BZ2" s="21">
        <v>0</v>
      </c>
      <c r="CA2" s="21">
        <v>0</v>
      </c>
      <c r="CB2" s="21">
        <v>0</v>
      </c>
      <c r="CC2" s="21">
        <v>0</v>
      </c>
      <c r="CD2" s="21">
        <v>0</v>
      </c>
      <c r="CE2" s="21">
        <v>0</v>
      </c>
      <c r="CF2" s="21">
        <v>0</v>
      </c>
      <c r="CG2" s="21">
        <v>0</v>
      </c>
      <c r="CH2" s="21">
        <v>0</v>
      </c>
      <c r="CI2" s="21">
        <v>0</v>
      </c>
      <c r="CJ2" s="21">
        <v>0</v>
      </c>
      <c r="CK2" s="21">
        <v>0</v>
      </c>
      <c r="CL2" s="21">
        <v>0</v>
      </c>
      <c r="CM2" s="21">
        <v>0</v>
      </c>
      <c r="CN2" s="21">
        <v>0</v>
      </c>
      <c r="CO2" s="21">
        <v>0</v>
      </c>
      <c r="CP2" s="21">
        <v>0</v>
      </c>
      <c r="CQ2" s="21">
        <v>0</v>
      </c>
      <c r="CR2" s="21">
        <v>0</v>
      </c>
      <c r="CS2" s="21">
        <v>0</v>
      </c>
      <c r="CT2" s="21">
        <v>0</v>
      </c>
      <c r="CU2" s="21">
        <v>0</v>
      </c>
    </row>
    <row r="3" spans="1:99" x14ac:dyDescent="0.25">
      <c r="A3" s="11" t="s">
        <v>4</v>
      </c>
      <c r="B3" s="11" t="s">
        <v>159</v>
      </c>
      <c r="C3" s="11" t="s">
        <v>18</v>
      </c>
      <c r="D3" s="41">
        <v>1</v>
      </c>
      <c r="E3" s="19">
        <v>1200</v>
      </c>
      <c r="F3" s="19">
        <f>D3*E3</f>
        <v>1200</v>
      </c>
      <c r="G3" s="13">
        <v>-1200</v>
      </c>
      <c r="H3" s="14">
        <v>0</v>
      </c>
      <c r="I3" s="14">
        <v>0</v>
      </c>
      <c r="J3" s="14">
        <v>0</v>
      </c>
      <c r="K3" s="14">
        <f>G3</f>
        <v>-1200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14">
        <v>0</v>
      </c>
      <c r="BU3" s="14">
        <v>0</v>
      </c>
      <c r="BV3" s="14">
        <v>0</v>
      </c>
      <c r="BW3" s="14">
        <v>0</v>
      </c>
      <c r="BX3" s="14">
        <v>0</v>
      </c>
      <c r="BY3" s="14">
        <v>0</v>
      </c>
      <c r="BZ3" s="14">
        <v>0</v>
      </c>
      <c r="CA3" s="14">
        <v>0</v>
      </c>
      <c r="CB3" s="14">
        <v>0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H3" s="14">
        <v>0</v>
      </c>
      <c r="CI3" s="14">
        <v>0</v>
      </c>
      <c r="CJ3" s="14">
        <v>0</v>
      </c>
      <c r="CK3" s="14">
        <v>0</v>
      </c>
      <c r="CL3" s="14">
        <v>0</v>
      </c>
      <c r="CM3" s="14">
        <v>0</v>
      </c>
      <c r="CN3" s="14">
        <v>0</v>
      </c>
      <c r="CO3" s="14">
        <v>0</v>
      </c>
      <c r="CP3" s="14">
        <v>0</v>
      </c>
      <c r="CQ3" s="14">
        <v>0</v>
      </c>
      <c r="CR3" s="14">
        <v>0</v>
      </c>
      <c r="CS3" s="14">
        <v>0</v>
      </c>
      <c r="CT3" s="14">
        <v>0</v>
      </c>
      <c r="CU3" s="14">
        <v>0</v>
      </c>
    </row>
    <row r="4" spans="1:99" x14ac:dyDescent="0.25">
      <c r="A4" s="11" t="s">
        <v>4</v>
      </c>
      <c r="B4" s="11" t="s">
        <v>159</v>
      </c>
      <c r="C4" s="11" t="s">
        <v>19</v>
      </c>
      <c r="D4" s="41">
        <v>1</v>
      </c>
      <c r="E4" s="19">
        <v>4500</v>
      </c>
      <c r="F4" s="19">
        <f>E4*D4</f>
        <v>4500</v>
      </c>
      <c r="G4" s="13">
        <v>-4500</v>
      </c>
      <c r="H4" s="14">
        <v>0</v>
      </c>
      <c r="I4" s="14">
        <v>0</v>
      </c>
      <c r="J4" s="14">
        <v>0</v>
      </c>
      <c r="K4" s="14">
        <f>G4</f>
        <v>-4500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14">
        <v>0</v>
      </c>
      <c r="BV4" s="14">
        <v>0</v>
      </c>
      <c r="BW4" s="14">
        <v>0</v>
      </c>
      <c r="BX4" s="14">
        <v>0</v>
      </c>
      <c r="BY4" s="14">
        <v>0</v>
      </c>
      <c r="BZ4" s="14">
        <v>0</v>
      </c>
      <c r="CA4" s="14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  <c r="CN4" s="14">
        <v>0</v>
      </c>
      <c r="CO4" s="14">
        <v>0</v>
      </c>
      <c r="CP4" s="14">
        <v>0</v>
      </c>
      <c r="CQ4" s="14">
        <v>0</v>
      </c>
      <c r="CR4" s="14">
        <v>0</v>
      </c>
      <c r="CS4" s="14">
        <v>0</v>
      </c>
      <c r="CT4" s="14">
        <v>0</v>
      </c>
      <c r="CU4" s="14">
        <v>0</v>
      </c>
    </row>
    <row r="5" spans="1:99" x14ac:dyDescent="0.25">
      <c r="A5" s="11" t="s">
        <v>4</v>
      </c>
      <c r="B5" s="11" t="s">
        <v>159</v>
      </c>
      <c r="C5" s="11" t="s">
        <v>9</v>
      </c>
      <c r="D5" s="41">
        <v>0.21</v>
      </c>
      <c r="E5" s="19">
        <f>F3+F4+F2</f>
        <v>11500</v>
      </c>
      <c r="F5" s="19">
        <f>D5*E5</f>
        <v>2415</v>
      </c>
      <c r="G5" s="13">
        <f>(G2+G3+G4)*0.21</f>
        <v>-2415</v>
      </c>
      <c r="H5" s="14">
        <f>(H2+H3+H4)*0.21</f>
        <v>0</v>
      </c>
      <c r="I5" s="14">
        <f>(I2+I3+I4)*0.21</f>
        <v>-1218</v>
      </c>
      <c r="J5" s="14">
        <v>0</v>
      </c>
      <c r="K5" s="14">
        <f>(K2+K3+K4)*0.21</f>
        <v>-1197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</row>
    <row r="6" spans="1:99" x14ac:dyDescent="0.25">
      <c r="A6" s="11" t="s">
        <v>4</v>
      </c>
      <c r="B6" s="11" t="s">
        <v>160</v>
      </c>
      <c r="C6" s="11" t="s">
        <v>15</v>
      </c>
      <c r="D6" s="12">
        <v>5.6099999999999997E-2</v>
      </c>
      <c r="E6" s="11">
        <f>F16</f>
        <v>435994.64999999997</v>
      </c>
      <c r="F6" s="11">
        <f>E6*D6</f>
        <v>24459.299864999997</v>
      </c>
      <c r="G6" s="20">
        <f t="shared" ref="G6:G37" si="0">-F6</f>
        <v>-24459.299864999997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f>G6</f>
        <v>-24459.299864999997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1">
        <v>0</v>
      </c>
      <c r="BA6" s="21">
        <v>0</v>
      </c>
      <c r="BB6" s="21">
        <v>0</v>
      </c>
      <c r="BC6" s="21">
        <v>0</v>
      </c>
      <c r="BD6" s="21">
        <v>0</v>
      </c>
      <c r="BE6" s="21">
        <v>0</v>
      </c>
      <c r="BF6" s="21">
        <v>0</v>
      </c>
      <c r="BG6" s="21">
        <v>0</v>
      </c>
      <c r="BH6" s="21">
        <v>0</v>
      </c>
      <c r="BI6" s="21">
        <v>0</v>
      </c>
      <c r="BJ6" s="21">
        <v>0</v>
      </c>
      <c r="BK6" s="21">
        <v>0</v>
      </c>
      <c r="BL6" s="21">
        <v>0</v>
      </c>
      <c r="BM6" s="21">
        <v>0</v>
      </c>
      <c r="BN6" s="21">
        <v>0</v>
      </c>
      <c r="BO6" s="21">
        <v>0</v>
      </c>
      <c r="BP6" s="21">
        <v>0</v>
      </c>
      <c r="BQ6" s="21">
        <v>0</v>
      </c>
      <c r="BR6" s="21">
        <v>0</v>
      </c>
      <c r="BS6" s="21">
        <v>0</v>
      </c>
      <c r="BT6" s="21">
        <v>0</v>
      </c>
      <c r="BU6" s="21">
        <v>0</v>
      </c>
      <c r="BV6" s="21">
        <v>0</v>
      </c>
      <c r="BW6" s="21">
        <v>0</v>
      </c>
      <c r="BX6" s="21">
        <v>0</v>
      </c>
      <c r="BY6" s="21">
        <v>0</v>
      </c>
      <c r="BZ6" s="21">
        <v>0</v>
      </c>
      <c r="CA6" s="21">
        <v>0</v>
      </c>
      <c r="CB6" s="21">
        <v>0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0</v>
      </c>
      <c r="CI6" s="21">
        <v>0</v>
      </c>
      <c r="CJ6" s="21">
        <v>0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</row>
    <row r="7" spans="1:99" x14ac:dyDescent="0.25">
      <c r="A7" s="11" t="s">
        <v>4</v>
      </c>
      <c r="B7" s="11" t="s">
        <v>160</v>
      </c>
      <c r="C7" s="11" t="s">
        <v>16</v>
      </c>
      <c r="D7" s="12">
        <v>4.7699999999999999E-2</v>
      </c>
      <c r="E7" s="11">
        <f>F16</f>
        <v>435994.64999999997</v>
      </c>
      <c r="F7" s="11">
        <f>E7*D7</f>
        <v>20796.944804999999</v>
      </c>
      <c r="G7" s="13">
        <f t="shared" si="0"/>
        <v>-20796.944804999999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f>G7*0.3</f>
        <v>-6239.0834414999999</v>
      </c>
      <c r="Y7" s="14">
        <f>0.7*G7</f>
        <v>-14557.861363499998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</row>
    <row r="8" spans="1:99" x14ac:dyDescent="0.25">
      <c r="A8" s="11" t="s">
        <v>4</v>
      </c>
      <c r="B8" s="11" t="s">
        <v>160</v>
      </c>
      <c r="C8" s="11" t="s">
        <v>161</v>
      </c>
      <c r="D8" s="12">
        <v>7.0000000000000001E-3</v>
      </c>
      <c r="E8" s="11">
        <f>F16</f>
        <v>435994.64999999997</v>
      </c>
      <c r="F8" s="11">
        <f t="shared" ref="F8:F19" si="1">D8*E8</f>
        <v>3051.9625499999997</v>
      </c>
      <c r="G8" s="13">
        <f t="shared" si="0"/>
        <v>-3051.9625499999997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f>G8*0.5</f>
        <v>-1525.9812749999999</v>
      </c>
      <c r="Y8" s="14">
        <f>G8*0.5</f>
        <v>-1525.9812749999999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</row>
    <row r="9" spans="1:99" x14ac:dyDescent="0.25">
      <c r="A9" s="11" t="s">
        <v>4</v>
      </c>
      <c r="B9" s="11" t="s">
        <v>160</v>
      </c>
      <c r="C9" s="11" t="s">
        <v>13</v>
      </c>
      <c r="D9" s="12">
        <v>5.6099999999999997E-2</v>
      </c>
      <c r="E9" s="11">
        <f>F18+F19</f>
        <v>8057820.9495881498</v>
      </c>
      <c r="F9" s="11">
        <f t="shared" si="1"/>
        <v>452043.75527189521</v>
      </c>
      <c r="G9" s="13">
        <f t="shared" si="0"/>
        <v>-452043.75527189521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f>G9*0.4</f>
        <v>-180817.50210875808</v>
      </c>
      <c r="N9" s="14">
        <v>0</v>
      </c>
      <c r="O9" s="14">
        <v>0</v>
      </c>
      <c r="P9" s="14">
        <f>G9*0.6</f>
        <v>-271226.25316313712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</row>
    <row r="10" spans="1:99" x14ac:dyDescent="0.25">
      <c r="A10" s="11" t="s">
        <v>4</v>
      </c>
      <c r="B10" s="11" t="s">
        <v>160</v>
      </c>
      <c r="C10" s="11" t="s">
        <v>14</v>
      </c>
      <c r="D10" s="12">
        <v>4.7699999999999999E-2</v>
      </c>
      <c r="E10" s="11">
        <f>F18+F19</f>
        <v>8057820.9495881498</v>
      </c>
      <c r="F10" s="11">
        <f t="shared" si="1"/>
        <v>384358.05929535476</v>
      </c>
      <c r="G10" s="13">
        <f t="shared" si="0"/>
        <v>-384358.05929535476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f>$G10/14</f>
        <v>-27454.147092525342</v>
      </c>
      <c r="AA10" s="14">
        <f t="shared" ref="AA10:AM10" si="2">$G10/14</f>
        <v>-27454.147092525342</v>
      </c>
      <c r="AB10" s="14">
        <f t="shared" si="2"/>
        <v>-27454.147092525342</v>
      </c>
      <c r="AC10" s="14">
        <f t="shared" si="2"/>
        <v>-27454.147092525342</v>
      </c>
      <c r="AD10" s="14">
        <f t="shared" si="2"/>
        <v>-27454.147092525342</v>
      </c>
      <c r="AE10" s="14">
        <f t="shared" si="2"/>
        <v>-27454.147092525342</v>
      </c>
      <c r="AF10" s="14">
        <f t="shared" si="2"/>
        <v>-27454.147092525342</v>
      </c>
      <c r="AG10" s="14">
        <f t="shared" si="2"/>
        <v>-27454.147092525342</v>
      </c>
      <c r="AH10" s="14">
        <f t="shared" si="2"/>
        <v>-27454.147092525342</v>
      </c>
      <c r="AI10" s="14">
        <f t="shared" si="2"/>
        <v>-27454.147092525342</v>
      </c>
      <c r="AJ10" s="14">
        <f t="shared" si="2"/>
        <v>-27454.147092525342</v>
      </c>
      <c r="AK10" s="14">
        <f t="shared" si="2"/>
        <v>-27454.147092525342</v>
      </c>
      <c r="AL10" s="14">
        <f t="shared" si="2"/>
        <v>-27454.147092525342</v>
      </c>
      <c r="AM10" s="14">
        <f t="shared" si="2"/>
        <v>-27454.147092525342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</row>
    <row r="11" spans="1:99" x14ac:dyDescent="0.25">
      <c r="A11" s="11" t="s">
        <v>4</v>
      </c>
      <c r="B11" s="11" t="s">
        <v>160</v>
      </c>
      <c r="C11" s="11" t="s">
        <v>162</v>
      </c>
      <c r="D11" s="12">
        <v>7.0000000000000001E-3</v>
      </c>
      <c r="E11" s="11">
        <f>F18+F19</f>
        <v>8057820.9495881498</v>
      </c>
      <c r="F11" s="11">
        <f t="shared" si="1"/>
        <v>56404.746647117048</v>
      </c>
      <c r="G11" s="13">
        <f t="shared" si="0"/>
        <v>-56404.746647117048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f>$G$11/14</f>
        <v>-4028.9104747940751</v>
      </c>
      <c r="AA11" s="14">
        <f t="shared" ref="AA11:AM11" si="3">$G$11/14</f>
        <v>-4028.9104747940751</v>
      </c>
      <c r="AB11" s="14">
        <f t="shared" si="3"/>
        <v>-4028.9104747940751</v>
      </c>
      <c r="AC11" s="14">
        <f t="shared" si="3"/>
        <v>-4028.9104747940751</v>
      </c>
      <c r="AD11" s="14">
        <f t="shared" si="3"/>
        <v>-4028.9104747940751</v>
      </c>
      <c r="AE11" s="14">
        <f t="shared" si="3"/>
        <v>-4028.9104747940751</v>
      </c>
      <c r="AF11" s="14">
        <f t="shared" si="3"/>
        <v>-4028.9104747940751</v>
      </c>
      <c r="AG11" s="14">
        <f t="shared" si="3"/>
        <v>-4028.9104747940751</v>
      </c>
      <c r="AH11" s="14">
        <f t="shared" si="3"/>
        <v>-4028.9104747940751</v>
      </c>
      <c r="AI11" s="14">
        <f t="shared" si="3"/>
        <v>-4028.9104747940751</v>
      </c>
      <c r="AJ11" s="14">
        <f t="shared" si="3"/>
        <v>-4028.9104747940751</v>
      </c>
      <c r="AK11" s="14">
        <f t="shared" si="3"/>
        <v>-4028.9104747940751</v>
      </c>
      <c r="AL11" s="14">
        <f t="shared" si="3"/>
        <v>-4028.9104747940751</v>
      </c>
      <c r="AM11" s="14">
        <f t="shared" si="3"/>
        <v>-4028.9104747940751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</row>
    <row r="12" spans="1:99" x14ac:dyDescent="0.25">
      <c r="A12" s="11" t="s">
        <v>4</v>
      </c>
      <c r="B12" s="11" t="s">
        <v>160</v>
      </c>
      <c r="C12" s="11" t="s">
        <v>140</v>
      </c>
      <c r="D12" s="12">
        <v>0.02</v>
      </c>
      <c r="E12" s="11">
        <f>F19+F18+F16</f>
        <v>8493815.5995881502</v>
      </c>
      <c r="F12" s="11">
        <f t="shared" si="1"/>
        <v>169876.31199176301</v>
      </c>
      <c r="G12" s="13">
        <f t="shared" si="0"/>
        <v>-169876.31199176301</v>
      </c>
      <c r="H12" s="14">
        <v>0</v>
      </c>
      <c r="I12" s="14">
        <v>0</v>
      </c>
      <c r="J12" s="14">
        <v>0</v>
      </c>
      <c r="K12" s="14">
        <f>G12*0.05</f>
        <v>-8493.8155995881516</v>
      </c>
      <c r="L12" s="14">
        <v>0</v>
      </c>
      <c r="M12" s="14">
        <v>0</v>
      </c>
      <c r="N12" s="14">
        <v>0</v>
      </c>
      <c r="O12" s="14">
        <v>0</v>
      </c>
      <c r="P12" s="14">
        <f>G12*0.15</f>
        <v>-25481.446798764449</v>
      </c>
      <c r="Q12" s="14">
        <v>0</v>
      </c>
      <c r="R12" s="14">
        <f>G12*0.05</f>
        <v>-8493.8155995881516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f t="shared" ref="X12:AL12" si="4">$G$12*0.04</f>
        <v>-6795.0524796705204</v>
      </c>
      <c r="Y12" s="14">
        <f t="shared" si="4"/>
        <v>-6795.0524796705204</v>
      </c>
      <c r="Z12" s="14">
        <f t="shared" si="4"/>
        <v>-6795.0524796705204</v>
      </c>
      <c r="AA12" s="14">
        <f t="shared" si="4"/>
        <v>-6795.0524796705204</v>
      </c>
      <c r="AB12" s="14">
        <f t="shared" si="4"/>
        <v>-6795.0524796705204</v>
      </c>
      <c r="AC12" s="14">
        <f t="shared" si="4"/>
        <v>-6795.0524796705204</v>
      </c>
      <c r="AD12" s="14">
        <f t="shared" si="4"/>
        <v>-6795.0524796705204</v>
      </c>
      <c r="AE12" s="14">
        <f t="shared" si="4"/>
        <v>-6795.0524796705204</v>
      </c>
      <c r="AF12" s="14">
        <f t="shared" si="4"/>
        <v>-6795.0524796705204</v>
      </c>
      <c r="AG12" s="14">
        <f t="shared" si="4"/>
        <v>-6795.0524796705204</v>
      </c>
      <c r="AH12" s="14">
        <f t="shared" si="4"/>
        <v>-6795.0524796705204</v>
      </c>
      <c r="AI12" s="14">
        <f t="shared" si="4"/>
        <v>-6795.0524796705204</v>
      </c>
      <c r="AJ12" s="14">
        <f t="shared" si="4"/>
        <v>-6795.0524796705204</v>
      </c>
      <c r="AK12" s="14">
        <f t="shared" si="4"/>
        <v>-6795.0524796705204</v>
      </c>
      <c r="AL12" s="14">
        <f t="shared" si="4"/>
        <v>-6795.0524796705204</v>
      </c>
      <c r="AM12" s="14">
        <f>$G$12*0.04</f>
        <v>-6795.0524796705204</v>
      </c>
      <c r="AN12" s="14">
        <f>G12*0.11</f>
        <v>-18686.394319093932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</row>
    <row r="13" spans="1:99" x14ac:dyDescent="0.25">
      <c r="A13" s="11" t="s">
        <v>4</v>
      </c>
      <c r="B13" s="11" t="s">
        <v>160</v>
      </c>
      <c r="C13" s="11" t="s">
        <v>163</v>
      </c>
      <c r="D13" s="12">
        <v>0.21</v>
      </c>
      <c r="E13" s="11">
        <f>F6+F7+F8</f>
        <v>48308.207219999997</v>
      </c>
      <c r="F13" s="11">
        <f t="shared" si="1"/>
        <v>10144.7235162</v>
      </c>
      <c r="G13" s="13">
        <f t="shared" si="0"/>
        <v>-10144.7235162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f>SUM(M6:M8)*0.21</f>
        <v>-5136.4529716499992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f>(X7+X8)*0.21</f>
        <v>-1630.663590465</v>
      </c>
      <c r="Y13" s="14">
        <f>(Y7+Y8)*0.21</f>
        <v>-3377.6069540849994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</row>
    <row r="14" spans="1:99" x14ac:dyDescent="0.25">
      <c r="A14" s="11" t="s">
        <v>4</v>
      </c>
      <c r="B14" s="11" t="s">
        <v>160</v>
      </c>
      <c r="C14" s="11" t="s">
        <v>164</v>
      </c>
      <c r="D14" s="12">
        <v>0.21</v>
      </c>
      <c r="E14" s="11">
        <f>F9+F10+F11+F12</f>
        <v>1062682.87320613</v>
      </c>
      <c r="F14" s="11">
        <f t="shared" si="1"/>
        <v>223163.40337328729</v>
      </c>
      <c r="G14" s="13">
        <f t="shared" si="0"/>
        <v>-223163.40337328729</v>
      </c>
      <c r="H14" s="14">
        <v>0</v>
      </c>
      <c r="I14" s="14">
        <v>0</v>
      </c>
      <c r="J14" s="14">
        <v>0</v>
      </c>
      <c r="K14" s="14">
        <f>SUM(K9:K12)*0.21</f>
        <v>-1783.7012759135118</v>
      </c>
      <c r="L14" s="14">
        <v>0</v>
      </c>
      <c r="M14" s="14">
        <f>SUM(M9:M12)*0.21</f>
        <v>-37971.675442839194</v>
      </c>
      <c r="N14" s="14">
        <v>0</v>
      </c>
      <c r="O14" s="14">
        <v>0</v>
      </c>
      <c r="P14" s="14">
        <f>SUM(P9:P12)*0.21</f>
        <v>-62308.616991999334</v>
      </c>
      <c r="Q14" s="14">
        <v>0</v>
      </c>
      <c r="R14" s="14">
        <f>SUM(R9:R12)*0.21</f>
        <v>-1783.7012759135118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f t="shared" ref="X14:AN14" si="5">SUM(X9:X12)*0.21</f>
        <v>-1426.9610207308092</v>
      </c>
      <c r="Y14" s="14">
        <f t="shared" si="5"/>
        <v>-1426.9610207308092</v>
      </c>
      <c r="Z14" s="14">
        <f t="shared" si="5"/>
        <v>-8038.403109867887</v>
      </c>
      <c r="AA14" s="14">
        <f t="shared" si="5"/>
        <v>-8038.403109867887</v>
      </c>
      <c r="AB14" s="14">
        <f t="shared" si="5"/>
        <v>-8038.403109867887</v>
      </c>
      <c r="AC14" s="14">
        <f t="shared" si="5"/>
        <v>-8038.403109867887</v>
      </c>
      <c r="AD14" s="14">
        <f t="shared" si="5"/>
        <v>-8038.403109867887</v>
      </c>
      <c r="AE14" s="14">
        <f t="shared" si="5"/>
        <v>-8038.403109867887</v>
      </c>
      <c r="AF14" s="14">
        <f t="shared" si="5"/>
        <v>-8038.403109867887</v>
      </c>
      <c r="AG14" s="14">
        <f t="shared" si="5"/>
        <v>-8038.403109867887</v>
      </c>
      <c r="AH14" s="14">
        <f t="shared" si="5"/>
        <v>-8038.403109867887</v>
      </c>
      <c r="AI14" s="14">
        <f t="shared" si="5"/>
        <v>-8038.403109867887</v>
      </c>
      <c r="AJ14" s="14">
        <f t="shared" si="5"/>
        <v>-8038.403109867887</v>
      </c>
      <c r="AK14" s="14">
        <f t="shared" si="5"/>
        <v>-8038.403109867887</v>
      </c>
      <c r="AL14" s="14">
        <f t="shared" si="5"/>
        <v>-8038.403109867887</v>
      </c>
      <c r="AM14" s="14">
        <f t="shared" si="5"/>
        <v>-8038.403109867887</v>
      </c>
      <c r="AN14" s="14">
        <f t="shared" si="5"/>
        <v>-3924.1428070097254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</row>
    <row r="15" spans="1:99" x14ac:dyDescent="0.25">
      <c r="A15" s="11" t="s">
        <v>4</v>
      </c>
      <c r="B15" s="11" t="s">
        <v>160</v>
      </c>
      <c r="C15" s="11" t="s">
        <v>20</v>
      </c>
      <c r="D15" s="12">
        <v>3.0000000000000001E-3</v>
      </c>
      <c r="E15" s="11">
        <f>F18+F19</f>
        <v>8057820.9495881498</v>
      </c>
      <c r="F15" s="11">
        <f t="shared" si="1"/>
        <v>24173.462848764451</v>
      </c>
      <c r="G15" s="13">
        <f t="shared" si="0"/>
        <v>-24173.462848764451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f>$G$15/14</f>
        <v>-1726.6759177688893</v>
      </c>
      <c r="AA15" s="14">
        <f t="shared" ref="AA15:AM15" si="6">$G$15/14</f>
        <v>-1726.6759177688893</v>
      </c>
      <c r="AB15" s="14">
        <f t="shared" si="6"/>
        <v>-1726.6759177688893</v>
      </c>
      <c r="AC15" s="14">
        <f t="shared" si="6"/>
        <v>-1726.6759177688893</v>
      </c>
      <c r="AD15" s="14">
        <f t="shared" si="6"/>
        <v>-1726.6759177688893</v>
      </c>
      <c r="AE15" s="14">
        <f t="shared" si="6"/>
        <v>-1726.6759177688893</v>
      </c>
      <c r="AF15" s="14">
        <f t="shared" si="6"/>
        <v>-1726.6759177688893</v>
      </c>
      <c r="AG15" s="14">
        <f t="shared" si="6"/>
        <v>-1726.6759177688893</v>
      </c>
      <c r="AH15" s="14">
        <f t="shared" si="6"/>
        <v>-1726.6759177688893</v>
      </c>
      <c r="AI15" s="14">
        <f t="shared" si="6"/>
        <v>-1726.6759177688893</v>
      </c>
      <c r="AJ15" s="14">
        <f t="shared" si="6"/>
        <v>-1726.6759177688893</v>
      </c>
      <c r="AK15" s="14">
        <f t="shared" si="6"/>
        <v>-1726.6759177688893</v>
      </c>
      <c r="AL15" s="14">
        <f t="shared" si="6"/>
        <v>-1726.6759177688893</v>
      </c>
      <c r="AM15" s="14">
        <f t="shared" si="6"/>
        <v>-1726.6759177688893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</row>
    <row r="16" spans="1:99" x14ac:dyDescent="0.25">
      <c r="A16" s="11" t="s">
        <v>4</v>
      </c>
      <c r="B16" s="11" t="s">
        <v>165</v>
      </c>
      <c r="C16" s="11" t="s">
        <v>8</v>
      </c>
      <c r="D16" s="12">
        <f>(98.3*7*13.5)+(59.1*7*13.5)+(62.3*7*13.5)</f>
        <v>20761.649999999998</v>
      </c>
      <c r="E16" s="11">
        <v>21</v>
      </c>
      <c r="F16" s="11">
        <f t="shared" si="1"/>
        <v>435994.64999999997</v>
      </c>
      <c r="G16" s="13">
        <f t="shared" si="0"/>
        <v>-435994.64999999997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f>G16*0.4</f>
        <v>-174397.86</v>
      </c>
      <c r="Y16" s="14">
        <f>G16*0.6</f>
        <v>-261596.78999999998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</row>
    <row r="17" spans="1:99" x14ac:dyDescent="0.25">
      <c r="A17" s="11" t="s">
        <v>4</v>
      </c>
      <c r="B17" s="11" t="s">
        <v>165</v>
      </c>
      <c r="C17" s="11" t="s">
        <v>12</v>
      </c>
      <c r="D17" s="41">
        <v>11735</v>
      </c>
      <c r="E17" s="11">
        <v>5.75</v>
      </c>
      <c r="F17" s="11">
        <f t="shared" si="1"/>
        <v>67476.25</v>
      </c>
      <c r="G17" s="13">
        <f t="shared" si="0"/>
        <v>-67476.25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f>G17*0.4</f>
        <v>-26990.5</v>
      </c>
      <c r="Y17" s="14">
        <f>G17*0.6</f>
        <v>-40485.75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</row>
    <row r="18" spans="1:99" s="19" customFormat="1" x14ac:dyDescent="0.25">
      <c r="A18" s="19" t="s">
        <v>4</v>
      </c>
      <c r="B18" s="19" t="s">
        <v>165</v>
      </c>
      <c r="C18" s="19" t="s">
        <v>2</v>
      </c>
      <c r="D18" s="41">
        <f>10296+1537.9</f>
        <v>11833.9</v>
      </c>
      <c r="E18" s="19">
        <v>680.9100085</v>
      </c>
      <c r="F18" s="19">
        <f t="shared" si="1"/>
        <v>8057820.9495881498</v>
      </c>
      <c r="G18" s="13">
        <f t="shared" si="0"/>
        <v>-8057820.9495881498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f>'evolucion certificaciones nuevo'!E17</f>
        <v>-86437.543904399994</v>
      </c>
      <c r="AA18" s="13">
        <f>'evolucion certificaciones nuevo'!F17</f>
        <v>-242460.86459790001</v>
      </c>
      <c r="AB18" s="13">
        <f>'evolucion certificaciones nuevo'!G17</f>
        <v>-455169.53727569996</v>
      </c>
      <c r="AC18" s="13">
        <f>'evolucion certificaciones nuevo'!H17</f>
        <v>-699969.19108349993</v>
      </c>
      <c r="AD18" s="13">
        <f>'evolucion certificaciones nuevo'!I17</f>
        <v>-536498.7056481</v>
      </c>
      <c r="AE18" s="13">
        <f>'evolucion certificaciones nuevo'!J17</f>
        <v>-463257.02554559999</v>
      </c>
      <c r="AF18" s="13">
        <f>'evolucion certificaciones nuevo'!K17</f>
        <v>-448313.250528</v>
      </c>
      <c r="AG18" s="13">
        <f>'evolucion certificaciones nuevo'!L17</f>
        <v>-455785.13803679997</v>
      </c>
      <c r="AH18" s="13">
        <f>'evolucion certificaciones nuevo'!M17</f>
        <v>-545447.78814239998</v>
      </c>
      <c r="AI18" s="13">
        <f>'evolucion certificaciones nuevo'!N17</f>
        <v>-933985.93859999999</v>
      </c>
      <c r="AJ18" s="13">
        <f>'evolucion certificaciones nuevo'!O17</f>
        <v>-1232861.4389520001</v>
      </c>
      <c r="AK18" s="13">
        <f>'evolucion certificaciones nuevo'!P17</f>
        <v>-904098.38856479991</v>
      </c>
      <c r="AL18" s="13">
        <f>'evolucion certificaciones nuevo'!Q17</f>
        <v>-612694.77572160005</v>
      </c>
      <c r="AM18" s="13">
        <f>'evolucion certificaciones nuevo'!R17</f>
        <v>-440841.36301919998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</row>
    <row r="19" spans="1:99" s="19" customFormat="1" x14ac:dyDescent="0.25">
      <c r="A19" s="19" t="s">
        <v>4</v>
      </c>
      <c r="B19" s="19" t="s">
        <v>165</v>
      </c>
      <c r="C19" s="52" t="s">
        <v>150</v>
      </c>
      <c r="D19" s="41">
        <v>0</v>
      </c>
      <c r="E19" s="19">
        <v>0</v>
      </c>
      <c r="F19" s="19">
        <f t="shared" si="1"/>
        <v>0</v>
      </c>
      <c r="G19" s="13">
        <f t="shared" si="0"/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</row>
    <row r="20" spans="1:99" x14ac:dyDescent="0.25">
      <c r="A20" s="11" t="s">
        <v>4</v>
      </c>
      <c r="B20" s="11" t="s">
        <v>165</v>
      </c>
      <c r="C20" s="11" t="s">
        <v>11</v>
      </c>
      <c r="D20" s="12">
        <v>0.21</v>
      </c>
      <c r="E20" s="11">
        <f>F16</f>
        <v>435994.64999999997</v>
      </c>
      <c r="F20" s="11">
        <f>E20*D20</f>
        <v>91558.876499999984</v>
      </c>
      <c r="G20" s="13">
        <f t="shared" si="0"/>
        <v>-91558.876499999984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f>W16*0.21</f>
        <v>0</v>
      </c>
      <c r="X20" s="14">
        <f>X16*0.21</f>
        <v>-36623.550599999995</v>
      </c>
      <c r="Y20" s="14">
        <f>Y16*0.21</f>
        <v>-54935.325899999996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</row>
    <row r="21" spans="1:99" x14ac:dyDescent="0.25">
      <c r="A21" s="11" t="s">
        <v>4</v>
      </c>
      <c r="B21" s="11" t="s">
        <v>165</v>
      </c>
      <c r="C21" s="11" t="s">
        <v>10</v>
      </c>
      <c r="D21" s="12">
        <v>0.1</v>
      </c>
      <c r="E21" s="11">
        <f>F18+F19</f>
        <v>8057820.9495881498</v>
      </c>
      <c r="F21" s="11">
        <f>E21*D21</f>
        <v>805782.09495881503</v>
      </c>
      <c r="G21" s="13">
        <f t="shared" si="0"/>
        <v>-805782.09495881503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f t="shared" ref="Z21:AM21" si="7">(Z18+Z19)*0.1</f>
        <v>-8643.754390439999</v>
      </c>
      <c r="AA21" s="14">
        <f t="shared" si="7"/>
        <v>-24246.086459790004</v>
      </c>
      <c r="AB21" s="14">
        <f t="shared" si="7"/>
        <v>-45516.953727569999</v>
      </c>
      <c r="AC21" s="14">
        <f t="shared" si="7"/>
        <v>-69996.91910834999</v>
      </c>
      <c r="AD21" s="14">
        <f t="shared" si="7"/>
        <v>-53649.87056481</v>
      </c>
      <c r="AE21" s="14">
        <f t="shared" si="7"/>
        <v>-46325.702554560005</v>
      </c>
      <c r="AF21" s="14">
        <f t="shared" si="7"/>
        <v>-44831.325052800006</v>
      </c>
      <c r="AG21" s="14">
        <f t="shared" si="7"/>
        <v>-45578.513803679998</v>
      </c>
      <c r="AH21" s="14">
        <f t="shared" si="7"/>
        <v>-54544.778814240002</v>
      </c>
      <c r="AI21" s="14">
        <f t="shared" si="7"/>
        <v>-93398.593860000008</v>
      </c>
      <c r="AJ21" s="14">
        <f t="shared" si="7"/>
        <v>-123286.14389520002</v>
      </c>
      <c r="AK21" s="14">
        <f t="shared" si="7"/>
        <v>-90409.838856479997</v>
      </c>
      <c r="AL21" s="14">
        <f t="shared" si="7"/>
        <v>-61269.477572160009</v>
      </c>
      <c r="AM21" s="14">
        <f t="shared" si="7"/>
        <v>-44084.13630192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</row>
    <row r="22" spans="1:99" x14ac:dyDescent="0.25">
      <c r="A22" s="11" t="s">
        <v>4</v>
      </c>
      <c r="B22" s="11" t="s">
        <v>165</v>
      </c>
      <c r="C22" s="11" t="s">
        <v>21</v>
      </c>
      <c r="D22" s="12">
        <v>1</v>
      </c>
      <c r="E22" s="11">
        <v>700</v>
      </c>
      <c r="F22" s="11">
        <f t="shared" ref="F22:F37" si="8">D22*E22</f>
        <v>700</v>
      </c>
      <c r="G22" s="13">
        <f t="shared" si="0"/>
        <v>-700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f>G22</f>
        <v>-700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</row>
    <row r="23" spans="1:99" x14ac:dyDescent="0.25">
      <c r="A23" s="11" t="s">
        <v>4</v>
      </c>
      <c r="B23" s="11" t="s">
        <v>0</v>
      </c>
      <c r="C23" s="11" t="s">
        <v>7</v>
      </c>
      <c r="D23" s="12">
        <f>5%</f>
        <v>0.05</v>
      </c>
      <c r="E23" s="11">
        <f>(F18+F19)</f>
        <v>8057820.9495881498</v>
      </c>
      <c r="F23" s="11">
        <f t="shared" si="8"/>
        <v>402891.04747940751</v>
      </c>
      <c r="G23" s="20">
        <f t="shared" si="0"/>
        <v>-402891.04747940751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f>G23*0.2</f>
        <v>-80578.209495881514</v>
      </c>
      <c r="R23" s="21">
        <v>0</v>
      </c>
      <c r="S23" s="21">
        <v>0</v>
      </c>
      <c r="T23" s="21">
        <f>G23*0.8</f>
        <v>-322312.83798352606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</row>
    <row r="24" spans="1:99" x14ac:dyDescent="0.25">
      <c r="A24" s="11" t="s">
        <v>4</v>
      </c>
      <c r="B24" s="11" t="s">
        <v>0</v>
      </c>
      <c r="C24" s="11" t="s">
        <v>6</v>
      </c>
      <c r="D24" s="12">
        <f>5%</f>
        <v>0.05</v>
      </c>
      <c r="E24" s="11">
        <f>F16</f>
        <v>435994.64999999997</v>
      </c>
      <c r="F24" s="11">
        <f t="shared" si="8"/>
        <v>21799.732499999998</v>
      </c>
      <c r="G24" s="13">
        <f t="shared" si="0"/>
        <v>-21799.732499999998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f>G24*0.2</f>
        <v>-4359.9465</v>
      </c>
      <c r="O24" s="14">
        <v>0</v>
      </c>
      <c r="P24" s="14">
        <f>G24*0.8</f>
        <v>-17439.786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</row>
    <row r="25" spans="1:99" x14ac:dyDescent="0.25">
      <c r="A25" s="11" t="s">
        <v>4</v>
      </c>
      <c r="B25" s="11" t="s">
        <v>0</v>
      </c>
      <c r="C25" s="11" t="s">
        <v>166</v>
      </c>
      <c r="D25" s="12">
        <v>2.9999999999999997E-4</v>
      </c>
      <c r="E25" s="11">
        <f>F18+F19</f>
        <v>8057820.9495881498</v>
      </c>
      <c r="F25" s="11">
        <f t="shared" si="8"/>
        <v>2417.3462848764448</v>
      </c>
      <c r="G25" s="13">
        <f t="shared" si="0"/>
        <v>-2417.3462848764448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f>G25</f>
        <v>-2417.3462848764448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</row>
    <row r="26" spans="1:99" x14ac:dyDescent="0.25">
      <c r="A26" s="11" t="s">
        <v>4</v>
      </c>
      <c r="B26" s="11" t="s">
        <v>0</v>
      </c>
      <c r="C26" s="11" t="s">
        <v>167</v>
      </c>
      <c r="D26" s="12">
        <v>2.0000000000000001E-4</v>
      </c>
      <c r="E26" s="11">
        <f>F18+F19</f>
        <v>8057820.9495881498</v>
      </c>
      <c r="F26" s="11">
        <f t="shared" si="8"/>
        <v>1611.5641899176301</v>
      </c>
      <c r="G26" s="13">
        <f t="shared" si="0"/>
        <v>-1611.5641899176301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f>G26</f>
        <v>-1611.5641899176301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</row>
    <row r="27" spans="1:99" x14ac:dyDescent="0.25">
      <c r="A27" s="11" t="s">
        <v>4</v>
      </c>
      <c r="B27" s="11" t="s">
        <v>0</v>
      </c>
      <c r="C27" s="11" t="s">
        <v>168</v>
      </c>
      <c r="D27" s="12">
        <v>1</v>
      </c>
      <c r="E27" s="11">
        <v>250</v>
      </c>
      <c r="F27" s="11">
        <f t="shared" si="8"/>
        <v>250</v>
      </c>
      <c r="G27" s="13">
        <f t="shared" si="0"/>
        <v>-250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f>G27</f>
        <v>-250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</row>
    <row r="28" spans="1:99" x14ac:dyDescent="0.25">
      <c r="A28" s="11" t="s">
        <v>4</v>
      </c>
      <c r="B28" s="11" t="s">
        <v>0</v>
      </c>
      <c r="C28" s="11" t="s">
        <v>169</v>
      </c>
      <c r="D28" s="12">
        <v>2.9999999999999997E-4</v>
      </c>
      <c r="E28" s="11">
        <f>F18+F19</f>
        <v>8057820.9495881498</v>
      </c>
      <c r="F28" s="11">
        <f t="shared" si="8"/>
        <v>2417.3462848764448</v>
      </c>
      <c r="G28" s="13">
        <f t="shared" si="0"/>
        <v>-2417.3462848764448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f>G28</f>
        <v>-2417.3462848764448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</row>
    <row r="29" spans="1:99" x14ac:dyDescent="0.25">
      <c r="A29" s="11" t="s">
        <v>4</v>
      </c>
      <c r="B29" s="11" t="s">
        <v>0</v>
      </c>
      <c r="C29" s="11" t="s">
        <v>170</v>
      </c>
      <c r="D29" s="12">
        <v>2.0000000000000001E-4</v>
      </c>
      <c r="E29" s="11">
        <f>F18+F19</f>
        <v>8057820.9495881498</v>
      </c>
      <c r="F29" s="11">
        <f t="shared" si="8"/>
        <v>1611.5641899176301</v>
      </c>
      <c r="G29" s="13">
        <f t="shared" si="0"/>
        <v>-1611.5641899176301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f t="shared" ref="AN29:AN32" si="9">G29</f>
        <v>-1611.5641899176301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</row>
    <row r="30" spans="1:99" x14ac:dyDescent="0.25">
      <c r="A30" s="11" t="s">
        <v>4</v>
      </c>
      <c r="B30" s="11" t="s">
        <v>0</v>
      </c>
      <c r="C30" s="11" t="s">
        <v>171</v>
      </c>
      <c r="D30" s="12">
        <v>1</v>
      </c>
      <c r="E30" s="11">
        <v>250</v>
      </c>
      <c r="F30" s="11">
        <f t="shared" si="8"/>
        <v>250</v>
      </c>
      <c r="G30" s="13">
        <f t="shared" si="0"/>
        <v>-250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f t="shared" si="9"/>
        <v>-250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</row>
    <row r="31" spans="1:99" x14ac:dyDescent="0.25">
      <c r="A31" s="11" t="s">
        <v>4</v>
      </c>
      <c r="B31" s="11" t="s">
        <v>0</v>
      </c>
      <c r="C31" s="11" t="s">
        <v>23</v>
      </c>
      <c r="D31" s="12">
        <v>8.9999999999999993E-3</v>
      </c>
      <c r="E31" s="11">
        <f>F18+F19</f>
        <v>8057820.9495881498</v>
      </c>
      <c r="F31" s="11">
        <f t="shared" si="8"/>
        <v>72520.388546293339</v>
      </c>
      <c r="G31" s="13">
        <f t="shared" si="0"/>
        <v>-72520.388546293339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f>$G$31/16</f>
        <v>-4532.5242841433337</v>
      </c>
      <c r="Y31" s="14">
        <f t="shared" ref="Y31:AM31" si="10">$G$31/16</f>
        <v>-4532.5242841433337</v>
      </c>
      <c r="Z31" s="14">
        <f t="shared" si="10"/>
        <v>-4532.5242841433337</v>
      </c>
      <c r="AA31" s="14">
        <f t="shared" si="10"/>
        <v>-4532.5242841433337</v>
      </c>
      <c r="AB31" s="14">
        <f t="shared" si="10"/>
        <v>-4532.5242841433337</v>
      </c>
      <c r="AC31" s="14">
        <f t="shared" si="10"/>
        <v>-4532.5242841433337</v>
      </c>
      <c r="AD31" s="14">
        <f t="shared" si="10"/>
        <v>-4532.5242841433337</v>
      </c>
      <c r="AE31" s="14">
        <f t="shared" si="10"/>
        <v>-4532.5242841433337</v>
      </c>
      <c r="AF31" s="14">
        <f t="shared" si="10"/>
        <v>-4532.5242841433337</v>
      </c>
      <c r="AG31" s="14">
        <f t="shared" si="10"/>
        <v>-4532.5242841433337</v>
      </c>
      <c r="AH31" s="14">
        <f t="shared" si="10"/>
        <v>-4532.5242841433337</v>
      </c>
      <c r="AI31" s="14">
        <f t="shared" si="10"/>
        <v>-4532.5242841433337</v>
      </c>
      <c r="AJ31" s="14">
        <f t="shared" si="10"/>
        <v>-4532.5242841433337</v>
      </c>
      <c r="AK31" s="14">
        <f t="shared" si="10"/>
        <v>-4532.5242841433337</v>
      </c>
      <c r="AL31" s="14">
        <f t="shared" si="10"/>
        <v>-4532.5242841433337</v>
      </c>
      <c r="AM31" s="14">
        <f t="shared" si="10"/>
        <v>-4532.5242841433337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</row>
    <row r="32" spans="1:99" x14ac:dyDescent="0.25">
      <c r="A32" s="11" t="s">
        <v>4</v>
      </c>
      <c r="B32" s="11" t="s">
        <v>0</v>
      </c>
      <c r="C32" s="11" t="s">
        <v>172</v>
      </c>
      <c r="D32" s="12">
        <v>2.5000000000000001E-3</v>
      </c>
      <c r="E32" s="11">
        <f>44*65*1.2*725.71</f>
        <v>2490636.7200000002</v>
      </c>
      <c r="F32" s="11">
        <f t="shared" si="8"/>
        <v>6226.5918000000011</v>
      </c>
      <c r="G32" s="13">
        <f t="shared" si="0"/>
        <v>-6226.5918000000011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f t="shared" si="9"/>
        <v>-6226.5918000000011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</row>
    <row r="33" spans="1:99" x14ac:dyDescent="0.25">
      <c r="A33" s="11" t="s">
        <v>4</v>
      </c>
      <c r="B33" s="11" t="s">
        <v>24</v>
      </c>
      <c r="C33" s="11" t="s">
        <v>27</v>
      </c>
      <c r="D33" s="40">
        <v>1</v>
      </c>
      <c r="E33" s="22">
        <v>2500</v>
      </c>
      <c r="F33" s="22">
        <f t="shared" si="8"/>
        <v>2500</v>
      </c>
      <c r="G33" s="23">
        <f t="shared" si="0"/>
        <v>-2500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5">
        <v>0</v>
      </c>
      <c r="W33" s="25">
        <f>G33</f>
        <v>-2500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>
        <v>0</v>
      </c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  <c r="BO33" s="25">
        <v>0</v>
      </c>
      <c r="BP33" s="25">
        <v>0</v>
      </c>
      <c r="BQ33" s="25">
        <v>0</v>
      </c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</v>
      </c>
      <c r="CD33" s="25">
        <v>0</v>
      </c>
      <c r="CE33" s="25">
        <v>0</v>
      </c>
      <c r="CF33" s="25">
        <v>0</v>
      </c>
      <c r="CG33" s="25">
        <v>0</v>
      </c>
      <c r="CH33" s="25">
        <v>0</v>
      </c>
      <c r="CI33" s="25">
        <v>0</v>
      </c>
      <c r="CJ33" s="25">
        <v>0</v>
      </c>
      <c r="CK33" s="25">
        <v>0</v>
      </c>
      <c r="CL33" s="25">
        <v>0</v>
      </c>
      <c r="CM33" s="25">
        <v>0</v>
      </c>
      <c r="CN33" s="25">
        <v>0</v>
      </c>
      <c r="CO33" s="25">
        <v>0</v>
      </c>
      <c r="CP33" s="25">
        <v>0</v>
      </c>
      <c r="CQ33" s="25">
        <v>0</v>
      </c>
      <c r="CR33" s="25">
        <v>0</v>
      </c>
      <c r="CS33" s="25">
        <v>0</v>
      </c>
      <c r="CT33" s="25">
        <v>0</v>
      </c>
      <c r="CU33" s="25">
        <v>0</v>
      </c>
    </row>
    <row r="34" spans="1:99" x14ac:dyDescent="0.25">
      <c r="A34" s="11" t="s">
        <v>4</v>
      </c>
      <c r="B34" s="11" t="s">
        <v>24</v>
      </c>
      <c r="C34" s="11" t="s">
        <v>173</v>
      </c>
      <c r="D34" s="42">
        <v>2.5000000000000001E-3</v>
      </c>
      <c r="E34" s="22">
        <f>-0.8*SUM(G2:G32,G41:G42)</f>
        <v>10096732.857989311</v>
      </c>
      <c r="F34" s="22">
        <f t="shared" si="8"/>
        <v>25241.832144973279</v>
      </c>
      <c r="G34" s="13">
        <f t="shared" si="0"/>
        <v>-25241.832144973279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f>G34</f>
        <v>-25241.832144973279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</row>
    <row r="35" spans="1:99" x14ac:dyDescent="0.25">
      <c r="A35" s="11" t="s">
        <v>4</v>
      </c>
      <c r="B35" s="11" t="s">
        <v>24</v>
      </c>
      <c r="C35" s="11" t="s">
        <v>28</v>
      </c>
      <c r="D35" s="40">
        <v>1</v>
      </c>
      <c r="E35" s="22">
        <v>250</v>
      </c>
      <c r="F35" s="22">
        <f t="shared" si="8"/>
        <v>250</v>
      </c>
      <c r="G35" s="13">
        <f t="shared" si="0"/>
        <v>-250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f>G35</f>
        <v>-250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</row>
    <row r="36" spans="1:99" x14ac:dyDescent="0.25">
      <c r="A36" s="11" t="s">
        <v>4</v>
      </c>
      <c r="B36" s="11" t="s">
        <v>24</v>
      </c>
      <c r="C36" s="11" t="s">
        <v>29</v>
      </c>
      <c r="D36" s="42">
        <v>2.5000000000000001E-3</v>
      </c>
      <c r="E36" s="22">
        <f>-0.8*SUM(G2:G32,G41:G42)</f>
        <v>10096732.857989311</v>
      </c>
      <c r="F36" s="22">
        <f t="shared" si="8"/>
        <v>25241.832144973279</v>
      </c>
      <c r="G36" s="13">
        <f t="shared" si="0"/>
        <v>-25241.832144973279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f>G36</f>
        <v>-25241.832144973279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</row>
    <row r="37" spans="1:99" x14ac:dyDescent="0.25">
      <c r="A37" s="11" t="s">
        <v>4</v>
      </c>
      <c r="B37" s="11" t="s">
        <v>24</v>
      </c>
      <c r="C37" s="11" t="s">
        <v>25</v>
      </c>
      <c r="D37" s="42">
        <v>1E-3</v>
      </c>
      <c r="E37" s="22">
        <f>-0.8*SUM(G2:G32,G41:G42)</f>
        <v>10096732.857989311</v>
      </c>
      <c r="F37" s="22">
        <f t="shared" si="8"/>
        <v>10096.732857989311</v>
      </c>
      <c r="G37" s="13">
        <f t="shared" si="0"/>
        <v>-10096.732857989311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f>G37</f>
        <v>-10096.732857989311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</row>
    <row r="38" spans="1:99" x14ac:dyDescent="0.25">
      <c r="A38" s="11" t="s">
        <v>4</v>
      </c>
      <c r="B38" s="11" t="s">
        <v>24</v>
      </c>
      <c r="C38" s="11" t="s">
        <v>95</v>
      </c>
      <c r="D38" s="42">
        <f>intereses!C5</f>
        <v>3.5000000000000003E-2</v>
      </c>
      <c r="E38" s="22">
        <f>0.8*(SUM(F2:F42)-SUM(F44:F45))</f>
        <v>10241524.329423638</v>
      </c>
      <c r="F38" s="22">
        <v>937147.59</v>
      </c>
      <c r="G38" s="13"/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-29871.112627584473</v>
      </c>
      <c r="AO38" s="14">
        <v>-29414.82904318277</v>
      </c>
      <c r="AP38" s="14">
        <v>-28957.214631659903</v>
      </c>
      <c r="AQ38" s="14">
        <v>-28498.265511436752</v>
      </c>
      <c r="AR38" s="14">
        <v>-28037.977789612953</v>
      </c>
      <c r="AS38" s="14">
        <v>-27576.347561933839</v>
      </c>
      <c r="AT38" s="14">
        <v>-27113.370912757324</v>
      </c>
      <c r="AU38" s="14">
        <v>-26649.043915020702</v>
      </c>
      <c r="AV38" s="14">
        <v>-26183.362630207364</v>
      </c>
      <c r="AW38" s="14">
        <v>-25716.323108313311</v>
      </c>
      <c r="AX38" s="14">
        <v>-25247.921387813734</v>
      </c>
      <c r="AY38" s="14">
        <v>-24778.153495629369</v>
      </c>
      <c r="AZ38" s="14">
        <v>-24307.015447092799</v>
      </c>
      <c r="BA38" s="14">
        <v>-23834.503245914668</v>
      </c>
      <c r="BB38" s="14">
        <v>-23360.612884149759</v>
      </c>
      <c r="BC38" s="14">
        <v>-22885.340342163039</v>
      </c>
      <c r="BD38" s="26">
        <v>-22408.681588595529</v>
      </c>
      <c r="BE38" s="26">
        <v>-21930.632580330115</v>
      </c>
      <c r="BF38" s="26">
        <v>-21451.18926245725</v>
      </c>
      <c r="BG38" s="26">
        <v>-20970.347568240595</v>
      </c>
      <c r="BH38" s="26">
        <v>-20488.103419082472</v>
      </c>
      <c r="BI38" s="26">
        <v>-20004.452724489303</v>
      </c>
      <c r="BJ38" s="26">
        <v>-19519.391382036913</v>
      </c>
      <c r="BK38" s="26">
        <v>-19032.915277335698</v>
      </c>
      <c r="BL38" s="26">
        <v>-18545.020283995771</v>
      </c>
      <c r="BM38" s="26">
        <v>-18055.702263591935</v>
      </c>
      <c r="BN38" s="26">
        <v>-17564.95706562859</v>
      </c>
      <c r="BO38" s="26">
        <v>-17072.780527504521</v>
      </c>
      <c r="BP38" s="26">
        <v>-16579.168474477588</v>
      </c>
      <c r="BQ38" s="26">
        <v>-16084.116719629323</v>
      </c>
      <c r="BR38" s="26">
        <v>-15587.621063829418</v>
      </c>
      <c r="BS38" s="26">
        <v>-15089.677295700099</v>
      </c>
      <c r="BT38" s="26">
        <v>-14590.281191580401</v>
      </c>
      <c r="BU38" s="26">
        <v>-14089.428515490359</v>
      </c>
      <c r="BV38" s="26">
        <v>-13587.115019095047</v>
      </c>
      <c r="BW38" s="26">
        <v>-13083.336441668587</v>
      </c>
      <c r="BX38" s="26">
        <v>-12578.088510057964</v>
      </c>
      <c r="BY38" s="26">
        <v>-12071.366938646812</v>
      </c>
      <c r="BZ38" s="26">
        <v>-11563.167429319041</v>
      </c>
      <c r="CA38" s="26">
        <v>-11053.485671422399</v>
      </c>
      <c r="CB38" s="26">
        <v>-10542.317341731892</v>
      </c>
      <c r="CC38" s="26">
        <v>-10029.658104413122</v>
      </c>
      <c r="CD38" s="26">
        <v>-9515.5036109855046</v>
      </c>
      <c r="CE38" s="26">
        <v>-8999.8495002853888</v>
      </c>
      <c r="CF38" s="26">
        <v>-8482.6913984290659</v>
      </c>
      <c r="CG38" s="26">
        <v>-7964.0249187756617</v>
      </c>
      <c r="CH38" s="26">
        <v>-7443.8456618899363</v>
      </c>
      <c r="CI38" s="26">
        <v>-6922.1492155049582</v>
      </c>
      <c r="CJ38" s="26">
        <v>-6398.9311544846933</v>
      </c>
      <c r="CK38" s="26">
        <v>-5874.1870407864508</v>
      </c>
      <c r="CL38" s="26">
        <v>-5347.9124234232559</v>
      </c>
      <c r="CM38" s="26">
        <v>-4820.1028384260844</v>
      </c>
      <c r="CN38" s="26">
        <v>-4290.7538088060046</v>
      </c>
      <c r="CO38" s="26">
        <v>-3759.8608445162008</v>
      </c>
      <c r="CP38" s="26">
        <v>-3227.4194424138836</v>
      </c>
      <c r="CQ38" s="26">
        <v>-2693.4250862221015</v>
      </c>
      <c r="CR38" s="26">
        <v>-2157.8732464914269</v>
      </c>
      <c r="CS38" s="26">
        <v>-1620.7593805615381</v>
      </c>
      <c r="CT38" s="26">
        <v>-1082.0789325226874</v>
      </c>
      <c r="CU38" s="26">
        <v>-541.82733317705583</v>
      </c>
    </row>
    <row r="39" spans="1:99" x14ac:dyDescent="0.25">
      <c r="A39" s="11" t="s">
        <v>4</v>
      </c>
      <c r="B39" s="11" t="s">
        <v>24</v>
      </c>
      <c r="C39" s="11" t="s">
        <v>39</v>
      </c>
      <c r="D39" s="42">
        <f>intereses!E5</f>
        <v>0.05</v>
      </c>
      <c r="E39" s="22">
        <f>-0.8*SUM(G2:G32,G41:G42)</f>
        <v>10096732.857989311</v>
      </c>
      <c r="F39" s="22">
        <v>361309.52</v>
      </c>
      <c r="G39" s="13"/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-42069.720249999998</v>
      </c>
      <c r="Y39" s="14">
        <v>-39521.562211651428</v>
      </c>
      <c r="Z39" s="14">
        <v>-36962.786848143071</v>
      </c>
      <c r="AA39" s="14">
        <v>-34393.34992062008</v>
      </c>
      <c r="AB39" s="14">
        <v>-31813.207005899094</v>
      </c>
      <c r="AC39" s="14">
        <v>-29222.313495700098</v>
      </c>
      <c r="AD39" s="14">
        <v>-26620.624595875273</v>
      </c>
      <c r="AE39" s="14">
        <v>-24008.095325634513</v>
      </c>
      <c r="AF39" s="14">
        <v>-21384.680516767748</v>
      </c>
      <c r="AG39" s="14">
        <v>-18750.334812864043</v>
      </c>
      <c r="AH39" s="14">
        <v>-16105.012668527401</v>
      </c>
      <c r="AI39" s="14">
        <v>-13448.668348589355</v>
      </c>
      <c r="AJ39" s="14">
        <v>-10781.255927318238</v>
      </c>
      <c r="AK39" s="14">
        <v>-8102.7292876251558</v>
      </c>
      <c r="AL39" s="14">
        <v>-5413.0421202666876</v>
      </c>
      <c r="AM39" s="14">
        <v>-2712.1479230442233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</row>
    <row r="40" spans="1:99" x14ac:dyDescent="0.25">
      <c r="A40" s="11" t="s">
        <v>4</v>
      </c>
      <c r="B40" s="11" t="s">
        <v>24</v>
      </c>
      <c r="C40" s="11" t="s">
        <v>26</v>
      </c>
      <c r="D40" s="42">
        <v>2.5000000000000001E-3</v>
      </c>
      <c r="E40" s="22">
        <f>-0.8*SUM(G2:G32,G41:G42)</f>
        <v>10096732.857989311</v>
      </c>
      <c r="F40" s="22">
        <f t="shared" ref="F40:F45" si="11">D40*E40</f>
        <v>25241.832144973279</v>
      </c>
      <c r="G40" s="13">
        <f>-F40</f>
        <v>-25241.832144973279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0</v>
      </c>
      <c r="CU40" s="14">
        <f>G40</f>
        <v>-25241.832144973279</v>
      </c>
    </row>
    <row r="41" spans="1:99" x14ac:dyDescent="0.25">
      <c r="A41" s="11" t="s">
        <v>4</v>
      </c>
      <c r="B41" s="11" t="s">
        <v>1</v>
      </c>
      <c r="C41" s="11" t="s">
        <v>22</v>
      </c>
      <c r="D41" s="12">
        <f>88*16</f>
        <v>1408</v>
      </c>
      <c r="E41" s="11">
        <v>700</v>
      </c>
      <c r="F41" s="11">
        <f t="shared" si="11"/>
        <v>985600</v>
      </c>
      <c r="G41" s="20">
        <f>-F41</f>
        <v>-985600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f>$G$41/16</f>
        <v>-61600</v>
      </c>
      <c r="Y41" s="21">
        <f t="shared" ref="Y41:AM41" si="12">$G$41/16</f>
        <v>-61600</v>
      </c>
      <c r="Z41" s="21">
        <f t="shared" si="12"/>
        <v>-61600</v>
      </c>
      <c r="AA41" s="21">
        <f t="shared" si="12"/>
        <v>-61600</v>
      </c>
      <c r="AB41" s="21">
        <f t="shared" si="12"/>
        <v>-61600</v>
      </c>
      <c r="AC41" s="21">
        <f t="shared" si="12"/>
        <v>-61600</v>
      </c>
      <c r="AD41" s="21">
        <f t="shared" si="12"/>
        <v>-61600</v>
      </c>
      <c r="AE41" s="21">
        <f t="shared" si="12"/>
        <v>-61600</v>
      </c>
      <c r="AF41" s="21">
        <f t="shared" si="12"/>
        <v>-61600</v>
      </c>
      <c r="AG41" s="21">
        <f t="shared" si="12"/>
        <v>-61600</v>
      </c>
      <c r="AH41" s="21">
        <f t="shared" si="12"/>
        <v>-61600</v>
      </c>
      <c r="AI41" s="21">
        <f t="shared" si="12"/>
        <v>-61600</v>
      </c>
      <c r="AJ41" s="21">
        <f t="shared" si="12"/>
        <v>-61600</v>
      </c>
      <c r="AK41" s="21">
        <f t="shared" si="12"/>
        <v>-61600</v>
      </c>
      <c r="AL41" s="21">
        <f t="shared" si="12"/>
        <v>-61600</v>
      </c>
      <c r="AM41" s="21">
        <f t="shared" si="12"/>
        <v>-61600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21">
        <v>0</v>
      </c>
      <c r="AZ41" s="21">
        <v>0</v>
      </c>
      <c r="BA41" s="21">
        <v>0</v>
      </c>
      <c r="BB41" s="21">
        <v>0</v>
      </c>
      <c r="BC41" s="21">
        <v>0</v>
      </c>
      <c r="BD41" s="21">
        <v>0</v>
      </c>
      <c r="BE41" s="21">
        <v>0</v>
      </c>
      <c r="BF41" s="21">
        <v>0</v>
      </c>
      <c r="BG41" s="21">
        <v>0</v>
      </c>
      <c r="BH41" s="21">
        <v>0</v>
      </c>
      <c r="BI41" s="21">
        <v>0</v>
      </c>
      <c r="BJ41" s="21">
        <v>0</v>
      </c>
      <c r="BK41" s="21">
        <v>0</v>
      </c>
      <c r="BL41" s="21">
        <v>0</v>
      </c>
      <c r="BM41" s="21">
        <v>0</v>
      </c>
      <c r="BN41" s="21">
        <v>0</v>
      </c>
      <c r="BO41" s="21">
        <v>0</v>
      </c>
      <c r="BP41" s="21">
        <v>0</v>
      </c>
      <c r="BQ41" s="21">
        <v>0</v>
      </c>
      <c r="BR41" s="21">
        <v>0</v>
      </c>
      <c r="BS41" s="21">
        <v>0</v>
      </c>
      <c r="BT41" s="21">
        <v>0</v>
      </c>
      <c r="BU41" s="21">
        <v>0</v>
      </c>
      <c r="BV41" s="21">
        <v>0</v>
      </c>
      <c r="BW41" s="21">
        <v>0</v>
      </c>
      <c r="BX41" s="21">
        <v>0</v>
      </c>
      <c r="BY41" s="21">
        <v>0</v>
      </c>
      <c r="BZ41" s="21">
        <v>0</v>
      </c>
      <c r="CA41" s="21">
        <v>0</v>
      </c>
      <c r="CB41" s="21">
        <v>0</v>
      </c>
      <c r="CC41" s="21">
        <v>0</v>
      </c>
      <c r="CD41" s="21">
        <v>0</v>
      </c>
      <c r="CE41" s="21">
        <v>0</v>
      </c>
      <c r="CF41" s="21">
        <v>0</v>
      </c>
      <c r="CG41" s="21">
        <v>0</v>
      </c>
      <c r="CH41" s="21">
        <v>0</v>
      </c>
      <c r="CI41" s="21">
        <v>0</v>
      </c>
      <c r="CJ41" s="21">
        <v>0</v>
      </c>
      <c r="CK41" s="21">
        <v>0</v>
      </c>
      <c r="CL41" s="21">
        <v>0</v>
      </c>
      <c r="CM41" s="21">
        <v>0</v>
      </c>
      <c r="CN41" s="21">
        <v>0</v>
      </c>
      <c r="CO41" s="21">
        <v>0</v>
      </c>
      <c r="CP41" s="21">
        <v>0</v>
      </c>
      <c r="CQ41" s="21">
        <v>0</v>
      </c>
      <c r="CR41" s="21">
        <v>0</v>
      </c>
      <c r="CS41" s="21">
        <v>0</v>
      </c>
      <c r="CT41" s="21">
        <v>0</v>
      </c>
      <c r="CU41" s="21">
        <v>0</v>
      </c>
    </row>
    <row r="42" spans="1:99" x14ac:dyDescent="0.25">
      <c r="A42" s="11" t="s">
        <v>4</v>
      </c>
      <c r="B42" s="11" t="s">
        <v>1</v>
      </c>
      <c r="C42" s="11" t="s">
        <v>17</v>
      </c>
      <c r="D42" s="12">
        <f>88*16</f>
        <v>1408</v>
      </c>
      <c r="E42" s="11">
        <v>200</v>
      </c>
      <c r="F42" s="11">
        <f t="shared" si="11"/>
        <v>281600</v>
      </c>
      <c r="G42" s="13">
        <f>-$F$42</f>
        <v>-281600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f>$G$42/16</f>
        <v>-17600</v>
      </c>
      <c r="Y42" s="14">
        <f t="shared" ref="Y42:AM42" si="13">$G$42/16</f>
        <v>-17600</v>
      </c>
      <c r="Z42" s="14">
        <f t="shared" si="13"/>
        <v>-17600</v>
      </c>
      <c r="AA42" s="14">
        <f t="shared" si="13"/>
        <v>-17600</v>
      </c>
      <c r="AB42" s="14">
        <f t="shared" si="13"/>
        <v>-17600</v>
      </c>
      <c r="AC42" s="14">
        <f t="shared" si="13"/>
        <v>-17600</v>
      </c>
      <c r="AD42" s="14">
        <f t="shared" si="13"/>
        <v>-17600</v>
      </c>
      <c r="AE42" s="14">
        <f t="shared" si="13"/>
        <v>-17600</v>
      </c>
      <c r="AF42" s="14">
        <f t="shared" si="13"/>
        <v>-17600</v>
      </c>
      <c r="AG42" s="14">
        <f t="shared" si="13"/>
        <v>-17600</v>
      </c>
      <c r="AH42" s="14">
        <f t="shared" si="13"/>
        <v>-17600</v>
      </c>
      <c r="AI42" s="14">
        <f t="shared" si="13"/>
        <v>-17600</v>
      </c>
      <c r="AJ42" s="14">
        <f t="shared" si="13"/>
        <v>-17600</v>
      </c>
      <c r="AK42" s="14">
        <f t="shared" si="13"/>
        <v>-17600</v>
      </c>
      <c r="AL42" s="14">
        <f t="shared" si="13"/>
        <v>-17600</v>
      </c>
      <c r="AM42" s="14">
        <f t="shared" si="13"/>
        <v>-17600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</row>
    <row r="43" spans="1:99" x14ac:dyDescent="0.25">
      <c r="A43" s="11" t="s">
        <v>5</v>
      </c>
      <c r="B43" s="11" t="s">
        <v>174</v>
      </c>
      <c r="C43" s="11" t="s">
        <v>143</v>
      </c>
      <c r="D43" s="12">
        <v>44</v>
      </c>
      <c r="E43" s="11">
        <f>65*2183.04</f>
        <v>141897.60000000001</v>
      </c>
      <c r="F43" s="11">
        <f t="shared" si="11"/>
        <v>6243494.4000000004</v>
      </c>
      <c r="G43" s="13">
        <f>F43</f>
        <v>6243494.4000000004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f>G43</f>
        <v>6243494.4000000004</v>
      </c>
    </row>
    <row r="44" spans="1:99" x14ac:dyDescent="0.25">
      <c r="A44" s="11" t="s">
        <v>5</v>
      </c>
      <c r="B44" s="11" t="s">
        <v>175</v>
      </c>
      <c r="C44" s="11" t="s">
        <v>176</v>
      </c>
      <c r="D44" s="12">
        <v>88</v>
      </c>
      <c r="E44" s="11">
        <v>2705</v>
      </c>
      <c r="F44" s="11">
        <f t="shared" si="11"/>
        <v>238040</v>
      </c>
      <c r="G44" s="13">
        <f>F44</f>
        <v>238040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f>G44</f>
        <v>238040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R44" s="14">
        <v>0</v>
      </c>
      <c r="CS44" s="14">
        <v>0</v>
      </c>
      <c r="CT44" s="14">
        <v>0</v>
      </c>
      <c r="CU44" s="14">
        <v>0</v>
      </c>
    </row>
    <row r="45" spans="1:99" x14ac:dyDescent="0.25">
      <c r="A45" s="11" t="s">
        <v>5</v>
      </c>
      <c r="B45" s="11" t="s">
        <v>175</v>
      </c>
      <c r="C45" s="11" t="s">
        <v>177</v>
      </c>
      <c r="D45" s="12">
        <v>88</v>
      </c>
      <c r="E45" s="11">
        <v>11000</v>
      </c>
      <c r="F45" s="11">
        <f t="shared" si="11"/>
        <v>968000</v>
      </c>
      <c r="G45" s="13">
        <f>F45</f>
        <v>968000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f>G45</f>
        <v>968000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</row>
    <row r="46" spans="1:99" x14ac:dyDescent="0.25">
      <c r="A46" s="11" t="s">
        <v>5</v>
      </c>
      <c r="B46" s="11" t="s">
        <v>178</v>
      </c>
      <c r="C46" s="11" t="s">
        <v>179</v>
      </c>
      <c r="D46" s="12">
        <f>60*44</f>
        <v>2640</v>
      </c>
      <c r="E46" s="11">
        <v>450</v>
      </c>
      <c r="F46" s="11">
        <f t="shared" ref="F46:F47" si="14">D46*E46</f>
        <v>1188000</v>
      </c>
      <c r="G46" s="13">
        <f>F46</f>
        <v>1188000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f>$D$46*$E$46/60</f>
        <v>19800</v>
      </c>
      <c r="AO46" s="14">
        <f t="shared" ref="AO46:CU46" si="15">$D$46*$E$46/60</f>
        <v>19800</v>
      </c>
      <c r="AP46" s="14">
        <f t="shared" si="15"/>
        <v>19800</v>
      </c>
      <c r="AQ46" s="14">
        <f t="shared" si="15"/>
        <v>19800</v>
      </c>
      <c r="AR46" s="14">
        <f t="shared" si="15"/>
        <v>19800</v>
      </c>
      <c r="AS46" s="14">
        <f t="shared" si="15"/>
        <v>19800</v>
      </c>
      <c r="AT46" s="14">
        <f t="shared" si="15"/>
        <v>19800</v>
      </c>
      <c r="AU46" s="14">
        <f t="shared" si="15"/>
        <v>19800</v>
      </c>
      <c r="AV46" s="14">
        <f t="shared" si="15"/>
        <v>19800</v>
      </c>
      <c r="AW46" s="14">
        <f t="shared" si="15"/>
        <v>19800</v>
      </c>
      <c r="AX46" s="14">
        <f t="shared" si="15"/>
        <v>19800</v>
      </c>
      <c r="AY46" s="14">
        <f t="shared" si="15"/>
        <v>19800</v>
      </c>
      <c r="AZ46" s="14">
        <f t="shared" si="15"/>
        <v>19800</v>
      </c>
      <c r="BA46" s="14">
        <f t="shared" si="15"/>
        <v>19800</v>
      </c>
      <c r="BB46" s="14">
        <f t="shared" si="15"/>
        <v>19800</v>
      </c>
      <c r="BC46" s="14">
        <f t="shared" si="15"/>
        <v>19800</v>
      </c>
      <c r="BD46" s="14">
        <f t="shared" si="15"/>
        <v>19800</v>
      </c>
      <c r="BE46" s="14">
        <f t="shared" si="15"/>
        <v>19800</v>
      </c>
      <c r="BF46" s="14">
        <f t="shared" si="15"/>
        <v>19800</v>
      </c>
      <c r="BG46" s="14">
        <f t="shared" si="15"/>
        <v>19800</v>
      </c>
      <c r="BH46" s="14">
        <f t="shared" si="15"/>
        <v>19800</v>
      </c>
      <c r="BI46" s="14">
        <f t="shared" si="15"/>
        <v>19800</v>
      </c>
      <c r="BJ46" s="14">
        <f t="shared" si="15"/>
        <v>19800</v>
      </c>
      <c r="BK46" s="14">
        <f t="shared" si="15"/>
        <v>19800</v>
      </c>
      <c r="BL46" s="14">
        <f t="shared" si="15"/>
        <v>19800</v>
      </c>
      <c r="BM46" s="14">
        <f t="shared" si="15"/>
        <v>19800</v>
      </c>
      <c r="BN46" s="14">
        <f t="shared" si="15"/>
        <v>19800</v>
      </c>
      <c r="BO46" s="14">
        <f t="shared" si="15"/>
        <v>19800</v>
      </c>
      <c r="BP46" s="14">
        <f t="shared" si="15"/>
        <v>19800</v>
      </c>
      <c r="BQ46" s="14">
        <f t="shared" si="15"/>
        <v>19800</v>
      </c>
      <c r="BR46" s="14">
        <f t="shared" si="15"/>
        <v>19800</v>
      </c>
      <c r="BS46" s="14">
        <f t="shared" si="15"/>
        <v>19800</v>
      </c>
      <c r="BT46" s="14">
        <f t="shared" si="15"/>
        <v>19800</v>
      </c>
      <c r="BU46" s="14">
        <f t="shared" si="15"/>
        <v>19800</v>
      </c>
      <c r="BV46" s="14">
        <f t="shared" si="15"/>
        <v>19800</v>
      </c>
      <c r="BW46" s="14">
        <f t="shared" si="15"/>
        <v>19800</v>
      </c>
      <c r="BX46" s="14">
        <f t="shared" si="15"/>
        <v>19800</v>
      </c>
      <c r="BY46" s="14">
        <f t="shared" si="15"/>
        <v>19800</v>
      </c>
      <c r="BZ46" s="14">
        <f t="shared" si="15"/>
        <v>19800</v>
      </c>
      <c r="CA46" s="14">
        <f t="shared" si="15"/>
        <v>19800</v>
      </c>
      <c r="CB46" s="14">
        <f t="shared" si="15"/>
        <v>19800</v>
      </c>
      <c r="CC46" s="14">
        <f t="shared" si="15"/>
        <v>19800</v>
      </c>
      <c r="CD46" s="14">
        <f t="shared" si="15"/>
        <v>19800</v>
      </c>
      <c r="CE46" s="14">
        <f t="shared" si="15"/>
        <v>19800</v>
      </c>
      <c r="CF46" s="14">
        <f t="shared" si="15"/>
        <v>19800</v>
      </c>
      <c r="CG46" s="14">
        <f t="shared" si="15"/>
        <v>19800</v>
      </c>
      <c r="CH46" s="14">
        <f t="shared" si="15"/>
        <v>19800</v>
      </c>
      <c r="CI46" s="14">
        <f t="shared" si="15"/>
        <v>19800</v>
      </c>
      <c r="CJ46" s="14">
        <f t="shared" si="15"/>
        <v>19800</v>
      </c>
      <c r="CK46" s="14">
        <f t="shared" si="15"/>
        <v>19800</v>
      </c>
      <c r="CL46" s="14">
        <f t="shared" si="15"/>
        <v>19800</v>
      </c>
      <c r="CM46" s="14">
        <f t="shared" si="15"/>
        <v>19800</v>
      </c>
      <c r="CN46" s="14">
        <f t="shared" si="15"/>
        <v>19800</v>
      </c>
      <c r="CO46" s="14">
        <f t="shared" si="15"/>
        <v>19800</v>
      </c>
      <c r="CP46" s="14">
        <f t="shared" si="15"/>
        <v>19800</v>
      </c>
      <c r="CQ46" s="14">
        <f t="shared" si="15"/>
        <v>19800</v>
      </c>
      <c r="CR46" s="14">
        <f t="shared" si="15"/>
        <v>19800</v>
      </c>
      <c r="CS46" s="14">
        <f t="shared" si="15"/>
        <v>19800</v>
      </c>
      <c r="CT46" s="14">
        <f t="shared" si="15"/>
        <v>19800</v>
      </c>
      <c r="CU46" s="14">
        <f t="shared" si="15"/>
        <v>19800</v>
      </c>
    </row>
    <row r="47" spans="1:99" x14ac:dyDescent="0.25">
      <c r="A47" s="11" t="s">
        <v>5</v>
      </c>
      <c r="B47" s="11" t="s">
        <v>180</v>
      </c>
      <c r="C47" s="11" t="s">
        <v>152</v>
      </c>
      <c r="D47" s="12">
        <v>0</v>
      </c>
      <c r="E47" s="11">
        <v>50</v>
      </c>
      <c r="F47" s="11">
        <f t="shared" si="14"/>
        <v>0</v>
      </c>
      <c r="G47" s="15">
        <f>F47</f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f>$D$47*$E$47/60</f>
        <v>0</v>
      </c>
      <c r="AO47" s="14">
        <f t="shared" ref="AO47:CU47" si="16">$D$47*$E$47/60</f>
        <v>0</v>
      </c>
      <c r="AP47" s="14">
        <f t="shared" si="16"/>
        <v>0</v>
      </c>
      <c r="AQ47" s="14">
        <f t="shared" si="16"/>
        <v>0</v>
      </c>
      <c r="AR47" s="14">
        <f t="shared" si="16"/>
        <v>0</v>
      </c>
      <c r="AS47" s="14">
        <f t="shared" si="16"/>
        <v>0</v>
      </c>
      <c r="AT47" s="14">
        <f t="shared" si="16"/>
        <v>0</v>
      </c>
      <c r="AU47" s="14">
        <f t="shared" si="16"/>
        <v>0</v>
      </c>
      <c r="AV47" s="14">
        <f t="shared" si="16"/>
        <v>0</v>
      </c>
      <c r="AW47" s="14">
        <f t="shared" si="16"/>
        <v>0</v>
      </c>
      <c r="AX47" s="14">
        <f t="shared" si="16"/>
        <v>0</v>
      </c>
      <c r="AY47" s="14">
        <f t="shared" si="16"/>
        <v>0</v>
      </c>
      <c r="AZ47" s="14">
        <f t="shared" si="16"/>
        <v>0</v>
      </c>
      <c r="BA47" s="14">
        <f t="shared" si="16"/>
        <v>0</v>
      </c>
      <c r="BB47" s="14">
        <f t="shared" si="16"/>
        <v>0</v>
      </c>
      <c r="BC47" s="14">
        <f t="shared" si="16"/>
        <v>0</v>
      </c>
      <c r="BD47" s="14">
        <f t="shared" si="16"/>
        <v>0</v>
      </c>
      <c r="BE47" s="14">
        <f t="shared" si="16"/>
        <v>0</v>
      </c>
      <c r="BF47" s="14">
        <f t="shared" si="16"/>
        <v>0</v>
      </c>
      <c r="BG47" s="14">
        <f t="shared" si="16"/>
        <v>0</v>
      </c>
      <c r="BH47" s="14">
        <f t="shared" si="16"/>
        <v>0</v>
      </c>
      <c r="BI47" s="14">
        <f t="shared" si="16"/>
        <v>0</v>
      </c>
      <c r="BJ47" s="14">
        <f t="shared" si="16"/>
        <v>0</v>
      </c>
      <c r="BK47" s="14">
        <f t="shared" si="16"/>
        <v>0</v>
      </c>
      <c r="BL47" s="14">
        <f t="shared" si="16"/>
        <v>0</v>
      </c>
      <c r="BM47" s="14">
        <f t="shared" si="16"/>
        <v>0</v>
      </c>
      <c r="BN47" s="14">
        <f t="shared" si="16"/>
        <v>0</v>
      </c>
      <c r="BO47" s="14">
        <f t="shared" si="16"/>
        <v>0</v>
      </c>
      <c r="BP47" s="14">
        <f t="shared" si="16"/>
        <v>0</v>
      </c>
      <c r="BQ47" s="14">
        <f t="shared" si="16"/>
        <v>0</v>
      </c>
      <c r="BR47" s="14">
        <f t="shared" si="16"/>
        <v>0</v>
      </c>
      <c r="BS47" s="14">
        <f t="shared" si="16"/>
        <v>0</v>
      </c>
      <c r="BT47" s="14">
        <f t="shared" si="16"/>
        <v>0</v>
      </c>
      <c r="BU47" s="14">
        <f t="shared" si="16"/>
        <v>0</v>
      </c>
      <c r="BV47" s="14">
        <f t="shared" si="16"/>
        <v>0</v>
      </c>
      <c r="BW47" s="14">
        <f t="shared" si="16"/>
        <v>0</v>
      </c>
      <c r="BX47" s="14">
        <f t="shared" si="16"/>
        <v>0</v>
      </c>
      <c r="BY47" s="14">
        <f t="shared" si="16"/>
        <v>0</v>
      </c>
      <c r="BZ47" s="14">
        <f t="shared" si="16"/>
        <v>0</v>
      </c>
      <c r="CA47" s="14">
        <f t="shared" si="16"/>
        <v>0</v>
      </c>
      <c r="CB47" s="14">
        <f t="shared" si="16"/>
        <v>0</v>
      </c>
      <c r="CC47" s="14">
        <f t="shared" si="16"/>
        <v>0</v>
      </c>
      <c r="CD47" s="14">
        <f t="shared" si="16"/>
        <v>0</v>
      </c>
      <c r="CE47" s="14">
        <f t="shared" si="16"/>
        <v>0</v>
      </c>
      <c r="CF47" s="14">
        <f t="shared" si="16"/>
        <v>0</v>
      </c>
      <c r="CG47" s="14">
        <f t="shared" si="16"/>
        <v>0</v>
      </c>
      <c r="CH47" s="14">
        <f t="shared" si="16"/>
        <v>0</v>
      </c>
      <c r="CI47" s="14">
        <f t="shared" si="16"/>
        <v>0</v>
      </c>
      <c r="CJ47" s="14">
        <f t="shared" si="16"/>
        <v>0</v>
      </c>
      <c r="CK47" s="14">
        <f t="shared" si="16"/>
        <v>0</v>
      </c>
      <c r="CL47" s="14">
        <f t="shared" si="16"/>
        <v>0</v>
      </c>
      <c r="CM47" s="14">
        <f t="shared" si="16"/>
        <v>0</v>
      </c>
      <c r="CN47" s="14">
        <f t="shared" si="16"/>
        <v>0</v>
      </c>
      <c r="CO47" s="14">
        <f t="shared" si="16"/>
        <v>0</v>
      </c>
      <c r="CP47" s="14">
        <f t="shared" si="16"/>
        <v>0</v>
      </c>
      <c r="CQ47" s="14">
        <f t="shared" si="16"/>
        <v>0</v>
      </c>
      <c r="CR47" s="14">
        <f t="shared" si="16"/>
        <v>0</v>
      </c>
      <c r="CS47" s="14">
        <f t="shared" si="16"/>
        <v>0</v>
      </c>
      <c r="CT47" s="14">
        <f t="shared" si="16"/>
        <v>0</v>
      </c>
      <c r="CU47" s="14">
        <f t="shared" si="16"/>
        <v>0</v>
      </c>
    </row>
    <row r="48" spans="1:99" x14ac:dyDescent="0.25">
      <c r="A48" s="11" t="s">
        <v>181</v>
      </c>
      <c r="B48" s="11" t="s">
        <v>182</v>
      </c>
      <c r="C48" s="11" t="s">
        <v>5</v>
      </c>
      <c r="F48" s="31"/>
      <c r="G48" s="45">
        <f>SUM(F43:F47)</f>
        <v>8637534.4000000004</v>
      </c>
      <c r="H48" s="29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</row>
    <row r="49" spans="1:99" x14ac:dyDescent="0.25">
      <c r="A49" s="11" t="s">
        <v>181</v>
      </c>
      <c r="B49" s="11" t="s">
        <v>182</v>
      </c>
      <c r="C49" s="11" t="s">
        <v>90</v>
      </c>
      <c r="F49" s="31"/>
      <c r="G49" s="45">
        <f>-SUM(F2:F42)</f>
        <v>-14007945.411779547</v>
      </c>
      <c r="H49" s="29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</row>
    <row r="50" spans="1:99" x14ac:dyDescent="0.25">
      <c r="A50" s="11" t="s">
        <v>181</v>
      </c>
      <c r="B50" s="11" t="s">
        <v>182</v>
      </c>
      <c r="C50" s="11" t="s">
        <v>183</v>
      </c>
      <c r="F50" s="31"/>
      <c r="G50" s="45">
        <f>SUM(G48:G49)</f>
        <v>-5370411.0117795467</v>
      </c>
      <c r="H50" s="29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</row>
    <row r="51" spans="1:99" x14ac:dyDescent="0.25">
      <c r="A51" s="11" t="s">
        <v>181</v>
      </c>
      <c r="B51" s="11" t="s">
        <v>182</v>
      </c>
      <c r="C51" s="11" t="s">
        <v>184</v>
      </c>
      <c r="F51" s="31"/>
      <c r="G51" s="46">
        <f>G50/-G49</f>
        <v>-0.3833832053102853</v>
      </c>
      <c r="H51" s="29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</row>
    <row r="52" spans="1:99" x14ac:dyDescent="0.25">
      <c r="A52" s="11" t="s">
        <v>181</v>
      </c>
      <c r="B52" s="11" t="s">
        <v>185</v>
      </c>
      <c r="C52" s="11" t="s">
        <v>186</v>
      </c>
      <c r="F52" s="31"/>
      <c r="G52" s="47"/>
      <c r="H52" s="32">
        <f t="shared" ref="H52:AM52" si="17">SUM(H2:H47)</f>
        <v>0</v>
      </c>
      <c r="I52" s="26">
        <f t="shared" si="17"/>
        <v>-7018</v>
      </c>
      <c r="J52" s="26">
        <f t="shared" si="17"/>
        <v>0</v>
      </c>
      <c r="K52" s="26">
        <f t="shared" si="17"/>
        <v>-17174.516875501664</v>
      </c>
      <c r="L52" s="26">
        <f t="shared" si="17"/>
        <v>0</v>
      </c>
      <c r="M52" s="26">
        <f t="shared" si="17"/>
        <v>-248384.93038824727</v>
      </c>
      <c r="N52" s="26">
        <f t="shared" si="17"/>
        <v>-4359.9465</v>
      </c>
      <c r="O52" s="26">
        <f t="shared" si="17"/>
        <v>0</v>
      </c>
      <c r="P52" s="26">
        <f t="shared" si="17"/>
        <v>-376456.10295390093</v>
      </c>
      <c r="Q52" s="26">
        <f t="shared" si="17"/>
        <v>-80578.209495881514</v>
      </c>
      <c r="R52" s="26">
        <f t="shared" si="17"/>
        <v>-10277.516875501664</v>
      </c>
      <c r="S52" s="26">
        <f t="shared" si="17"/>
        <v>0</v>
      </c>
      <c r="T52" s="26">
        <f t="shared" si="17"/>
        <v>-322312.83798352606</v>
      </c>
      <c r="U52" s="26">
        <f t="shared" si="17"/>
        <v>0</v>
      </c>
      <c r="V52" s="26">
        <f t="shared" si="17"/>
        <v>0</v>
      </c>
      <c r="W52" s="26">
        <f t="shared" si="17"/>
        <v>-63330.397147935873</v>
      </c>
      <c r="X52" s="26">
        <f t="shared" si="17"/>
        <v>-381431.89694150962</v>
      </c>
      <c r="Y52" s="26">
        <f t="shared" si="17"/>
        <v>-507955.41548878106</v>
      </c>
      <c r="Z52" s="26">
        <f t="shared" si="17"/>
        <v>-263819.79850175313</v>
      </c>
      <c r="AA52" s="26">
        <f t="shared" si="17"/>
        <v>-432876.01433708018</v>
      </c>
      <c r="AB52" s="26">
        <f t="shared" si="17"/>
        <v>-664275.41136793909</v>
      </c>
      <c r="AC52" s="26">
        <f t="shared" si="17"/>
        <v>-930964.13704632001</v>
      </c>
      <c r="AD52" s="26">
        <f t="shared" si="17"/>
        <v>-748544.91416755528</v>
      </c>
      <c r="AE52" s="26">
        <f t="shared" si="17"/>
        <v>-665366.53678456449</v>
      </c>
      <c r="AF52" s="26">
        <f t="shared" si="17"/>
        <v>-646304.96945633786</v>
      </c>
      <c r="AG52" s="26">
        <f t="shared" si="17"/>
        <v>-651889.70001211413</v>
      </c>
      <c r="AH52" s="26">
        <f t="shared" si="17"/>
        <v>-747873.29298393754</v>
      </c>
      <c r="AI52" s="26">
        <f t="shared" si="17"/>
        <v>-1172608.9141673592</v>
      </c>
      <c r="AJ52" s="26">
        <f t="shared" si="17"/>
        <v>-1498704.5521332882</v>
      </c>
      <c r="AK52" s="26">
        <f t="shared" si="17"/>
        <v>-1134386.6700676749</v>
      </c>
      <c r="AL52" s="26">
        <f t="shared" si="17"/>
        <v>-811153.00877279672</v>
      </c>
      <c r="AM52" s="26">
        <f t="shared" si="17"/>
        <v>-620113.36060293438</v>
      </c>
      <c r="AN52" s="26">
        <f t="shared" ref="AN52:BS52" si="18">SUM(AN2:AN47)</f>
        <v>1158573.9374967236</v>
      </c>
      <c r="AO52" s="26">
        <f t="shared" si="18"/>
        <v>-9614.82904318277</v>
      </c>
      <c r="AP52" s="26">
        <f t="shared" si="18"/>
        <v>-9157.2146316599028</v>
      </c>
      <c r="AQ52" s="26">
        <f t="shared" si="18"/>
        <v>-8698.2655114367517</v>
      </c>
      <c r="AR52" s="26">
        <f t="shared" si="18"/>
        <v>-8237.9777896129526</v>
      </c>
      <c r="AS52" s="26">
        <f t="shared" si="18"/>
        <v>-7776.3475619338387</v>
      </c>
      <c r="AT52" s="26">
        <f t="shared" si="18"/>
        <v>-7313.3709127573238</v>
      </c>
      <c r="AU52" s="26">
        <f t="shared" si="18"/>
        <v>-6849.0439150207021</v>
      </c>
      <c r="AV52" s="26">
        <f t="shared" si="18"/>
        <v>-6383.3626302073644</v>
      </c>
      <c r="AW52" s="26">
        <f t="shared" si="18"/>
        <v>-5916.3231083133105</v>
      </c>
      <c r="AX52" s="26">
        <f t="shared" si="18"/>
        <v>-5447.9213878137343</v>
      </c>
      <c r="AY52" s="26">
        <f t="shared" si="18"/>
        <v>-4978.153495629369</v>
      </c>
      <c r="AZ52" s="26">
        <f t="shared" si="18"/>
        <v>-4507.0154470927991</v>
      </c>
      <c r="BA52" s="26">
        <f t="shared" si="18"/>
        <v>-4034.5032459146678</v>
      </c>
      <c r="BB52" s="26">
        <f t="shared" si="18"/>
        <v>-3560.6128841497593</v>
      </c>
      <c r="BC52" s="26">
        <f t="shared" si="18"/>
        <v>-3085.3403421630392</v>
      </c>
      <c r="BD52" s="26">
        <f t="shared" si="18"/>
        <v>-2608.6815885955293</v>
      </c>
      <c r="BE52" s="26">
        <f t="shared" si="18"/>
        <v>-2130.6325803301152</v>
      </c>
      <c r="BF52" s="26">
        <f t="shared" si="18"/>
        <v>-1651.1892624572502</v>
      </c>
      <c r="BG52" s="26">
        <f t="shared" si="18"/>
        <v>-1170.3475682405951</v>
      </c>
      <c r="BH52" s="26">
        <f t="shared" si="18"/>
        <v>-688.1034190824721</v>
      </c>
      <c r="BI52" s="26">
        <f t="shared" si="18"/>
        <v>-204.45272448930336</v>
      </c>
      <c r="BJ52" s="26">
        <f t="shared" si="18"/>
        <v>280.60861796308745</v>
      </c>
      <c r="BK52" s="26">
        <f t="shared" si="18"/>
        <v>767.08472266430181</v>
      </c>
      <c r="BL52" s="26">
        <f t="shared" si="18"/>
        <v>1254.979716004229</v>
      </c>
      <c r="BM52" s="26">
        <f t="shared" si="18"/>
        <v>1744.2977364080652</v>
      </c>
      <c r="BN52" s="26">
        <f t="shared" si="18"/>
        <v>2235.0429343714095</v>
      </c>
      <c r="BO52" s="26">
        <f t="shared" si="18"/>
        <v>2727.2194724954788</v>
      </c>
      <c r="BP52" s="26">
        <f t="shared" si="18"/>
        <v>3220.8315255224115</v>
      </c>
      <c r="BQ52" s="26">
        <f t="shared" si="18"/>
        <v>3715.8832803706773</v>
      </c>
      <c r="BR52" s="26">
        <f t="shared" si="18"/>
        <v>4212.3789361705822</v>
      </c>
      <c r="BS52" s="26">
        <f t="shared" si="18"/>
        <v>4710.3227042999006</v>
      </c>
      <c r="BT52" s="26">
        <f t="shared" ref="BT52:CU52" si="19">SUM(BT2:BT47)</f>
        <v>5209.7188084195986</v>
      </c>
      <c r="BU52" s="26">
        <f t="shared" si="19"/>
        <v>5710.5714845096409</v>
      </c>
      <c r="BV52" s="26">
        <f t="shared" si="19"/>
        <v>6212.8849809049534</v>
      </c>
      <c r="BW52" s="26">
        <f t="shared" si="19"/>
        <v>6716.6635583314128</v>
      </c>
      <c r="BX52" s="26">
        <f t="shared" si="19"/>
        <v>7221.9114899420365</v>
      </c>
      <c r="BY52" s="26">
        <f t="shared" si="19"/>
        <v>7728.6330613531882</v>
      </c>
      <c r="BZ52" s="26">
        <f t="shared" si="19"/>
        <v>8236.8325706809592</v>
      </c>
      <c r="CA52" s="26">
        <f t="shared" si="19"/>
        <v>8746.5143285776012</v>
      </c>
      <c r="CB52" s="26">
        <f t="shared" si="19"/>
        <v>9257.6826582681078</v>
      </c>
      <c r="CC52" s="26">
        <f t="shared" si="19"/>
        <v>9770.3418955868783</v>
      </c>
      <c r="CD52" s="26">
        <f t="shared" si="19"/>
        <v>10284.496389014495</v>
      </c>
      <c r="CE52" s="26">
        <f t="shared" si="19"/>
        <v>10800.150499714611</v>
      </c>
      <c r="CF52" s="26">
        <f t="shared" si="19"/>
        <v>11317.308601570934</v>
      </c>
      <c r="CG52" s="26">
        <f t="shared" si="19"/>
        <v>11835.975081224338</v>
      </c>
      <c r="CH52" s="26">
        <f t="shared" si="19"/>
        <v>12356.154338110064</v>
      </c>
      <c r="CI52" s="26">
        <f t="shared" si="19"/>
        <v>12877.850784495042</v>
      </c>
      <c r="CJ52" s="26">
        <f t="shared" si="19"/>
        <v>13401.068845515307</v>
      </c>
      <c r="CK52" s="26">
        <f t="shared" si="19"/>
        <v>13925.812959213548</v>
      </c>
      <c r="CL52" s="26">
        <f t="shared" si="19"/>
        <v>14452.087576576745</v>
      </c>
      <c r="CM52" s="26">
        <f t="shared" si="19"/>
        <v>14979.897161573916</v>
      </c>
      <c r="CN52" s="26">
        <f t="shared" si="19"/>
        <v>15509.246191193995</v>
      </c>
      <c r="CO52" s="26">
        <f t="shared" si="19"/>
        <v>16040.139155483799</v>
      </c>
      <c r="CP52" s="26">
        <f t="shared" si="19"/>
        <v>16572.580557586116</v>
      </c>
      <c r="CQ52" s="26">
        <f t="shared" si="19"/>
        <v>17106.574913777898</v>
      </c>
      <c r="CR52" s="26">
        <f t="shared" si="19"/>
        <v>17642.126753508572</v>
      </c>
      <c r="CS52" s="26">
        <f t="shared" si="19"/>
        <v>18179.24061943846</v>
      </c>
      <c r="CT52" s="26">
        <f t="shared" si="19"/>
        <v>18717.921067477313</v>
      </c>
      <c r="CU52" s="26">
        <f t="shared" si="19"/>
        <v>6237510.7405218501</v>
      </c>
    </row>
    <row r="53" spans="1:99" x14ac:dyDescent="0.25">
      <c r="A53" s="11" t="s">
        <v>181</v>
      </c>
      <c r="B53" s="11" t="s">
        <v>185</v>
      </c>
      <c r="C53" s="11" t="s">
        <v>187</v>
      </c>
      <c r="F53" s="31"/>
      <c r="G53" s="46">
        <f>SUM(H52:CU52)</f>
        <v>-5370411.0261056218</v>
      </c>
      <c r="H53" s="49">
        <f>SUM(H52:R52)</f>
        <v>-744249.22308903327</v>
      </c>
      <c r="I53" s="49"/>
      <c r="J53" s="49"/>
      <c r="K53" s="49"/>
      <c r="L53" s="49"/>
      <c r="M53" s="49"/>
      <c r="N53" s="49"/>
      <c r="O53" s="49"/>
      <c r="P53" s="49"/>
      <c r="Q53" s="49"/>
      <c r="R53" s="50"/>
      <c r="S53" s="51">
        <f>SUM(S52:AD52)</f>
        <v>-4315510.8229824007</v>
      </c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50"/>
      <c r="AE53" s="51">
        <f>SUM(AE52:AP52)</f>
        <v>-6808599.1111591281</v>
      </c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50"/>
      <c r="AQ53" s="51">
        <f>SUM(AQ52:BB52)</f>
        <v>-73702.897889882574</v>
      </c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50"/>
      <c r="BC53" s="51">
        <f>SUM(BC52:BN52)</f>
        <v>-5256.7337579472114</v>
      </c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50"/>
      <c r="BO53" s="51">
        <f>SUM(BO52:BZ52)</f>
        <v>65623.851873000851</v>
      </c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50"/>
      <c r="CA53" s="51">
        <f>SUM(CA52:CL52)</f>
        <v>139025.44395786768</v>
      </c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50"/>
      <c r="CM53" s="51">
        <f>SUM(CM52:CU52)</f>
        <v>6372258.4669418903</v>
      </c>
      <c r="CN53" s="49"/>
      <c r="CO53" s="49"/>
      <c r="CP53" s="49"/>
      <c r="CQ53" s="49"/>
      <c r="CR53" s="49"/>
      <c r="CS53" s="49"/>
      <c r="CT53" s="49"/>
      <c r="CU53" s="50"/>
    </row>
    <row r="54" spans="1:99" x14ac:dyDescent="0.25">
      <c r="A54" s="11" t="s">
        <v>181</v>
      </c>
      <c r="B54" s="11" t="s">
        <v>188</v>
      </c>
      <c r="C54" s="11" t="s">
        <v>189</v>
      </c>
      <c r="F54" s="31"/>
      <c r="G54" s="45">
        <v>0.06</v>
      </c>
      <c r="H54" s="29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</row>
    <row r="55" spans="1:99" x14ac:dyDescent="0.25">
      <c r="A55" s="11" t="s">
        <v>181</v>
      </c>
      <c r="B55" s="11" t="s">
        <v>188</v>
      </c>
      <c r="C55" s="11" t="s">
        <v>91</v>
      </c>
      <c r="F55" s="31"/>
      <c r="G55" s="45">
        <f xml:space="preserve"> (1+G54)^(1/12)-1</f>
        <v>4.8675505653430484E-3</v>
      </c>
      <c r="H55" s="29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</row>
    <row r="56" spans="1:99" x14ac:dyDescent="0.25">
      <c r="A56" s="11" t="s">
        <v>181</v>
      </c>
      <c r="B56" s="11" t="s">
        <v>188</v>
      </c>
      <c r="C56" s="11" t="s">
        <v>92</v>
      </c>
      <c r="F56" s="31"/>
      <c r="G56" s="45">
        <v>5.0000000000000001E-4</v>
      </c>
      <c r="H56" s="29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spans="1:99" x14ac:dyDescent="0.25">
      <c r="A57" s="11" t="s">
        <v>181</v>
      </c>
      <c r="B57" s="11" t="s">
        <v>190</v>
      </c>
      <c r="C57" s="11" t="s">
        <v>93</v>
      </c>
      <c r="F57" s="31"/>
      <c r="G57" s="45">
        <f>NPV(G55,Q52:CU52)+SUM(H52:P52)</f>
        <v>-6718978.6455448978</v>
      </c>
      <c r="H57" s="33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</row>
    <row r="58" spans="1:99" x14ac:dyDescent="0.25">
      <c r="A58" s="11" t="s">
        <v>181</v>
      </c>
      <c r="B58" s="11" t="s">
        <v>190</v>
      </c>
      <c r="C58" s="11" t="s">
        <v>94</v>
      </c>
      <c r="F58" s="31"/>
      <c r="G58" s="45">
        <f>CU58</f>
        <v>-5.0856717370592053E-3</v>
      </c>
      <c r="H58" s="32"/>
      <c r="I58" s="26">
        <f>MIRR(H52:I52,G56,G55)</f>
        <v>-1</v>
      </c>
      <c r="J58" s="26">
        <f>MIRR($H$52:J52,$G$56,$G$55)</f>
        <v>-1</v>
      </c>
      <c r="K58" s="26">
        <f>MIRR($H$52:K52,$G$56,$G$55)</f>
        <v>-1</v>
      </c>
      <c r="L58" s="26">
        <f>MIRR($H$52:L52,$G$56,$G$55)</f>
        <v>-1</v>
      </c>
      <c r="M58" s="26">
        <f>MIRR($H$52:M52,$G$56,$G$55)</f>
        <v>-1</v>
      </c>
      <c r="N58" s="26">
        <f>MIRR($H$52:N52,$G$56,$G$55)</f>
        <v>-1</v>
      </c>
      <c r="O58" s="26">
        <f>MIRR($H$52:O52,$G$56,$G$55)</f>
        <v>-1</v>
      </c>
      <c r="P58" s="26">
        <f>MIRR($H$52:P52,$G$56,$G$55)</f>
        <v>-1</v>
      </c>
      <c r="Q58" s="26">
        <f>MIRR($H$52:Q52,$G$56,$G$55)</f>
        <v>-1</v>
      </c>
      <c r="R58" s="26">
        <f>MIRR($H$52:R52,$G$56,$G$55)</f>
        <v>-1</v>
      </c>
      <c r="S58" s="26">
        <f>MIRR($H$52:S52,$G$56,$G$55)</f>
        <v>-1</v>
      </c>
      <c r="T58" s="26">
        <f>MIRR($H$52:T52,$G$56,$G$55)</f>
        <v>-1</v>
      </c>
      <c r="U58" s="26">
        <f>MIRR($H$52:U52,$G$56,$G$55)</f>
        <v>-1</v>
      </c>
      <c r="V58" s="26">
        <f>MIRR($H$52:V52,$G$56,$G$55)</f>
        <v>-1</v>
      </c>
      <c r="W58" s="26">
        <f>MIRR($H$52:W52,$G$56,$G$55)</f>
        <v>-1</v>
      </c>
      <c r="X58" s="26">
        <f>MIRR($H$52:X52,$G$56,$G$55)</f>
        <v>-1</v>
      </c>
      <c r="Y58" s="26">
        <f>MIRR($H$52:Y52,$G$56,$G$55)</f>
        <v>-1</v>
      </c>
      <c r="Z58" s="26">
        <f>MIRR($H$52:Z52,$G$56,$G$55)</f>
        <v>-1</v>
      </c>
      <c r="AA58" s="26">
        <f>MIRR($H$52:AA52,$G$56,$G$55)</f>
        <v>-1</v>
      </c>
      <c r="AB58" s="26">
        <f>MIRR($H$52:AB52,$G$56,$G$55)</f>
        <v>-1</v>
      </c>
      <c r="AC58" s="26">
        <f>MIRR($H$52:AC52,$G$56,$G$55)</f>
        <v>-1</v>
      </c>
      <c r="AD58" s="26">
        <f>MIRR($H$52:AD52,$G$56,$G$55)</f>
        <v>-1</v>
      </c>
      <c r="AE58" s="26">
        <f>MIRR($H$52:AE52,$G$56,$G$55)</f>
        <v>-1</v>
      </c>
      <c r="AF58" s="26">
        <f>MIRR($H$52:AF52,$G$56,$G$55)</f>
        <v>-1</v>
      </c>
      <c r="AG58" s="26">
        <f>MIRR($H$52:AG52,$G$56,$G$55)</f>
        <v>-1</v>
      </c>
      <c r="AH58" s="26">
        <f>MIRR($H$52:AH52,$G$56,$G$55)</f>
        <v>-1</v>
      </c>
      <c r="AI58" s="26">
        <f>MIRR($H$52:AI52,$G$56,$G$55)</f>
        <v>-1</v>
      </c>
      <c r="AJ58" s="26">
        <f>MIRR($H$52:AJ52,$G$56,$G$55)</f>
        <v>-1</v>
      </c>
      <c r="AK58" s="26">
        <f>MIRR($H$52:AK52,$G$56,$G$55)</f>
        <v>-1</v>
      </c>
      <c r="AL58" s="26">
        <f>MIRR($H$52:AL52,$G$56,$G$55)</f>
        <v>-1</v>
      </c>
      <c r="AM58" s="26">
        <f>MIRR($H$52:AM52,$G$56,$G$55)</f>
        <v>-1</v>
      </c>
      <c r="AN58" s="26">
        <f>MIRR($H$52:AN52,$G$56,$G$55)</f>
        <v>-7.2451425220631083E-2</v>
      </c>
      <c r="AO58" s="26">
        <f>MIRR($H$52:AO52,$G$56,$G$55)</f>
        <v>-7.0218956845947589E-2</v>
      </c>
      <c r="AP58" s="26">
        <f>MIRR($H$52:AP52,$G$56,$G$55)</f>
        <v>-6.8111919418653133E-2</v>
      </c>
      <c r="AQ58" s="26">
        <f>MIRR($H$52:AQ52,$G$56,$G$55)</f>
        <v>-6.6119954601404518E-2</v>
      </c>
      <c r="AR58" s="26">
        <f>MIRR($H$52:AR52,$G$56,$G$55)</f>
        <v>-6.4233813458743128E-2</v>
      </c>
      <c r="AS58" s="26">
        <f>MIRR($H$52:AS52,$G$56,$G$55)</f>
        <v>-6.2445211857890426E-2</v>
      </c>
      <c r="AT58" s="26">
        <f>MIRR($H$52:AT52,$G$56,$G$55)</f>
        <v>-6.0746707901528474E-2</v>
      </c>
      <c r="AU58" s="26">
        <f>MIRR($H$52:AU52,$G$56,$G$55)</f>
        <v>-5.9131597574824557E-2</v>
      </c>
      <c r="AV58" s="26">
        <f>MIRR($H$52:AV52,$G$56,$G$55)</f>
        <v>-5.7593825526421116E-2</v>
      </c>
      <c r="AW58" s="26">
        <f>MIRR($H$52:AW52,$G$56,$G$55)</f>
        <v>-5.6127908484167044E-2</v>
      </c>
      <c r="AX58" s="26">
        <f>MIRR($H$52:AX52,$G$56,$G$55)</f>
        <v>-5.4728869266998936E-2</v>
      </c>
      <c r="AY58" s="26">
        <f>MIRR($H$52:AY52,$G$56,$G$55)</f>
        <v>-5.3392179721686195E-2</v>
      </c>
      <c r="AZ58" s="26">
        <f>MIRR($H$52:AZ52,$G$56,$G$55)</f>
        <v>-5.2113711207677382E-2</v>
      </c>
      <c r="BA58" s="26">
        <f>MIRR($H$52:BA52,$G$56,$G$55)</f>
        <v>-5.088969149069289E-2</v>
      </c>
      <c r="BB58" s="26">
        <f>MIRR($H$52:BB52,$G$56,$G$55)</f>
        <v>-4.9716667098050227E-2</v>
      </c>
      <c r="BC58" s="26">
        <f>MIRR($H$52:BC52,$G$56,$G$55)</f>
        <v>-4.8591470345286325E-2</v>
      </c>
      <c r="BD58" s="26">
        <f>MIRR($H$52:BD52,$G$56,$G$55)</f>
        <v>-4.7511190371688383E-2</v>
      </c>
      <c r="BE58" s="26">
        <f>MIRR($H$52:BE52,$G$56,$G$55)</f>
        <v>-4.6473147627534406E-2</v>
      </c>
      <c r="BF58" s="26">
        <f>MIRR($H$52:BF52,$G$56,$G$55)</f>
        <v>-4.5474871342604306E-2</v>
      </c>
      <c r="BG58" s="26">
        <f>MIRR($H$52:BG52,$G$56,$G$55)</f>
        <v>-4.4514079577380516E-2</v>
      </c>
      <c r="BH58" s="26">
        <f>MIRR($H$52:BH52,$G$56,$G$55)</f>
        <v>-4.3588661518106808E-2</v>
      </c>
      <c r="BI58" s="26">
        <f>MIRR($H$52:BI52,$G$56,$G$55)</f>
        <v>-4.2696661726724705E-2</v>
      </c>
      <c r="BJ58" s="26">
        <f>MIRR($H$52:BJ52,$G$56,$G$55)</f>
        <v>-4.1832778341146182E-2</v>
      </c>
      <c r="BK58" s="26">
        <f>MIRR($H$52:BK52,$G$56,$G$55)</f>
        <v>-4.0993046848940229E-2</v>
      </c>
      <c r="BL58" s="26">
        <f>MIRR($H$52:BL52,$G$56,$G$55)</f>
        <v>-4.0176250248594725E-2</v>
      </c>
      <c r="BM58" s="26">
        <f>MIRR($H$52:BM52,$G$56,$G$55)</f>
        <v>-3.9381262065954048E-2</v>
      </c>
      <c r="BN58" s="26">
        <f>MIRR($H$52:BN52,$G$56,$G$55)</f>
        <v>-3.860703848371827E-2</v>
      </c>
      <c r="BO58" s="26">
        <f>MIRR($H$52:BO52,$G$56,$G$55)</f>
        <v>-3.7852611236634637E-2</v>
      </c>
      <c r="BP58" s="26">
        <f>MIRR($H$52:BP52,$G$56,$G$55)</f>
        <v>-3.7117081186330281E-2</v>
      </c>
      <c r="BQ58" s="26">
        <f>MIRR($H$52:BQ52,$G$56,$G$55)</f>
        <v>-3.6399612500909728E-2</v>
      </c>
      <c r="BR58" s="26">
        <f>MIRR($H$52:BR52,$G$56,$G$55)</f>
        <v>-3.5699427374009218E-2</v>
      </c>
      <c r="BS58" s="26">
        <f>MIRR($H$52:BS52,$G$56,$G$55)</f>
        <v>-3.5015801226202514E-2</v>
      </c>
      <c r="BT58" s="26">
        <f>MIRR($H$52:BT52,$G$56,$G$55)</f>
        <v>-3.4348058338696252E-2</v>
      </c>
      <c r="BU58" s="26">
        <f>MIRR($H$52:BU52,$G$56,$G$55)</f>
        <v>-3.3695567875329679E-2</v>
      </c>
      <c r="BV58" s="26">
        <f>MIRR($H$52:BV52,$G$56,$G$55)</f>
        <v>-3.305774025412711E-2</v>
      </c>
      <c r="BW58" s="26">
        <f>MIRR($H$52:BW52,$G$56,$G$55)</f>
        <v>-3.2434023834179149E-2</v>
      </c>
      <c r="BX58" s="26">
        <f>MIRR($H$52:BX52,$G$56,$G$55)</f>
        <v>-3.1823901887556238E-2</v>
      </c>
      <c r="BY58" s="26">
        <f>MIRR($H$52:BY52,$G$56,$G$55)</f>
        <v>-3.1226889829359838E-2</v>
      </c>
      <c r="BZ58" s="26">
        <f>MIRR($H$52:BZ52,$G$56,$G$55)</f>
        <v>-3.0642532681978918E-2</v>
      </c>
      <c r="CA58" s="26">
        <f>MIRR($H$52:CA52,$G$56,$G$55)</f>
        <v>-3.0070402752203629E-2</v>
      </c>
      <c r="CB58" s="26">
        <f>MIRR($H$52:CB52,$G$56,$G$55)</f>
        <v>-2.9510097502099653E-2</v>
      </c>
      <c r="CC58" s="26">
        <f>MIRR($H$52:CC52,$G$56,$G$55)</f>
        <v>-2.8961237596522249E-2</v>
      </c>
      <c r="CD58" s="26">
        <f>MIRR($H$52:CD52,$G$56,$G$55)</f>
        <v>-2.8423465111877433E-2</v>
      </c>
      <c r="CE58" s="26">
        <f>MIRR($H$52:CE52,$G$56,$G$55)</f>
        <v>-2.7896441892265256E-2</v>
      </c>
      <c r="CF58" s="26">
        <f>MIRR($H$52:CF52,$G$56,$G$55)</f>
        <v>-2.7379848040474664E-2</v>
      </c>
      <c r="CG58" s="26">
        <f>MIRR($H$52:CG52,$G$56,$G$55)</f>
        <v>-2.6873380532492885E-2</v>
      </c>
      <c r="CH58" s="26">
        <f>MIRR($H$52:CH52,$G$56,$G$55)</f>
        <v>-2.6376751945236254E-2</v>
      </c>
      <c r="CI58" s="26">
        <f>MIRR($H$52:CI52,$G$56,$G$55)</f>
        <v>-2.5889689288149831E-2</v>
      </c>
      <c r="CJ58" s="26">
        <f>MIRR($H$52:CJ52,$G$56,$G$55)</f>
        <v>-2.5411932930148873E-2</v>
      </c>
      <c r="CK58" s="26">
        <f>MIRR($H$52:CK52,$G$56,$G$55)</f>
        <v>-2.4943235614123371E-2</v>
      </c>
      <c r="CL58" s="26">
        <f>MIRR($H$52:CL52,$G$56,$G$55)</f>
        <v>-2.4483361551892457E-2</v>
      </c>
      <c r="CM58" s="26">
        <f>MIRR($H$52:CM52,$G$56,$G$55)</f>
        <v>-2.4032085593093777E-2</v>
      </c>
      <c r="CN58" s="26">
        <f>MIRR($H$52:CN52,$G$56,$G$55)</f>
        <v>-2.3589192462034836E-2</v>
      </c>
      <c r="CO58" s="26">
        <f>MIRR($H$52:CO52,$G$56,$G$55)</f>
        <v>-2.315447605702059E-2</v>
      </c>
      <c r="CP58" s="26">
        <f>MIRR($H$52:CP52,$G$56,$G$55)</f>
        <v>-2.2727738807116982E-2</v>
      </c>
      <c r="CQ58" s="26">
        <f>MIRR($H$52:CQ52,$G$56,$G$55)</f>
        <v>-2.2308791081711909E-2</v>
      </c>
      <c r="CR58" s="26">
        <f>MIRR($H$52:CR52,$G$56,$G$55)</f>
        <v>-2.1897450648602268E-2</v>
      </c>
      <c r="CS58" s="26">
        <f>MIRR($H$52:CS52,$G$56,$G$55)</f>
        <v>-2.1493542176674096E-2</v>
      </c>
      <c r="CT58" s="26">
        <f>MIRR($H$52:CT52,$G$56,$G$55)</f>
        <v>-2.109689677954818E-2</v>
      </c>
      <c r="CU58" s="26">
        <f>MIRR($H$52:CU52,$G$56,$G$55)</f>
        <v>-5.0856717370592053E-3</v>
      </c>
    </row>
    <row r="59" spans="1:99" x14ac:dyDescent="0.25">
      <c r="F59" s="36"/>
      <c r="G59" s="45"/>
      <c r="H59" s="37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</row>
  </sheetData>
  <mergeCells count="8">
    <mergeCell ref="BO53:BZ53"/>
    <mergeCell ref="CA53:CL53"/>
    <mergeCell ref="CM53:CU53"/>
    <mergeCell ref="H53:R53"/>
    <mergeCell ref="S53:AD53"/>
    <mergeCell ref="AE53:AP53"/>
    <mergeCell ref="AQ53:BB53"/>
    <mergeCell ref="BC53:BN53"/>
  </mergeCells>
  <conditionalFormatting sqref="AG19 AG22 AJ19 AJ22 AM19 AM22 AP22">
    <cfRule type="cellIs" dxfId="27" priority="13" stopIfTrue="1" operator="equal">
      <formula>#REF!</formula>
    </cfRule>
  </conditionalFormatting>
  <conditionalFormatting sqref="Y22:AF22 AH19:AI19 AH22:AI22 AK19:AL19 AK22:AL22 AN22:AO22 H33:V39 W33:CU36 W38:BC38 W39:CU39 N24:R24 H23:M24 N23:CU23 H16:W17 Y16:CU16 X17:AX17 H6:W11 X9:Y11 Y7:AM7 X8:AM8 X6:AM6 Z9:AM9 Z10:CU11 AN6:CU9 Y19:AF19 H40:CU45 H2:CU5 H13:CU15 H18:H22 AQ22:CU22 H25:CU32 K22:R22 K18:K21 V21:AM21 W20:AK20 AT18:AX21 BC17:CU21 V18:AM18">
    <cfRule type="cellIs" dxfId="26" priority="15" stopIfTrue="1" operator="equal">
      <formula>#REF!</formula>
    </cfRule>
  </conditionalFormatting>
  <conditionalFormatting sqref="X7 X16 V19:X19 S22:X22 W37:CU37 S24:CU24">
    <cfRule type="cellIs" dxfId="25" priority="14" stopIfTrue="1" operator="equal">
      <formula>#REF!</formula>
    </cfRule>
  </conditionalFormatting>
  <conditionalFormatting sqref="H12:CU12">
    <cfRule type="cellIs" dxfId="24" priority="12" stopIfTrue="1" operator="equal">
      <formula>#REF!</formula>
    </cfRule>
  </conditionalFormatting>
  <conditionalFormatting sqref="H46:AN46">
    <cfRule type="cellIs" dxfId="23" priority="11" stopIfTrue="1" operator="equal">
      <formula>#REF!</formula>
    </cfRule>
  </conditionalFormatting>
  <conditionalFormatting sqref="H47:AN47">
    <cfRule type="cellIs" dxfId="22" priority="10" stopIfTrue="1" operator="equal">
      <formula>#REF!</formula>
    </cfRule>
  </conditionalFormatting>
  <conditionalFormatting sqref="AO46:CU46">
    <cfRule type="cellIs" dxfId="21" priority="9" stopIfTrue="1" operator="equal">
      <formula>#REF!</formula>
    </cfRule>
  </conditionalFormatting>
  <conditionalFormatting sqref="AO47:CU47">
    <cfRule type="cellIs" dxfId="20" priority="8" stopIfTrue="1" operator="equal">
      <formula>#REF!</formula>
    </cfRule>
  </conditionalFormatting>
  <conditionalFormatting sqref="I18:J22">
    <cfRule type="cellIs" dxfId="19" priority="7" stopIfTrue="1" operator="equal">
      <formula>#REF!</formula>
    </cfRule>
  </conditionalFormatting>
  <conditionalFormatting sqref="L18:P21">
    <cfRule type="cellIs" dxfId="18" priority="6" stopIfTrue="1" operator="equal">
      <formula>#REF!</formula>
    </cfRule>
  </conditionalFormatting>
  <conditionalFormatting sqref="Q18:U21">
    <cfRule type="cellIs" dxfId="17" priority="5" stopIfTrue="1" operator="equal">
      <formula>#REF!</formula>
    </cfRule>
  </conditionalFormatting>
  <conditionalFormatting sqref="V20">
    <cfRule type="cellIs" dxfId="16" priority="4" stopIfTrue="1" operator="equal">
      <formula>#REF!</formula>
    </cfRule>
  </conditionalFormatting>
  <conditionalFormatting sqref="AL20:AM20">
    <cfRule type="cellIs" dxfId="15" priority="3" stopIfTrue="1" operator="equal">
      <formula>#REF!</formula>
    </cfRule>
  </conditionalFormatting>
  <conditionalFormatting sqref="AN18:AS21">
    <cfRule type="cellIs" dxfId="14" priority="2" stopIfTrue="1" operator="equal">
      <formula>#REF!</formula>
    </cfRule>
  </conditionalFormatting>
  <conditionalFormatting sqref="AY17:BB21">
    <cfRule type="cellIs" dxfId="13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5"/>
  <dimension ref="A1:CU59"/>
  <sheetViews>
    <sheetView zoomScale="85" zoomScaleNormal="85" workbookViewId="0">
      <pane xSplit="7" ySplit="1" topLeftCell="W5" activePane="bottomRight" state="frozen"/>
      <selection pane="topRight" activeCell="J1" sqref="J1"/>
      <selection pane="bottomLeft" activeCell="A9" sqref="A9"/>
      <selection pane="bottomRight" activeCell="E19" sqref="E19"/>
    </sheetView>
  </sheetViews>
  <sheetFormatPr baseColWidth="10" defaultColWidth="10.7109375" defaultRowHeight="15" x14ac:dyDescent="0.25"/>
  <cols>
    <col min="1" max="1" width="12.5703125" style="11" bestFit="1" customWidth="1"/>
    <col min="2" max="2" width="24.140625" style="11" bestFit="1" customWidth="1"/>
    <col min="3" max="3" width="57.85546875" style="11" bestFit="1" customWidth="1"/>
    <col min="4" max="4" width="10.7109375" style="12"/>
    <col min="5" max="5" width="14" style="11" customWidth="1"/>
    <col min="6" max="6" width="18" style="11" customWidth="1"/>
    <col min="7" max="7" width="18.28515625" style="39" bestFit="1" customWidth="1"/>
    <col min="8" max="10" width="10.7109375" style="39"/>
    <col min="11" max="11" width="11.42578125" style="39" bestFit="1" customWidth="1"/>
    <col min="12" max="15" width="10.7109375" style="39"/>
    <col min="16" max="16" width="11.42578125" style="39" bestFit="1" customWidth="1"/>
    <col min="17" max="17" width="10.7109375" style="39"/>
    <col min="18" max="18" width="11.42578125" style="39" bestFit="1" customWidth="1"/>
    <col min="19" max="19" width="10.7109375" style="39"/>
    <col min="20" max="20" width="11.42578125" style="39" bestFit="1" customWidth="1"/>
    <col min="21" max="23" width="10.7109375" style="39"/>
    <col min="24" max="27" width="11.28515625" style="39" bestFit="1" customWidth="1"/>
    <col min="28" max="39" width="11.42578125" style="39" bestFit="1" customWidth="1"/>
    <col min="40" max="40" width="12.28515625" style="39" bestFit="1" customWidth="1"/>
    <col min="41" max="55" width="10.7109375" style="39"/>
    <col min="56" max="99" width="10.7109375" style="11"/>
    <col min="100" max="100" width="12.85546875" style="11" bestFit="1" customWidth="1"/>
    <col min="101" max="16384" width="10.7109375" style="11"/>
  </cols>
  <sheetData>
    <row r="1" spans="1:99" x14ac:dyDescent="0.25">
      <c r="A1" s="43" t="s">
        <v>191</v>
      </c>
      <c r="B1" s="43" t="s">
        <v>192</v>
      </c>
      <c r="C1" s="43" t="s">
        <v>193</v>
      </c>
      <c r="D1" s="44" t="s">
        <v>184</v>
      </c>
      <c r="E1" s="16" t="s">
        <v>194</v>
      </c>
      <c r="F1" s="16" t="s">
        <v>195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46</v>
      </c>
      <c r="M1" s="17" t="s">
        <v>47</v>
      </c>
      <c r="N1" s="17" t="s">
        <v>48</v>
      </c>
      <c r="O1" s="17" t="s">
        <v>49</v>
      </c>
      <c r="P1" s="17" t="s">
        <v>50</v>
      </c>
      <c r="Q1" s="17" t="s">
        <v>51</v>
      </c>
      <c r="R1" s="17" t="s">
        <v>52</v>
      </c>
      <c r="S1" s="17" t="s">
        <v>53</v>
      </c>
      <c r="T1" s="17" t="s">
        <v>54</v>
      </c>
      <c r="U1" s="17" t="s">
        <v>55</v>
      </c>
      <c r="V1" s="17" t="s">
        <v>56</v>
      </c>
      <c r="W1" s="17" t="s">
        <v>57</v>
      </c>
      <c r="X1" s="17" t="s">
        <v>58</v>
      </c>
      <c r="Y1" s="17" t="s">
        <v>59</v>
      </c>
      <c r="Z1" s="17" t="s">
        <v>60</v>
      </c>
      <c r="AA1" s="17" t="s">
        <v>61</v>
      </c>
      <c r="AB1" s="17" t="s">
        <v>62</v>
      </c>
      <c r="AC1" s="17" t="s">
        <v>63</v>
      </c>
      <c r="AD1" s="17" t="s">
        <v>64</v>
      </c>
      <c r="AE1" s="17" t="s">
        <v>65</v>
      </c>
      <c r="AF1" s="17" t="s">
        <v>66</v>
      </c>
      <c r="AG1" s="17" t="s">
        <v>67</v>
      </c>
      <c r="AH1" s="17" t="s">
        <v>68</v>
      </c>
      <c r="AI1" s="17" t="s">
        <v>69</v>
      </c>
      <c r="AJ1" s="17" t="s">
        <v>70</v>
      </c>
      <c r="AK1" s="17" t="s">
        <v>71</v>
      </c>
      <c r="AL1" s="17" t="s">
        <v>72</v>
      </c>
      <c r="AM1" s="17" t="s">
        <v>73</v>
      </c>
      <c r="AN1" s="17" t="s">
        <v>74</v>
      </c>
      <c r="AO1" s="17" t="s">
        <v>75</v>
      </c>
      <c r="AP1" s="17" t="s">
        <v>76</v>
      </c>
      <c r="AQ1" s="17" t="s">
        <v>77</v>
      </c>
      <c r="AR1" s="17" t="s">
        <v>78</v>
      </c>
      <c r="AS1" s="17" t="s">
        <v>79</v>
      </c>
      <c r="AT1" s="17" t="s">
        <v>80</v>
      </c>
      <c r="AU1" s="17" t="s">
        <v>81</v>
      </c>
      <c r="AV1" s="17" t="s">
        <v>82</v>
      </c>
      <c r="AW1" s="17" t="s">
        <v>83</v>
      </c>
      <c r="AX1" s="17" t="s">
        <v>84</v>
      </c>
      <c r="AY1" s="17" t="s">
        <v>85</v>
      </c>
      <c r="AZ1" s="17" t="s">
        <v>86</v>
      </c>
      <c r="BA1" s="17" t="s">
        <v>87</v>
      </c>
      <c r="BB1" s="17" t="s">
        <v>88</v>
      </c>
      <c r="BC1" s="17" t="s">
        <v>89</v>
      </c>
      <c r="BD1" s="17" t="s">
        <v>96</v>
      </c>
      <c r="BE1" s="17" t="s">
        <v>97</v>
      </c>
      <c r="BF1" s="17" t="s">
        <v>98</v>
      </c>
      <c r="BG1" s="17" t="s">
        <v>99</v>
      </c>
      <c r="BH1" s="17" t="s">
        <v>100</v>
      </c>
      <c r="BI1" s="17" t="s">
        <v>101</v>
      </c>
      <c r="BJ1" s="17" t="s">
        <v>102</v>
      </c>
      <c r="BK1" s="17" t="s">
        <v>103</v>
      </c>
      <c r="BL1" s="17" t="s">
        <v>104</v>
      </c>
      <c r="BM1" s="17" t="s">
        <v>105</v>
      </c>
      <c r="BN1" s="17" t="s">
        <v>106</v>
      </c>
      <c r="BO1" s="17" t="s">
        <v>107</v>
      </c>
      <c r="BP1" s="17" t="s">
        <v>108</v>
      </c>
      <c r="BQ1" s="17" t="s">
        <v>109</v>
      </c>
      <c r="BR1" s="17" t="s">
        <v>110</v>
      </c>
      <c r="BS1" s="17" t="s">
        <v>111</v>
      </c>
      <c r="BT1" s="17" t="s">
        <v>112</v>
      </c>
      <c r="BU1" s="17" t="s">
        <v>113</v>
      </c>
      <c r="BV1" s="17" t="s">
        <v>114</v>
      </c>
      <c r="BW1" s="17" t="s">
        <v>115</v>
      </c>
      <c r="BX1" s="17" t="s">
        <v>116</v>
      </c>
      <c r="BY1" s="17" t="s">
        <v>117</v>
      </c>
      <c r="BZ1" s="17" t="s">
        <v>118</v>
      </c>
      <c r="CA1" s="17" t="s">
        <v>119</v>
      </c>
      <c r="CB1" s="17" t="s">
        <v>120</v>
      </c>
      <c r="CC1" s="17" t="s">
        <v>121</v>
      </c>
      <c r="CD1" s="17" t="s">
        <v>122</v>
      </c>
      <c r="CE1" s="17" t="s">
        <v>123</v>
      </c>
      <c r="CF1" s="17" t="s">
        <v>124</v>
      </c>
      <c r="CG1" s="17" t="s">
        <v>125</v>
      </c>
      <c r="CH1" s="17" t="s">
        <v>126</v>
      </c>
      <c r="CI1" s="17" t="s">
        <v>127</v>
      </c>
      <c r="CJ1" s="17" t="s">
        <v>128</v>
      </c>
      <c r="CK1" s="17" t="s">
        <v>129</v>
      </c>
      <c r="CL1" s="17" t="s">
        <v>130</v>
      </c>
      <c r="CM1" s="17" t="s">
        <v>131</v>
      </c>
      <c r="CN1" s="17" t="s">
        <v>132</v>
      </c>
      <c r="CO1" s="17" t="s">
        <v>133</v>
      </c>
      <c r="CP1" s="17" t="s">
        <v>134</v>
      </c>
      <c r="CQ1" s="17" t="s">
        <v>135</v>
      </c>
      <c r="CR1" s="17" t="s">
        <v>136</v>
      </c>
      <c r="CS1" s="17" t="s">
        <v>137</v>
      </c>
      <c r="CT1" s="17" t="s">
        <v>138</v>
      </c>
      <c r="CU1" s="17" t="s">
        <v>139</v>
      </c>
    </row>
    <row r="2" spans="1:99" x14ac:dyDescent="0.25">
      <c r="A2" s="11" t="s">
        <v>4</v>
      </c>
      <c r="B2" s="11" t="s">
        <v>159</v>
      </c>
      <c r="C2" s="11" t="s">
        <v>31</v>
      </c>
      <c r="D2" s="40">
        <v>1</v>
      </c>
      <c r="E2" s="18">
        <v>5800</v>
      </c>
      <c r="F2" s="19">
        <f>D2*E2</f>
        <v>5800</v>
      </c>
      <c r="G2" s="20">
        <v>-5800</v>
      </c>
      <c r="H2" s="21">
        <v>0</v>
      </c>
      <c r="I2" s="21">
        <f>G2</f>
        <v>-5800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1">
        <v>0</v>
      </c>
      <c r="AG2" s="21">
        <v>0</v>
      </c>
      <c r="AH2" s="21">
        <v>0</v>
      </c>
      <c r="AI2" s="21">
        <v>0</v>
      </c>
      <c r="AJ2" s="21">
        <v>0</v>
      </c>
      <c r="AK2" s="21">
        <v>0</v>
      </c>
      <c r="AL2" s="21">
        <v>0</v>
      </c>
      <c r="AM2" s="21">
        <v>0</v>
      </c>
      <c r="AN2" s="21">
        <v>0</v>
      </c>
      <c r="AO2" s="21">
        <v>0</v>
      </c>
      <c r="AP2" s="21">
        <v>0</v>
      </c>
      <c r="AQ2" s="21">
        <v>0</v>
      </c>
      <c r="AR2" s="21">
        <v>0</v>
      </c>
      <c r="AS2" s="21">
        <v>0</v>
      </c>
      <c r="AT2" s="21">
        <v>0</v>
      </c>
      <c r="AU2" s="21">
        <v>0</v>
      </c>
      <c r="AV2" s="21">
        <v>0</v>
      </c>
      <c r="AW2" s="21">
        <v>0</v>
      </c>
      <c r="AX2" s="21">
        <v>0</v>
      </c>
      <c r="AY2" s="21">
        <v>0</v>
      </c>
      <c r="AZ2" s="21">
        <v>0</v>
      </c>
      <c r="BA2" s="21">
        <v>0</v>
      </c>
      <c r="BB2" s="21">
        <v>0</v>
      </c>
      <c r="BC2" s="21">
        <v>0</v>
      </c>
      <c r="BD2" s="21">
        <v>0</v>
      </c>
      <c r="BE2" s="21">
        <v>0</v>
      </c>
      <c r="BF2" s="21">
        <v>0</v>
      </c>
      <c r="BG2" s="21">
        <v>0</v>
      </c>
      <c r="BH2" s="21">
        <v>0</v>
      </c>
      <c r="BI2" s="21">
        <v>0</v>
      </c>
      <c r="BJ2" s="21">
        <v>0</v>
      </c>
      <c r="BK2" s="21">
        <v>0</v>
      </c>
      <c r="BL2" s="21">
        <v>0</v>
      </c>
      <c r="BM2" s="21">
        <v>0</v>
      </c>
      <c r="BN2" s="21">
        <v>0</v>
      </c>
      <c r="BO2" s="21">
        <v>0</v>
      </c>
      <c r="BP2" s="21">
        <v>0</v>
      </c>
      <c r="BQ2" s="21">
        <v>0</v>
      </c>
      <c r="BR2" s="21">
        <v>0</v>
      </c>
      <c r="BS2" s="21">
        <v>0</v>
      </c>
      <c r="BT2" s="21">
        <v>0</v>
      </c>
      <c r="BU2" s="21">
        <v>0</v>
      </c>
      <c r="BV2" s="21">
        <v>0</v>
      </c>
      <c r="BW2" s="21">
        <v>0</v>
      </c>
      <c r="BX2" s="21">
        <v>0</v>
      </c>
      <c r="BY2" s="21">
        <v>0</v>
      </c>
      <c r="BZ2" s="21">
        <v>0</v>
      </c>
      <c r="CA2" s="21">
        <v>0</v>
      </c>
      <c r="CB2" s="21">
        <v>0</v>
      </c>
      <c r="CC2" s="21">
        <v>0</v>
      </c>
      <c r="CD2" s="21">
        <v>0</v>
      </c>
      <c r="CE2" s="21">
        <v>0</v>
      </c>
      <c r="CF2" s="21">
        <v>0</v>
      </c>
      <c r="CG2" s="21">
        <v>0</v>
      </c>
      <c r="CH2" s="21">
        <v>0</v>
      </c>
      <c r="CI2" s="21">
        <v>0</v>
      </c>
      <c r="CJ2" s="21">
        <v>0</v>
      </c>
      <c r="CK2" s="21">
        <v>0</v>
      </c>
      <c r="CL2" s="21">
        <v>0</v>
      </c>
      <c r="CM2" s="21">
        <v>0</v>
      </c>
      <c r="CN2" s="21">
        <v>0</v>
      </c>
      <c r="CO2" s="21">
        <v>0</v>
      </c>
      <c r="CP2" s="21">
        <v>0</v>
      </c>
      <c r="CQ2" s="21">
        <v>0</v>
      </c>
      <c r="CR2" s="21">
        <v>0</v>
      </c>
      <c r="CS2" s="21">
        <v>0</v>
      </c>
      <c r="CT2" s="21">
        <v>0</v>
      </c>
      <c r="CU2" s="21">
        <v>0</v>
      </c>
    </row>
    <row r="3" spans="1:99" x14ac:dyDescent="0.25">
      <c r="A3" s="11" t="s">
        <v>4</v>
      </c>
      <c r="B3" s="11" t="s">
        <v>159</v>
      </c>
      <c r="C3" s="11" t="s">
        <v>18</v>
      </c>
      <c r="D3" s="41">
        <v>1</v>
      </c>
      <c r="E3" s="19">
        <v>1200</v>
      </c>
      <c r="F3" s="19">
        <f>D3*E3</f>
        <v>1200</v>
      </c>
      <c r="G3" s="13">
        <v>-1200</v>
      </c>
      <c r="H3" s="14">
        <v>0</v>
      </c>
      <c r="I3" s="14">
        <v>0</v>
      </c>
      <c r="J3" s="14">
        <v>0</v>
      </c>
      <c r="K3" s="14">
        <f>G3</f>
        <v>-1200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14">
        <v>0</v>
      </c>
      <c r="BU3" s="14">
        <v>0</v>
      </c>
      <c r="BV3" s="14">
        <v>0</v>
      </c>
      <c r="BW3" s="14">
        <v>0</v>
      </c>
      <c r="BX3" s="14">
        <v>0</v>
      </c>
      <c r="BY3" s="14">
        <v>0</v>
      </c>
      <c r="BZ3" s="14">
        <v>0</v>
      </c>
      <c r="CA3" s="14">
        <v>0</v>
      </c>
      <c r="CB3" s="14">
        <v>0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H3" s="14">
        <v>0</v>
      </c>
      <c r="CI3" s="14">
        <v>0</v>
      </c>
      <c r="CJ3" s="14">
        <v>0</v>
      </c>
      <c r="CK3" s="14">
        <v>0</v>
      </c>
      <c r="CL3" s="14">
        <v>0</v>
      </c>
      <c r="CM3" s="14">
        <v>0</v>
      </c>
      <c r="CN3" s="14">
        <v>0</v>
      </c>
      <c r="CO3" s="14">
        <v>0</v>
      </c>
      <c r="CP3" s="14">
        <v>0</v>
      </c>
      <c r="CQ3" s="14">
        <v>0</v>
      </c>
      <c r="CR3" s="14">
        <v>0</v>
      </c>
      <c r="CS3" s="14">
        <v>0</v>
      </c>
      <c r="CT3" s="14">
        <v>0</v>
      </c>
      <c r="CU3" s="14">
        <v>0</v>
      </c>
    </row>
    <row r="4" spans="1:99" x14ac:dyDescent="0.25">
      <c r="A4" s="11" t="s">
        <v>4</v>
      </c>
      <c r="B4" s="11" t="s">
        <v>159</v>
      </c>
      <c r="C4" s="11" t="s">
        <v>19</v>
      </c>
      <c r="D4" s="41">
        <v>1</v>
      </c>
      <c r="E4" s="19">
        <v>4500</v>
      </c>
      <c r="F4" s="19">
        <f>E4*D4</f>
        <v>4500</v>
      </c>
      <c r="G4" s="13">
        <v>-4500</v>
      </c>
      <c r="H4" s="14">
        <v>0</v>
      </c>
      <c r="I4" s="14">
        <v>0</v>
      </c>
      <c r="J4" s="14">
        <v>0</v>
      </c>
      <c r="K4" s="14">
        <f>G4</f>
        <v>-4500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14">
        <v>0</v>
      </c>
      <c r="BV4" s="14">
        <v>0</v>
      </c>
      <c r="BW4" s="14">
        <v>0</v>
      </c>
      <c r="BX4" s="14">
        <v>0</v>
      </c>
      <c r="BY4" s="14">
        <v>0</v>
      </c>
      <c r="BZ4" s="14">
        <v>0</v>
      </c>
      <c r="CA4" s="14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  <c r="CN4" s="14">
        <v>0</v>
      </c>
      <c r="CO4" s="14">
        <v>0</v>
      </c>
      <c r="CP4" s="14">
        <v>0</v>
      </c>
      <c r="CQ4" s="14">
        <v>0</v>
      </c>
      <c r="CR4" s="14">
        <v>0</v>
      </c>
      <c r="CS4" s="14">
        <v>0</v>
      </c>
      <c r="CT4" s="14">
        <v>0</v>
      </c>
      <c r="CU4" s="14">
        <v>0</v>
      </c>
    </row>
    <row r="5" spans="1:99" x14ac:dyDescent="0.25">
      <c r="A5" s="11" t="s">
        <v>4</v>
      </c>
      <c r="B5" s="11" t="s">
        <v>159</v>
      </c>
      <c r="C5" s="11" t="s">
        <v>9</v>
      </c>
      <c r="D5" s="41">
        <v>0.21</v>
      </c>
      <c r="E5" s="19">
        <f>F3+F4+F2</f>
        <v>11500</v>
      </c>
      <c r="F5" s="19">
        <f>D5*E5</f>
        <v>2415</v>
      </c>
      <c r="G5" s="13">
        <f>(G2+G3+G4)*0.21</f>
        <v>-2415</v>
      </c>
      <c r="H5" s="14">
        <f>(H2+H3+H4)*0.21</f>
        <v>0</v>
      </c>
      <c r="I5" s="14">
        <f>(I2+I3+I4)*0.21</f>
        <v>-1218</v>
      </c>
      <c r="J5" s="14">
        <v>0</v>
      </c>
      <c r="K5" s="14">
        <f>(K2+K3+K4)*0.21</f>
        <v>-1197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</row>
    <row r="6" spans="1:99" x14ac:dyDescent="0.25">
      <c r="A6" s="11" t="s">
        <v>4</v>
      </c>
      <c r="B6" s="11" t="s">
        <v>160</v>
      </c>
      <c r="C6" s="11" t="s">
        <v>15</v>
      </c>
      <c r="D6" s="12">
        <v>5.6099999999999997E-2</v>
      </c>
      <c r="E6" s="11">
        <f>F16</f>
        <v>435994.64999999997</v>
      </c>
      <c r="F6" s="11">
        <f>E6*D6</f>
        <v>24459.299864999997</v>
      </c>
      <c r="G6" s="20">
        <f t="shared" ref="G6:G37" si="0">-F6</f>
        <v>-24459.299864999997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f>G6</f>
        <v>-24459.299864999997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1">
        <v>0</v>
      </c>
      <c r="BA6" s="21">
        <v>0</v>
      </c>
      <c r="BB6" s="21">
        <v>0</v>
      </c>
      <c r="BC6" s="21">
        <v>0</v>
      </c>
      <c r="BD6" s="21">
        <v>0</v>
      </c>
      <c r="BE6" s="21">
        <v>0</v>
      </c>
      <c r="BF6" s="21">
        <v>0</v>
      </c>
      <c r="BG6" s="21">
        <v>0</v>
      </c>
      <c r="BH6" s="21">
        <v>0</v>
      </c>
      <c r="BI6" s="21">
        <v>0</v>
      </c>
      <c r="BJ6" s="21">
        <v>0</v>
      </c>
      <c r="BK6" s="21">
        <v>0</v>
      </c>
      <c r="BL6" s="21">
        <v>0</v>
      </c>
      <c r="BM6" s="21">
        <v>0</v>
      </c>
      <c r="BN6" s="21">
        <v>0</v>
      </c>
      <c r="BO6" s="21">
        <v>0</v>
      </c>
      <c r="BP6" s="21">
        <v>0</v>
      </c>
      <c r="BQ6" s="21">
        <v>0</v>
      </c>
      <c r="BR6" s="21">
        <v>0</v>
      </c>
      <c r="BS6" s="21">
        <v>0</v>
      </c>
      <c r="BT6" s="21">
        <v>0</v>
      </c>
      <c r="BU6" s="21">
        <v>0</v>
      </c>
      <c r="BV6" s="21">
        <v>0</v>
      </c>
      <c r="BW6" s="21">
        <v>0</v>
      </c>
      <c r="BX6" s="21">
        <v>0</v>
      </c>
      <c r="BY6" s="21">
        <v>0</v>
      </c>
      <c r="BZ6" s="21">
        <v>0</v>
      </c>
      <c r="CA6" s="21">
        <v>0</v>
      </c>
      <c r="CB6" s="21">
        <v>0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0</v>
      </c>
      <c r="CI6" s="21">
        <v>0</v>
      </c>
      <c r="CJ6" s="21">
        <v>0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</row>
    <row r="7" spans="1:99" x14ac:dyDescent="0.25">
      <c r="A7" s="11" t="s">
        <v>4</v>
      </c>
      <c r="B7" s="11" t="s">
        <v>160</v>
      </c>
      <c r="C7" s="11" t="s">
        <v>16</v>
      </c>
      <c r="D7" s="12">
        <v>4.7699999999999999E-2</v>
      </c>
      <c r="E7" s="11">
        <f>F16</f>
        <v>435994.64999999997</v>
      </c>
      <c r="F7" s="11">
        <f>E7*D7</f>
        <v>20796.944804999999</v>
      </c>
      <c r="G7" s="13">
        <f t="shared" si="0"/>
        <v>-20796.944804999999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f>G7*0.3</f>
        <v>-6239.0834414999999</v>
      </c>
      <c r="Y7" s="14">
        <f>0.7*G7</f>
        <v>-14557.861363499998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</row>
    <row r="8" spans="1:99" x14ac:dyDescent="0.25">
      <c r="A8" s="11" t="s">
        <v>4</v>
      </c>
      <c r="B8" s="11" t="s">
        <v>160</v>
      </c>
      <c r="C8" s="11" t="s">
        <v>161</v>
      </c>
      <c r="D8" s="12">
        <v>7.0000000000000001E-3</v>
      </c>
      <c r="E8" s="11">
        <f>F16</f>
        <v>435994.64999999997</v>
      </c>
      <c r="F8" s="11">
        <f t="shared" ref="F8:F19" si="1">D8*E8</f>
        <v>3051.9625499999997</v>
      </c>
      <c r="G8" s="13">
        <f t="shared" si="0"/>
        <v>-3051.9625499999997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f>G8*0.5</f>
        <v>-1525.9812749999999</v>
      </c>
      <c r="Y8" s="14">
        <f>G8*0.5</f>
        <v>-1525.9812749999999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</row>
    <row r="9" spans="1:99" x14ac:dyDescent="0.25">
      <c r="A9" s="11" t="s">
        <v>4</v>
      </c>
      <c r="B9" s="11" t="s">
        <v>160</v>
      </c>
      <c r="C9" s="11" t="s">
        <v>13</v>
      </c>
      <c r="D9" s="12">
        <v>5.6099999999999997E-2</v>
      </c>
      <c r="E9" s="11">
        <f>F18+F19</f>
        <v>6812506.3684014995</v>
      </c>
      <c r="F9" s="11">
        <f t="shared" si="1"/>
        <v>382181.60726732411</v>
      </c>
      <c r="G9" s="13">
        <f t="shared" si="0"/>
        <v>-382181.60726732411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f>G9*0.4</f>
        <v>-152872.64290692966</v>
      </c>
      <c r="N9" s="14">
        <v>0</v>
      </c>
      <c r="O9" s="14">
        <v>0</v>
      </c>
      <c r="P9" s="14">
        <f>G9*0.6</f>
        <v>-229308.96436039446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</row>
    <row r="10" spans="1:99" x14ac:dyDescent="0.25">
      <c r="A10" s="11" t="s">
        <v>4</v>
      </c>
      <c r="B10" s="11" t="s">
        <v>160</v>
      </c>
      <c r="C10" s="11" t="s">
        <v>14</v>
      </c>
      <c r="D10" s="12">
        <v>4.7699999999999999E-2</v>
      </c>
      <c r="E10" s="11">
        <f>F18+F19</f>
        <v>6812506.3684014995</v>
      </c>
      <c r="F10" s="11">
        <f t="shared" si="1"/>
        <v>324956.55377275153</v>
      </c>
      <c r="G10" s="13">
        <f t="shared" si="0"/>
        <v>-324956.55377275153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f>$G10/14</f>
        <v>-23211.182412339396</v>
      </c>
      <c r="AA10" s="14">
        <f t="shared" ref="AA10:AM10" si="2">$G10/14</f>
        <v>-23211.182412339396</v>
      </c>
      <c r="AB10" s="14">
        <f t="shared" si="2"/>
        <v>-23211.182412339396</v>
      </c>
      <c r="AC10" s="14">
        <f t="shared" si="2"/>
        <v>-23211.182412339396</v>
      </c>
      <c r="AD10" s="14">
        <f t="shared" si="2"/>
        <v>-23211.182412339396</v>
      </c>
      <c r="AE10" s="14">
        <f t="shared" si="2"/>
        <v>-23211.182412339396</v>
      </c>
      <c r="AF10" s="14">
        <f t="shared" si="2"/>
        <v>-23211.182412339396</v>
      </c>
      <c r="AG10" s="14">
        <f t="shared" si="2"/>
        <v>-23211.182412339396</v>
      </c>
      <c r="AH10" s="14">
        <f t="shared" si="2"/>
        <v>-23211.182412339396</v>
      </c>
      <c r="AI10" s="14">
        <f t="shared" si="2"/>
        <v>-23211.182412339396</v>
      </c>
      <c r="AJ10" s="14">
        <f t="shared" si="2"/>
        <v>-23211.182412339396</v>
      </c>
      <c r="AK10" s="14">
        <f t="shared" si="2"/>
        <v>-23211.182412339396</v>
      </c>
      <c r="AL10" s="14">
        <f t="shared" si="2"/>
        <v>-23211.182412339396</v>
      </c>
      <c r="AM10" s="14">
        <f t="shared" si="2"/>
        <v>-23211.182412339396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</row>
    <row r="11" spans="1:99" x14ac:dyDescent="0.25">
      <c r="A11" s="11" t="s">
        <v>4</v>
      </c>
      <c r="B11" s="11" t="s">
        <v>160</v>
      </c>
      <c r="C11" s="11" t="s">
        <v>162</v>
      </c>
      <c r="D11" s="12">
        <v>7.0000000000000001E-3</v>
      </c>
      <c r="E11" s="11">
        <f>F18+F19</f>
        <v>6812506.3684014995</v>
      </c>
      <c r="F11" s="11">
        <f t="shared" si="1"/>
        <v>47687.544578810499</v>
      </c>
      <c r="G11" s="13">
        <f t="shared" si="0"/>
        <v>-47687.544578810499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f>$G$11/14</f>
        <v>-3406.2531842007497</v>
      </c>
      <c r="AA11" s="14">
        <f t="shared" ref="AA11:AM11" si="3">$G$11/14</f>
        <v>-3406.2531842007497</v>
      </c>
      <c r="AB11" s="14">
        <f t="shared" si="3"/>
        <v>-3406.2531842007497</v>
      </c>
      <c r="AC11" s="14">
        <f t="shared" si="3"/>
        <v>-3406.2531842007497</v>
      </c>
      <c r="AD11" s="14">
        <f t="shared" si="3"/>
        <v>-3406.2531842007497</v>
      </c>
      <c r="AE11" s="14">
        <f t="shared" si="3"/>
        <v>-3406.2531842007497</v>
      </c>
      <c r="AF11" s="14">
        <f t="shared" si="3"/>
        <v>-3406.2531842007497</v>
      </c>
      <c r="AG11" s="14">
        <f t="shared" si="3"/>
        <v>-3406.2531842007497</v>
      </c>
      <c r="AH11" s="14">
        <f t="shared" si="3"/>
        <v>-3406.2531842007497</v>
      </c>
      <c r="AI11" s="14">
        <f t="shared" si="3"/>
        <v>-3406.2531842007497</v>
      </c>
      <c r="AJ11" s="14">
        <f t="shared" si="3"/>
        <v>-3406.2531842007497</v>
      </c>
      <c r="AK11" s="14">
        <f t="shared" si="3"/>
        <v>-3406.2531842007497</v>
      </c>
      <c r="AL11" s="14">
        <f t="shared" si="3"/>
        <v>-3406.2531842007497</v>
      </c>
      <c r="AM11" s="14">
        <f t="shared" si="3"/>
        <v>-3406.2531842007497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</row>
    <row r="12" spans="1:99" x14ac:dyDescent="0.25">
      <c r="A12" s="11" t="s">
        <v>4</v>
      </c>
      <c r="B12" s="11" t="s">
        <v>160</v>
      </c>
      <c r="C12" s="11" t="s">
        <v>140</v>
      </c>
      <c r="D12" s="12">
        <v>0.02</v>
      </c>
      <c r="E12" s="11">
        <f>F19+F18+F16</f>
        <v>7248501.0184014998</v>
      </c>
      <c r="F12" s="11">
        <f t="shared" si="1"/>
        <v>144970.02036803</v>
      </c>
      <c r="G12" s="13">
        <f t="shared" si="0"/>
        <v>-144970.02036803</v>
      </c>
      <c r="H12" s="14">
        <v>0</v>
      </c>
      <c r="I12" s="14">
        <v>0</v>
      </c>
      <c r="J12" s="14">
        <v>0</v>
      </c>
      <c r="K12" s="14">
        <f>G12*0.05</f>
        <v>-7248.5010184015009</v>
      </c>
      <c r="L12" s="14">
        <v>0</v>
      </c>
      <c r="M12" s="14">
        <v>0</v>
      </c>
      <c r="N12" s="14">
        <v>0</v>
      </c>
      <c r="O12" s="14">
        <v>0</v>
      </c>
      <c r="P12" s="14">
        <f>G12*0.15</f>
        <v>-21745.503055204499</v>
      </c>
      <c r="Q12" s="14">
        <v>0</v>
      </c>
      <c r="R12" s="14">
        <f>G12*0.05</f>
        <v>-7248.5010184015009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f t="shared" ref="X12:AL12" si="4">$G$12*0.04</f>
        <v>-5798.8008147212004</v>
      </c>
      <c r="Y12" s="14">
        <f t="shared" si="4"/>
        <v>-5798.8008147212004</v>
      </c>
      <c r="Z12" s="14">
        <f t="shared" si="4"/>
        <v>-5798.8008147212004</v>
      </c>
      <c r="AA12" s="14">
        <f t="shared" si="4"/>
        <v>-5798.8008147212004</v>
      </c>
      <c r="AB12" s="14">
        <f t="shared" si="4"/>
        <v>-5798.8008147212004</v>
      </c>
      <c r="AC12" s="14">
        <f t="shared" si="4"/>
        <v>-5798.8008147212004</v>
      </c>
      <c r="AD12" s="14">
        <f t="shared" si="4"/>
        <v>-5798.8008147212004</v>
      </c>
      <c r="AE12" s="14">
        <f t="shared" si="4"/>
        <v>-5798.8008147212004</v>
      </c>
      <c r="AF12" s="14">
        <f t="shared" si="4"/>
        <v>-5798.8008147212004</v>
      </c>
      <c r="AG12" s="14">
        <f t="shared" si="4"/>
        <v>-5798.8008147212004</v>
      </c>
      <c r="AH12" s="14">
        <f t="shared" si="4"/>
        <v>-5798.8008147212004</v>
      </c>
      <c r="AI12" s="14">
        <f t="shared" si="4"/>
        <v>-5798.8008147212004</v>
      </c>
      <c r="AJ12" s="14">
        <f t="shared" si="4"/>
        <v>-5798.8008147212004</v>
      </c>
      <c r="AK12" s="14">
        <f t="shared" si="4"/>
        <v>-5798.8008147212004</v>
      </c>
      <c r="AL12" s="14">
        <f t="shared" si="4"/>
        <v>-5798.8008147212004</v>
      </c>
      <c r="AM12" s="14">
        <f>$G$12*0.04</f>
        <v>-5798.8008147212004</v>
      </c>
      <c r="AN12" s="14">
        <f>G12*0.11</f>
        <v>-15946.702240483301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</row>
    <row r="13" spans="1:99" x14ac:dyDescent="0.25">
      <c r="A13" s="11" t="s">
        <v>4</v>
      </c>
      <c r="B13" s="11" t="s">
        <v>160</v>
      </c>
      <c r="C13" s="11" t="s">
        <v>163</v>
      </c>
      <c r="D13" s="12">
        <v>0.21</v>
      </c>
      <c r="E13" s="11">
        <f>F6+F7+F8</f>
        <v>48308.207219999997</v>
      </c>
      <c r="F13" s="11">
        <f t="shared" si="1"/>
        <v>10144.7235162</v>
      </c>
      <c r="G13" s="13">
        <f t="shared" si="0"/>
        <v>-10144.7235162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f>SUM(M6:M8)*0.21</f>
        <v>-5136.4529716499992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f>(X7+X8)*0.21</f>
        <v>-1630.663590465</v>
      </c>
      <c r="Y13" s="14">
        <f>(Y7+Y8)*0.21</f>
        <v>-3377.6069540849994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</row>
    <row r="14" spans="1:99" x14ac:dyDescent="0.25">
      <c r="A14" s="11" t="s">
        <v>4</v>
      </c>
      <c r="B14" s="11" t="s">
        <v>160</v>
      </c>
      <c r="C14" s="11" t="s">
        <v>164</v>
      </c>
      <c r="D14" s="12">
        <v>0.21</v>
      </c>
      <c r="E14" s="11">
        <f>F9+F10+F11+F12</f>
        <v>899795.72598691611</v>
      </c>
      <c r="F14" s="11">
        <f t="shared" si="1"/>
        <v>188957.10245725239</v>
      </c>
      <c r="G14" s="13">
        <f t="shared" si="0"/>
        <v>-188957.10245725239</v>
      </c>
      <c r="H14" s="14">
        <v>0</v>
      </c>
      <c r="I14" s="14">
        <v>0</v>
      </c>
      <c r="J14" s="14">
        <v>0</v>
      </c>
      <c r="K14" s="14">
        <f>SUM(K9:K12)*0.21</f>
        <v>-1522.1852138643151</v>
      </c>
      <c r="L14" s="14">
        <v>0</v>
      </c>
      <c r="M14" s="14">
        <f>SUM(M9:M12)*0.21</f>
        <v>-32103.255010455228</v>
      </c>
      <c r="N14" s="14">
        <v>0</v>
      </c>
      <c r="O14" s="14">
        <v>0</v>
      </c>
      <c r="P14" s="14">
        <f>SUM(P9:P12)*0.21</f>
        <v>-52721.438157275777</v>
      </c>
      <c r="Q14" s="14">
        <v>0</v>
      </c>
      <c r="R14" s="14">
        <f>SUM(R9:R12)*0.21</f>
        <v>-1522.1852138643151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f t="shared" ref="X14:AN14" si="5">SUM(X9:X12)*0.21</f>
        <v>-1217.7481710914519</v>
      </c>
      <c r="Y14" s="14">
        <f t="shared" si="5"/>
        <v>-1217.7481710914519</v>
      </c>
      <c r="Z14" s="14">
        <f t="shared" si="5"/>
        <v>-6807.4096463648821</v>
      </c>
      <c r="AA14" s="14">
        <f t="shared" si="5"/>
        <v>-6807.4096463648821</v>
      </c>
      <c r="AB14" s="14">
        <f t="shared" si="5"/>
        <v>-6807.4096463648821</v>
      </c>
      <c r="AC14" s="14">
        <f t="shared" si="5"/>
        <v>-6807.4096463648821</v>
      </c>
      <c r="AD14" s="14">
        <f t="shared" si="5"/>
        <v>-6807.4096463648821</v>
      </c>
      <c r="AE14" s="14">
        <f t="shared" si="5"/>
        <v>-6807.4096463648821</v>
      </c>
      <c r="AF14" s="14">
        <f t="shared" si="5"/>
        <v>-6807.4096463648821</v>
      </c>
      <c r="AG14" s="14">
        <f t="shared" si="5"/>
        <v>-6807.4096463648821</v>
      </c>
      <c r="AH14" s="14">
        <f t="shared" si="5"/>
        <v>-6807.4096463648821</v>
      </c>
      <c r="AI14" s="14">
        <f t="shared" si="5"/>
        <v>-6807.4096463648821</v>
      </c>
      <c r="AJ14" s="14">
        <f t="shared" si="5"/>
        <v>-6807.4096463648821</v>
      </c>
      <c r="AK14" s="14">
        <f t="shared" si="5"/>
        <v>-6807.4096463648821</v>
      </c>
      <c r="AL14" s="14">
        <f t="shared" si="5"/>
        <v>-6807.4096463648821</v>
      </c>
      <c r="AM14" s="14">
        <f t="shared" si="5"/>
        <v>-6807.4096463648821</v>
      </c>
      <c r="AN14" s="14">
        <f t="shared" si="5"/>
        <v>-3348.8074705014928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</row>
    <row r="15" spans="1:99" x14ac:dyDescent="0.25">
      <c r="A15" s="11" t="s">
        <v>4</v>
      </c>
      <c r="B15" s="11" t="s">
        <v>160</v>
      </c>
      <c r="C15" s="11" t="s">
        <v>20</v>
      </c>
      <c r="D15" s="12">
        <v>3.0000000000000001E-3</v>
      </c>
      <c r="E15" s="11">
        <f>F18+F19</f>
        <v>6812506.3684014995</v>
      </c>
      <c r="F15" s="11">
        <f t="shared" si="1"/>
        <v>20437.519105204497</v>
      </c>
      <c r="G15" s="13">
        <f t="shared" si="0"/>
        <v>-20437.519105204497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f>$G$15/14</f>
        <v>-1459.8227932288926</v>
      </c>
      <c r="AA15" s="14">
        <f t="shared" ref="AA15:AM15" si="6">$G$15/14</f>
        <v>-1459.8227932288926</v>
      </c>
      <c r="AB15" s="14">
        <f t="shared" si="6"/>
        <v>-1459.8227932288926</v>
      </c>
      <c r="AC15" s="14">
        <f t="shared" si="6"/>
        <v>-1459.8227932288926</v>
      </c>
      <c r="AD15" s="14">
        <f t="shared" si="6"/>
        <v>-1459.8227932288926</v>
      </c>
      <c r="AE15" s="14">
        <f t="shared" si="6"/>
        <v>-1459.8227932288926</v>
      </c>
      <c r="AF15" s="14">
        <f t="shared" si="6"/>
        <v>-1459.8227932288926</v>
      </c>
      <c r="AG15" s="14">
        <f t="shared" si="6"/>
        <v>-1459.8227932288926</v>
      </c>
      <c r="AH15" s="14">
        <f t="shared" si="6"/>
        <v>-1459.8227932288926</v>
      </c>
      <c r="AI15" s="14">
        <f t="shared" si="6"/>
        <v>-1459.8227932288926</v>
      </c>
      <c r="AJ15" s="14">
        <f t="shared" si="6"/>
        <v>-1459.8227932288926</v>
      </c>
      <c r="AK15" s="14">
        <f t="shared" si="6"/>
        <v>-1459.8227932288926</v>
      </c>
      <c r="AL15" s="14">
        <f t="shared" si="6"/>
        <v>-1459.8227932288926</v>
      </c>
      <c r="AM15" s="14">
        <f t="shared" si="6"/>
        <v>-1459.8227932288926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</row>
    <row r="16" spans="1:99" x14ac:dyDescent="0.25">
      <c r="A16" s="11" t="s">
        <v>4</v>
      </c>
      <c r="B16" s="11" t="s">
        <v>165</v>
      </c>
      <c r="C16" s="11" t="s">
        <v>8</v>
      </c>
      <c r="D16" s="12">
        <f>(98.3*7*13.5)+(59.1*7*13.5)+(62.3*7*13.5)</f>
        <v>20761.649999999998</v>
      </c>
      <c r="E16" s="11">
        <v>21</v>
      </c>
      <c r="F16" s="11">
        <f t="shared" si="1"/>
        <v>435994.64999999997</v>
      </c>
      <c r="G16" s="13">
        <f t="shared" si="0"/>
        <v>-435994.64999999997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f>G16*0.4</f>
        <v>-174397.86</v>
      </c>
      <c r="Y16" s="14">
        <f>G16*0.6</f>
        <v>-261596.78999999998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</row>
    <row r="17" spans="1:99" x14ac:dyDescent="0.25">
      <c r="A17" s="11" t="s">
        <v>4</v>
      </c>
      <c r="B17" s="11" t="s">
        <v>165</v>
      </c>
      <c r="C17" s="11" t="s">
        <v>12</v>
      </c>
      <c r="D17" s="41">
        <v>11735</v>
      </c>
      <c r="E17" s="11">
        <v>5.75</v>
      </c>
      <c r="F17" s="11">
        <f t="shared" si="1"/>
        <v>67476.25</v>
      </c>
      <c r="G17" s="13">
        <f t="shared" si="0"/>
        <v>-67476.25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f>G17*0.4</f>
        <v>-26990.5</v>
      </c>
      <c r="Y17" s="14">
        <f>G17*0.6</f>
        <v>-40485.75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</row>
    <row r="18" spans="1:99" s="19" customFormat="1" x14ac:dyDescent="0.25">
      <c r="A18" s="19" t="s">
        <v>4</v>
      </c>
      <c r="B18" s="19" t="s">
        <v>165</v>
      </c>
      <c r="C18" s="19" t="s">
        <v>2</v>
      </c>
      <c r="D18" s="41">
        <f>8580+1537.9</f>
        <v>10117.9</v>
      </c>
      <c r="E18" s="19">
        <v>673.31228499999997</v>
      </c>
      <c r="F18" s="19">
        <f t="shared" si="1"/>
        <v>6812506.3684014995</v>
      </c>
      <c r="G18" s="13">
        <f t="shared" si="0"/>
        <v>-6812506.3684014995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f>'evolucion certificaciones nuevo'!E10</f>
        <v>-73984.398056400008</v>
      </c>
      <c r="AA18" s="13">
        <f>'evolucion certificaciones nuevo'!F10</f>
        <v>-211327.99997790001</v>
      </c>
      <c r="AB18" s="13">
        <f>'evolucion certificaciones nuevo'!G10</f>
        <v>-409092.89763809997</v>
      </c>
      <c r="AC18" s="13">
        <f>'evolucion certificaciones nuevo'!H10</f>
        <v>-627740.94516510004</v>
      </c>
      <c r="AD18" s="13">
        <f>'evolucion certificaciones nuevo'!I10</f>
        <v>-459289.20139050006</v>
      </c>
      <c r="AE18" s="13">
        <f>'evolucion certificaciones nuevo'!J10</f>
        <v>-386047.52128800005</v>
      </c>
      <c r="AF18" s="13">
        <f>'evolucion certificaciones nuevo'!K10</f>
        <v>-373594.37544000003</v>
      </c>
      <c r="AG18" s="13">
        <f>'evolucion certificaciones nuevo'!L10</f>
        <v>-379820.94836400001</v>
      </c>
      <c r="AH18" s="13">
        <f>'evolucion certificaciones nuevo'!M10</f>
        <v>-454539.82345200004</v>
      </c>
      <c r="AI18" s="13">
        <f>'evolucion certificaciones nuevo'!N10</f>
        <v>-778321.61550000007</v>
      </c>
      <c r="AJ18" s="13">
        <f>'evolucion certificaciones nuevo'!O10</f>
        <v>-1027384.5324600001</v>
      </c>
      <c r="AK18" s="13">
        <f>'evolucion certificaciones nuevo'!P10</f>
        <v>-753415.32380400004</v>
      </c>
      <c r="AL18" s="13">
        <f>'evolucion certificaciones nuevo'!Q10</f>
        <v>-510578.97976800008</v>
      </c>
      <c r="AM18" s="13">
        <f>'evolucion certificaciones nuevo'!R10</f>
        <v>-367367.802516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</row>
    <row r="19" spans="1:99" s="19" customFormat="1" x14ac:dyDescent="0.25">
      <c r="A19" s="19" t="s">
        <v>4</v>
      </c>
      <c r="B19" s="19" t="s">
        <v>165</v>
      </c>
      <c r="C19" s="52" t="s">
        <v>150</v>
      </c>
      <c r="D19" s="41">
        <v>0</v>
      </c>
      <c r="E19" s="19">
        <v>0</v>
      </c>
      <c r="F19" s="19">
        <f t="shared" si="1"/>
        <v>0</v>
      </c>
      <c r="G19" s="13">
        <f t="shared" si="0"/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</row>
    <row r="20" spans="1:99" x14ac:dyDescent="0.25">
      <c r="A20" s="11" t="s">
        <v>4</v>
      </c>
      <c r="B20" s="11" t="s">
        <v>165</v>
      </c>
      <c r="C20" s="11" t="s">
        <v>11</v>
      </c>
      <c r="D20" s="12">
        <v>0.21</v>
      </c>
      <c r="E20" s="11">
        <f>F16</f>
        <v>435994.64999999997</v>
      </c>
      <c r="F20" s="11">
        <f>E20*D20</f>
        <v>91558.876499999984</v>
      </c>
      <c r="G20" s="13">
        <f t="shared" si="0"/>
        <v>-91558.876499999984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f>X16*0.21</f>
        <v>-36623.550599999995</v>
      </c>
      <c r="Y20" s="14">
        <f>Y16*0.21</f>
        <v>-54935.325899999996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</row>
    <row r="21" spans="1:99" x14ac:dyDescent="0.25">
      <c r="A21" s="11" t="s">
        <v>4</v>
      </c>
      <c r="B21" s="11" t="s">
        <v>165</v>
      </c>
      <c r="C21" s="11" t="s">
        <v>10</v>
      </c>
      <c r="D21" s="12">
        <v>0.1</v>
      </c>
      <c r="E21" s="11">
        <f>F18+F19</f>
        <v>6812506.3684014995</v>
      </c>
      <c r="F21" s="11">
        <f>E21*D21</f>
        <v>681250.63684014999</v>
      </c>
      <c r="G21" s="13">
        <f t="shared" si="0"/>
        <v>-681250.63684014999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f t="shared" ref="Z21:AM21" si="7">(Z18+Z19)*0.1</f>
        <v>-7398.4398056400014</v>
      </c>
      <c r="AA21" s="14">
        <f t="shared" si="7"/>
        <v>-21132.799997790004</v>
      </c>
      <c r="AB21" s="14">
        <f t="shared" si="7"/>
        <v>-40909.289763809997</v>
      </c>
      <c r="AC21" s="14">
        <f t="shared" si="7"/>
        <v>-62774.094516510006</v>
      </c>
      <c r="AD21" s="14">
        <f t="shared" si="7"/>
        <v>-45928.920139050009</v>
      </c>
      <c r="AE21" s="14">
        <f t="shared" si="7"/>
        <v>-38604.752128800006</v>
      </c>
      <c r="AF21" s="14">
        <f t="shared" si="7"/>
        <v>-37359.437544000008</v>
      </c>
      <c r="AG21" s="14">
        <f t="shared" si="7"/>
        <v>-37982.0948364</v>
      </c>
      <c r="AH21" s="14">
        <f t="shared" si="7"/>
        <v>-45453.982345200006</v>
      </c>
      <c r="AI21" s="14">
        <f t="shared" si="7"/>
        <v>-77832.161550000004</v>
      </c>
      <c r="AJ21" s="14">
        <f t="shared" si="7"/>
        <v>-102738.45324600002</v>
      </c>
      <c r="AK21" s="14">
        <f t="shared" si="7"/>
        <v>-75341.532380400007</v>
      </c>
      <c r="AL21" s="14">
        <f t="shared" si="7"/>
        <v>-51057.897976800014</v>
      </c>
      <c r="AM21" s="14">
        <f t="shared" si="7"/>
        <v>-36736.780251600001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</row>
    <row r="22" spans="1:99" x14ac:dyDescent="0.25">
      <c r="A22" s="11" t="s">
        <v>4</v>
      </c>
      <c r="B22" s="11" t="s">
        <v>165</v>
      </c>
      <c r="C22" s="11" t="s">
        <v>21</v>
      </c>
      <c r="D22" s="12">
        <v>1</v>
      </c>
      <c r="E22" s="11">
        <v>700</v>
      </c>
      <c r="F22" s="11">
        <f t="shared" ref="F22:F37" si="8">D22*E22</f>
        <v>700</v>
      </c>
      <c r="G22" s="13">
        <f t="shared" si="0"/>
        <v>-700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f>G22</f>
        <v>-700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</row>
    <row r="23" spans="1:99" x14ac:dyDescent="0.25">
      <c r="A23" s="11" t="s">
        <v>4</v>
      </c>
      <c r="B23" s="11" t="s">
        <v>0</v>
      </c>
      <c r="C23" s="11" t="s">
        <v>7</v>
      </c>
      <c r="D23" s="12">
        <f>5%</f>
        <v>0.05</v>
      </c>
      <c r="E23" s="11">
        <f>(F18+F19)</f>
        <v>6812506.3684014995</v>
      </c>
      <c r="F23" s="11">
        <f t="shared" si="8"/>
        <v>340625.318420075</v>
      </c>
      <c r="G23" s="20">
        <f t="shared" si="0"/>
        <v>-340625.318420075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f>G23*0.2</f>
        <v>-68125.063684014996</v>
      </c>
      <c r="R23" s="21">
        <v>0</v>
      </c>
      <c r="S23" s="21">
        <v>0</v>
      </c>
      <c r="T23" s="21">
        <f>G23*0.8</f>
        <v>-272500.25473605999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</row>
    <row r="24" spans="1:99" x14ac:dyDescent="0.25">
      <c r="A24" s="11" t="s">
        <v>4</v>
      </c>
      <c r="B24" s="11" t="s">
        <v>0</v>
      </c>
      <c r="C24" s="11" t="s">
        <v>6</v>
      </c>
      <c r="D24" s="12">
        <f>5%</f>
        <v>0.05</v>
      </c>
      <c r="E24" s="11">
        <f>F16</f>
        <v>435994.64999999997</v>
      </c>
      <c r="F24" s="11">
        <f t="shared" si="8"/>
        <v>21799.732499999998</v>
      </c>
      <c r="G24" s="13">
        <f t="shared" si="0"/>
        <v>-21799.732499999998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f>G24*0.2</f>
        <v>-4359.9465</v>
      </c>
      <c r="O24" s="14">
        <v>0</v>
      </c>
      <c r="P24" s="14">
        <f>G24*0.8</f>
        <v>-17439.786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</row>
    <row r="25" spans="1:99" x14ac:dyDescent="0.25">
      <c r="A25" s="11" t="s">
        <v>4</v>
      </c>
      <c r="B25" s="11" t="s">
        <v>0</v>
      </c>
      <c r="C25" s="11" t="s">
        <v>166</v>
      </c>
      <c r="D25" s="12">
        <v>2.9999999999999997E-4</v>
      </c>
      <c r="E25" s="11">
        <f>F18+F19</f>
        <v>6812506.3684014995</v>
      </c>
      <c r="F25" s="11">
        <f t="shared" si="8"/>
        <v>2043.7519105204497</v>
      </c>
      <c r="G25" s="13">
        <f t="shared" si="0"/>
        <v>-2043.7519105204497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f>G25</f>
        <v>-2043.7519105204497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</row>
    <row r="26" spans="1:99" x14ac:dyDescent="0.25">
      <c r="A26" s="11" t="s">
        <v>4</v>
      </c>
      <c r="B26" s="11" t="s">
        <v>0</v>
      </c>
      <c r="C26" s="11" t="s">
        <v>167</v>
      </c>
      <c r="D26" s="12">
        <v>2.0000000000000001E-4</v>
      </c>
      <c r="E26" s="11">
        <f>F18+F19</f>
        <v>6812506.3684014995</v>
      </c>
      <c r="F26" s="11">
        <f t="shared" si="8"/>
        <v>1362.5012736802998</v>
      </c>
      <c r="G26" s="13">
        <f t="shared" si="0"/>
        <v>-1362.5012736802998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f>G26</f>
        <v>-1362.5012736802998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</row>
    <row r="27" spans="1:99" x14ac:dyDescent="0.25">
      <c r="A27" s="11" t="s">
        <v>4</v>
      </c>
      <c r="B27" s="11" t="s">
        <v>0</v>
      </c>
      <c r="C27" s="11" t="s">
        <v>168</v>
      </c>
      <c r="D27" s="12">
        <v>1</v>
      </c>
      <c r="E27" s="11">
        <v>250</v>
      </c>
      <c r="F27" s="11">
        <f t="shared" si="8"/>
        <v>250</v>
      </c>
      <c r="G27" s="13">
        <f t="shared" si="0"/>
        <v>-250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f>G27</f>
        <v>-250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</row>
    <row r="28" spans="1:99" x14ac:dyDescent="0.25">
      <c r="A28" s="11" t="s">
        <v>4</v>
      </c>
      <c r="B28" s="11" t="s">
        <v>0</v>
      </c>
      <c r="C28" s="11" t="s">
        <v>169</v>
      </c>
      <c r="D28" s="12">
        <v>2.9999999999999997E-4</v>
      </c>
      <c r="E28" s="11">
        <f>F18+F19</f>
        <v>6812506.3684014995</v>
      </c>
      <c r="F28" s="11">
        <f t="shared" si="8"/>
        <v>2043.7519105204497</v>
      </c>
      <c r="G28" s="13">
        <f t="shared" si="0"/>
        <v>-2043.7519105204497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f>G28</f>
        <v>-2043.7519105204497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</row>
    <row r="29" spans="1:99" x14ac:dyDescent="0.25">
      <c r="A29" s="11" t="s">
        <v>4</v>
      </c>
      <c r="B29" s="11" t="s">
        <v>0</v>
      </c>
      <c r="C29" s="11" t="s">
        <v>170</v>
      </c>
      <c r="D29" s="12">
        <v>2.0000000000000001E-4</v>
      </c>
      <c r="E29" s="11">
        <f>F18+F19</f>
        <v>6812506.3684014995</v>
      </c>
      <c r="F29" s="11">
        <f t="shared" si="8"/>
        <v>1362.5012736802998</v>
      </c>
      <c r="G29" s="13">
        <f t="shared" si="0"/>
        <v>-1362.5012736802998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f t="shared" ref="AN29:AN32" si="9">G29</f>
        <v>-1362.5012736802998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</row>
    <row r="30" spans="1:99" x14ac:dyDescent="0.25">
      <c r="A30" s="11" t="s">
        <v>4</v>
      </c>
      <c r="B30" s="11" t="s">
        <v>0</v>
      </c>
      <c r="C30" s="11" t="s">
        <v>171</v>
      </c>
      <c r="D30" s="12">
        <v>1</v>
      </c>
      <c r="E30" s="11">
        <v>250</v>
      </c>
      <c r="F30" s="11">
        <f t="shared" si="8"/>
        <v>250</v>
      </c>
      <c r="G30" s="13">
        <f t="shared" si="0"/>
        <v>-250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f t="shared" si="9"/>
        <v>-250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</row>
    <row r="31" spans="1:99" x14ac:dyDescent="0.25">
      <c r="A31" s="11" t="s">
        <v>4</v>
      </c>
      <c r="B31" s="11" t="s">
        <v>0</v>
      </c>
      <c r="C31" s="11" t="s">
        <v>23</v>
      </c>
      <c r="D31" s="12">
        <v>8.9999999999999993E-3</v>
      </c>
      <c r="E31" s="11">
        <f>F18+F19</f>
        <v>6812506.3684014995</v>
      </c>
      <c r="F31" s="11">
        <f t="shared" si="8"/>
        <v>61312.557315613492</v>
      </c>
      <c r="G31" s="13">
        <f t="shared" si="0"/>
        <v>-61312.557315613492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f>$G$31/16</f>
        <v>-3832.0348322258433</v>
      </c>
      <c r="Y31" s="14">
        <f t="shared" ref="Y31:AM31" si="10">$G$31/16</f>
        <v>-3832.0348322258433</v>
      </c>
      <c r="Z31" s="14">
        <f t="shared" si="10"/>
        <v>-3832.0348322258433</v>
      </c>
      <c r="AA31" s="14">
        <f t="shared" si="10"/>
        <v>-3832.0348322258433</v>
      </c>
      <c r="AB31" s="14">
        <f t="shared" si="10"/>
        <v>-3832.0348322258433</v>
      </c>
      <c r="AC31" s="14">
        <f t="shared" si="10"/>
        <v>-3832.0348322258433</v>
      </c>
      <c r="AD31" s="14">
        <f t="shared" si="10"/>
        <v>-3832.0348322258433</v>
      </c>
      <c r="AE31" s="14">
        <f t="shared" si="10"/>
        <v>-3832.0348322258433</v>
      </c>
      <c r="AF31" s="14">
        <f t="shared" si="10"/>
        <v>-3832.0348322258433</v>
      </c>
      <c r="AG31" s="14">
        <f t="shared" si="10"/>
        <v>-3832.0348322258433</v>
      </c>
      <c r="AH31" s="14">
        <f t="shared" si="10"/>
        <v>-3832.0348322258433</v>
      </c>
      <c r="AI31" s="14">
        <f t="shared" si="10"/>
        <v>-3832.0348322258433</v>
      </c>
      <c r="AJ31" s="14">
        <f t="shared" si="10"/>
        <v>-3832.0348322258433</v>
      </c>
      <c r="AK31" s="14">
        <f t="shared" si="10"/>
        <v>-3832.0348322258433</v>
      </c>
      <c r="AL31" s="14">
        <f t="shared" si="10"/>
        <v>-3832.0348322258433</v>
      </c>
      <c r="AM31" s="14">
        <f t="shared" si="10"/>
        <v>-3832.0348322258433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</row>
    <row r="32" spans="1:99" x14ac:dyDescent="0.25">
      <c r="A32" s="11" t="s">
        <v>4</v>
      </c>
      <c r="B32" s="11" t="s">
        <v>0</v>
      </c>
      <c r="C32" s="11" t="s">
        <v>172</v>
      </c>
      <c r="D32" s="12">
        <v>2.5000000000000001E-3</v>
      </c>
      <c r="E32" s="11">
        <f>22*65*1.2*725.71</f>
        <v>1245318.3600000001</v>
      </c>
      <c r="F32" s="11">
        <f t="shared" si="8"/>
        <v>3113.2959000000005</v>
      </c>
      <c r="G32" s="13">
        <f t="shared" si="0"/>
        <v>-3113.2959000000005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f t="shared" si="9"/>
        <v>-3113.2959000000005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</row>
    <row r="33" spans="1:99" x14ac:dyDescent="0.25">
      <c r="A33" s="11" t="s">
        <v>4</v>
      </c>
      <c r="B33" s="11" t="s">
        <v>24</v>
      </c>
      <c r="C33" s="11" t="s">
        <v>27</v>
      </c>
      <c r="D33" s="40">
        <v>1</v>
      </c>
      <c r="E33" s="22">
        <v>2500</v>
      </c>
      <c r="F33" s="22">
        <f t="shared" si="8"/>
        <v>2500</v>
      </c>
      <c r="G33" s="23">
        <f t="shared" si="0"/>
        <v>-2500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5">
        <v>0</v>
      </c>
      <c r="W33" s="25">
        <f>G33</f>
        <v>-2500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>
        <v>0</v>
      </c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  <c r="BO33" s="25">
        <v>0</v>
      </c>
      <c r="BP33" s="25">
        <v>0</v>
      </c>
      <c r="BQ33" s="25">
        <v>0</v>
      </c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</v>
      </c>
      <c r="CD33" s="25">
        <v>0</v>
      </c>
      <c r="CE33" s="25">
        <v>0</v>
      </c>
      <c r="CF33" s="25">
        <v>0</v>
      </c>
      <c r="CG33" s="25">
        <v>0</v>
      </c>
      <c r="CH33" s="25">
        <v>0</v>
      </c>
      <c r="CI33" s="25">
        <v>0</v>
      </c>
      <c r="CJ33" s="25">
        <v>0</v>
      </c>
      <c r="CK33" s="25">
        <v>0</v>
      </c>
      <c r="CL33" s="25">
        <v>0</v>
      </c>
      <c r="CM33" s="25">
        <v>0</v>
      </c>
      <c r="CN33" s="25">
        <v>0</v>
      </c>
      <c r="CO33" s="25">
        <v>0</v>
      </c>
      <c r="CP33" s="25">
        <v>0</v>
      </c>
      <c r="CQ33" s="25">
        <v>0</v>
      </c>
      <c r="CR33" s="25">
        <v>0</v>
      </c>
      <c r="CS33" s="25">
        <v>0</v>
      </c>
      <c r="CT33" s="25">
        <v>0</v>
      </c>
      <c r="CU33" s="25">
        <v>0</v>
      </c>
    </row>
    <row r="34" spans="1:99" x14ac:dyDescent="0.25">
      <c r="A34" s="11" t="s">
        <v>4</v>
      </c>
      <c r="B34" s="11" t="s">
        <v>24</v>
      </c>
      <c r="C34" s="11" t="s">
        <v>173</v>
      </c>
      <c r="D34" s="42">
        <v>2.5000000000000001E-3</v>
      </c>
      <c r="E34" s="22">
        <f>-0.8*SUM(G2:G32,G41:G42)</f>
        <v>8777926.7764250506</v>
      </c>
      <c r="F34" s="22">
        <f t="shared" si="8"/>
        <v>21944.816941062625</v>
      </c>
      <c r="G34" s="13">
        <f t="shared" si="0"/>
        <v>-21944.816941062625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f>G34</f>
        <v>-21944.816941062625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</row>
    <row r="35" spans="1:99" x14ac:dyDescent="0.25">
      <c r="A35" s="11" t="s">
        <v>4</v>
      </c>
      <c r="B35" s="11" t="s">
        <v>24</v>
      </c>
      <c r="C35" s="11" t="s">
        <v>28</v>
      </c>
      <c r="D35" s="40">
        <v>1</v>
      </c>
      <c r="E35" s="22">
        <v>250</v>
      </c>
      <c r="F35" s="22">
        <f t="shared" si="8"/>
        <v>250</v>
      </c>
      <c r="G35" s="13">
        <f t="shared" si="0"/>
        <v>-250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f>G35</f>
        <v>-250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</row>
    <row r="36" spans="1:99" x14ac:dyDescent="0.25">
      <c r="A36" s="11" t="s">
        <v>4</v>
      </c>
      <c r="B36" s="11" t="s">
        <v>24</v>
      </c>
      <c r="C36" s="11" t="s">
        <v>29</v>
      </c>
      <c r="D36" s="42">
        <v>2.5000000000000001E-3</v>
      </c>
      <c r="E36" s="22">
        <f>-0.8*SUM(G2:G32,G41:G42)</f>
        <v>8777926.7764250506</v>
      </c>
      <c r="F36" s="22">
        <f t="shared" si="8"/>
        <v>21944.816941062625</v>
      </c>
      <c r="G36" s="13">
        <f t="shared" si="0"/>
        <v>-21944.816941062625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f>G36</f>
        <v>-21944.816941062625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</row>
    <row r="37" spans="1:99" x14ac:dyDescent="0.25">
      <c r="A37" s="11" t="s">
        <v>4</v>
      </c>
      <c r="B37" s="11" t="s">
        <v>24</v>
      </c>
      <c r="C37" s="11" t="s">
        <v>25</v>
      </c>
      <c r="D37" s="42">
        <v>1E-3</v>
      </c>
      <c r="E37" s="22">
        <f>-0.8*SUM(G2:G32,G41:G42)</f>
        <v>8777926.7764250506</v>
      </c>
      <c r="F37" s="22">
        <f t="shared" si="8"/>
        <v>8777.9267764250508</v>
      </c>
      <c r="G37" s="13">
        <f t="shared" si="0"/>
        <v>-8777.9267764250508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f>G37</f>
        <v>-8777.9267764250508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</row>
    <row r="38" spans="1:99" x14ac:dyDescent="0.25">
      <c r="A38" s="11" t="s">
        <v>4</v>
      </c>
      <c r="B38" s="11" t="s">
        <v>24</v>
      </c>
      <c r="C38" s="11" t="s">
        <v>95</v>
      </c>
      <c r="D38" s="42">
        <f>intereses!C5</f>
        <v>3.5000000000000003E-2</v>
      </c>
      <c r="E38" s="22">
        <f>0.8*(SUM(F2:F42)-SUM(F44:F45))</f>
        <v>8768138.3585047405</v>
      </c>
      <c r="F38" s="22">
        <v>802325.85</v>
      </c>
      <c r="G38" s="13"/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-25573.736867855456</v>
      </c>
      <c r="AO38" s="14">
        <v>-25183.096034683564</v>
      </c>
      <c r="AP38" s="14">
        <v>-24791.315832414923</v>
      </c>
      <c r="AQ38" s="14">
        <v>-24398.392937889665</v>
      </c>
      <c r="AR38" s="14">
        <v>-24004.324018255371</v>
      </c>
      <c r="AS38" s="14">
        <v>-23609.105730938812</v>
      </c>
      <c r="AT38" s="14">
        <v>-23212.734723617581</v>
      </c>
      <c r="AU38" s="14">
        <v>-22815.207634191658</v>
      </c>
      <c r="AV38" s="14">
        <v>-22416.521090754915</v>
      </c>
      <c r="AW38" s="14">
        <v>-22016.671711566483</v>
      </c>
      <c r="AX38" s="14">
        <v>-21615.656105022077</v>
      </c>
      <c r="AY38" s="14">
        <v>-21213.47086962526</v>
      </c>
      <c r="AZ38" s="14">
        <v>-20810.112593958525</v>
      </c>
      <c r="BA38" s="14">
        <v>-20405.57785665444</v>
      </c>
      <c r="BB38" s="14">
        <v>-19999.863226366542</v>
      </c>
      <c r="BC38" s="14">
        <v>-19592.965261740304</v>
      </c>
      <c r="BD38" s="26">
        <v>-19184.880511383912</v>
      </c>
      <c r="BE38" s="26">
        <v>-18775.605513838982</v>
      </c>
      <c r="BF38" s="26">
        <v>-18365.136797551204</v>
      </c>
      <c r="BG38" s="26">
        <v>-17953.470880840927</v>
      </c>
      <c r="BH38" s="26">
        <v>-17540.604271873573</v>
      </c>
      <c r="BI38" s="26">
        <v>-17126.533468630067</v>
      </c>
      <c r="BJ38" s="26">
        <v>-16711.254958877103</v>
      </c>
      <c r="BK38" s="26">
        <v>-16294.765220137358</v>
      </c>
      <c r="BL38" s="26">
        <v>-15877.060719659621</v>
      </c>
      <c r="BM38" s="26">
        <v>-15458.137914388824</v>
      </c>
      <c r="BN38" s="26">
        <v>-15037.993250935988</v>
      </c>
      <c r="BO38" s="26">
        <v>-14616.623165548082</v>
      </c>
      <c r="BP38" s="26">
        <v>-14194.024084077795</v>
      </c>
      <c r="BQ38" s="26">
        <v>-13770.192421953217</v>
      </c>
      <c r="BR38" s="26">
        <v>-13345.124584147445</v>
      </c>
      <c r="BS38" s="26">
        <v>-12918.816965148071</v>
      </c>
      <c r="BT38" s="26">
        <v>-12491.265948926617</v>
      </c>
      <c r="BU38" s="26">
        <v>-12062.467908907851</v>
      </c>
      <c r="BV38" s="26">
        <v>-11632.419207939027</v>
      </c>
      <c r="BW38" s="26">
        <v>-11201.116198259046</v>
      </c>
      <c r="BX38" s="26">
        <v>-10768.555221467497</v>
      </c>
      <c r="BY38" s="26">
        <v>-10334.732608493641</v>
      </c>
      <c r="BZ38" s="26">
        <v>-9899.6446795652773</v>
      </c>
      <c r="CA38" s="26">
        <v>-9463.2877441775363</v>
      </c>
      <c r="CB38" s="26">
        <v>-9025.6581010615846</v>
      </c>
      <c r="CC38" s="26">
        <v>-8586.7520381532122</v>
      </c>
      <c r="CD38" s="26">
        <v>-8146.5658325613549</v>
      </c>
      <c r="CE38" s="26">
        <v>-7705.0957505365222</v>
      </c>
      <c r="CF38" s="26">
        <v>-7262.3380474391161</v>
      </c>
      <c r="CG38" s="26">
        <v>-6818.2889677076773</v>
      </c>
      <c r="CH38" s="26">
        <v>-6372.9447448270212</v>
      </c>
      <c r="CI38" s="26">
        <v>-5926.3016012962962</v>
      </c>
      <c r="CJ38" s="26">
        <v>-5478.3557485969413</v>
      </c>
      <c r="CK38" s="26">
        <v>-5029.103387160545</v>
      </c>
      <c r="CL38" s="26">
        <v>-4578.5407063366265</v>
      </c>
      <c r="CM38" s="26">
        <v>-4126.6638843603041</v>
      </c>
      <c r="CN38" s="26">
        <v>-3673.4690883198855</v>
      </c>
      <c r="CO38" s="26">
        <v>-3218.952474124349</v>
      </c>
      <c r="CP38" s="26">
        <v>-2763.1101864707412</v>
      </c>
      <c r="CQ38" s="26">
        <v>-2305.938358811477</v>
      </c>
      <c r="CR38" s="26">
        <v>-1847.4331133215401</v>
      </c>
      <c r="CS38" s="26">
        <v>-1387.5905608655912</v>
      </c>
      <c r="CT38" s="26">
        <v>-926.40680096497908</v>
      </c>
      <c r="CU38" s="26">
        <v>-463.87792176465655</v>
      </c>
    </row>
    <row r="39" spans="1:99" x14ac:dyDescent="0.25">
      <c r="A39" s="11" t="s">
        <v>4</v>
      </c>
      <c r="B39" s="11" t="s">
        <v>24</v>
      </c>
      <c r="C39" s="11" t="s">
        <v>39</v>
      </c>
      <c r="D39" s="42">
        <f>intereses!E5</f>
        <v>0.05</v>
      </c>
      <c r="E39" s="22">
        <f>-0.8*SUM(G2:G32,G41:G42)</f>
        <v>8777926.7764250506</v>
      </c>
      <c r="F39" s="22">
        <v>314116.25</v>
      </c>
      <c r="G39" s="13"/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-36574.694875000001</v>
      </c>
      <c r="Y39" s="14">
        <v>-34359.369881345498</v>
      </c>
      <c r="Z39" s="14">
        <v>-32134.814366884111</v>
      </c>
      <c r="AA39" s="14">
        <v>-29900.989871112462</v>
      </c>
      <c r="AB39" s="14">
        <v>-27657.857773275107</v>
      </c>
      <c r="AC39" s="14">
        <v>-25405.379291696758</v>
      </c>
      <c r="AD39" s="14">
        <v>-23143.515483111827</v>
      </c>
      <c r="AE39" s="14">
        <v>-20872.227241991131</v>
      </c>
      <c r="AF39" s="14">
        <v>-18591.475299865768</v>
      </c>
      <c r="AG39" s="14">
        <v>-16301.220224648214</v>
      </c>
      <c r="AH39" s="14">
        <v>-14001.422419950584</v>
      </c>
      <c r="AI39" s="14">
        <v>-11692.04212440005</v>
      </c>
      <c r="AJ39" s="14">
        <v>-9373.0394109513854</v>
      </c>
      <c r="AK39" s="14">
        <v>-7044.3741861966892</v>
      </c>
      <c r="AL39" s="14">
        <v>-4706.0061896721809</v>
      </c>
      <c r="AM39" s="14">
        <v>-2357.8949931621532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</row>
    <row r="40" spans="1:99" x14ac:dyDescent="0.25">
      <c r="A40" s="11" t="s">
        <v>4</v>
      </c>
      <c r="B40" s="11" t="s">
        <v>24</v>
      </c>
      <c r="C40" s="11" t="s">
        <v>26</v>
      </c>
      <c r="D40" s="42">
        <v>2.5000000000000001E-3</v>
      </c>
      <c r="E40" s="22">
        <f>-0.8*SUM(G2:G32,G41:G42)</f>
        <v>8777926.7764250506</v>
      </c>
      <c r="F40" s="22">
        <f t="shared" ref="F40:F45" si="11">D40*E40</f>
        <v>21944.816941062625</v>
      </c>
      <c r="G40" s="13">
        <f>-F40</f>
        <v>-21944.816941062625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0</v>
      </c>
      <c r="CU40" s="14">
        <f>G40</f>
        <v>-21944.816941062625</v>
      </c>
    </row>
    <row r="41" spans="1:99" x14ac:dyDescent="0.25">
      <c r="A41" s="11" t="s">
        <v>4</v>
      </c>
      <c r="B41" s="11" t="s">
        <v>1</v>
      </c>
      <c r="C41" s="11" t="s">
        <v>22</v>
      </c>
      <c r="D41" s="12">
        <f>88*16</f>
        <v>1408</v>
      </c>
      <c r="E41" s="11">
        <v>700</v>
      </c>
      <c r="F41" s="22">
        <f t="shared" si="11"/>
        <v>985600</v>
      </c>
      <c r="G41" s="20">
        <f>-F41</f>
        <v>-985600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f>$G$41/16</f>
        <v>-61600</v>
      </c>
      <c r="Y41" s="21">
        <f t="shared" ref="Y41:AM41" si="12">$G$41/16</f>
        <v>-61600</v>
      </c>
      <c r="Z41" s="21">
        <f t="shared" si="12"/>
        <v>-61600</v>
      </c>
      <c r="AA41" s="21">
        <f t="shared" si="12"/>
        <v>-61600</v>
      </c>
      <c r="AB41" s="21">
        <f t="shared" si="12"/>
        <v>-61600</v>
      </c>
      <c r="AC41" s="21">
        <f t="shared" si="12"/>
        <v>-61600</v>
      </c>
      <c r="AD41" s="21">
        <f t="shared" si="12"/>
        <v>-61600</v>
      </c>
      <c r="AE41" s="21">
        <f t="shared" si="12"/>
        <v>-61600</v>
      </c>
      <c r="AF41" s="21">
        <f t="shared" si="12"/>
        <v>-61600</v>
      </c>
      <c r="AG41" s="21">
        <f t="shared" si="12"/>
        <v>-61600</v>
      </c>
      <c r="AH41" s="21">
        <f t="shared" si="12"/>
        <v>-61600</v>
      </c>
      <c r="AI41" s="21">
        <f t="shared" si="12"/>
        <v>-61600</v>
      </c>
      <c r="AJ41" s="21">
        <f t="shared" si="12"/>
        <v>-61600</v>
      </c>
      <c r="AK41" s="21">
        <f t="shared" si="12"/>
        <v>-61600</v>
      </c>
      <c r="AL41" s="21">
        <f t="shared" si="12"/>
        <v>-61600</v>
      </c>
      <c r="AM41" s="21">
        <f t="shared" si="12"/>
        <v>-61600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21">
        <v>0</v>
      </c>
      <c r="AZ41" s="21">
        <v>0</v>
      </c>
      <c r="BA41" s="21">
        <v>0</v>
      </c>
      <c r="BB41" s="21">
        <v>0</v>
      </c>
      <c r="BC41" s="21">
        <v>0</v>
      </c>
      <c r="BD41" s="21">
        <v>0</v>
      </c>
      <c r="BE41" s="21">
        <v>0</v>
      </c>
      <c r="BF41" s="21">
        <v>0</v>
      </c>
      <c r="BG41" s="21">
        <v>0</v>
      </c>
      <c r="BH41" s="21">
        <v>0</v>
      </c>
      <c r="BI41" s="21">
        <v>0</v>
      </c>
      <c r="BJ41" s="21">
        <v>0</v>
      </c>
      <c r="BK41" s="21">
        <v>0</v>
      </c>
      <c r="BL41" s="21">
        <v>0</v>
      </c>
      <c r="BM41" s="21">
        <v>0</v>
      </c>
      <c r="BN41" s="21">
        <v>0</v>
      </c>
      <c r="BO41" s="21">
        <v>0</v>
      </c>
      <c r="BP41" s="21">
        <v>0</v>
      </c>
      <c r="BQ41" s="21">
        <v>0</v>
      </c>
      <c r="BR41" s="21">
        <v>0</v>
      </c>
      <c r="BS41" s="21">
        <v>0</v>
      </c>
      <c r="BT41" s="21">
        <v>0</v>
      </c>
      <c r="BU41" s="21">
        <v>0</v>
      </c>
      <c r="BV41" s="21">
        <v>0</v>
      </c>
      <c r="BW41" s="21">
        <v>0</v>
      </c>
      <c r="BX41" s="21">
        <v>0</v>
      </c>
      <c r="BY41" s="21">
        <v>0</v>
      </c>
      <c r="BZ41" s="21">
        <v>0</v>
      </c>
      <c r="CA41" s="21">
        <v>0</v>
      </c>
      <c r="CB41" s="21">
        <v>0</v>
      </c>
      <c r="CC41" s="21">
        <v>0</v>
      </c>
      <c r="CD41" s="21">
        <v>0</v>
      </c>
      <c r="CE41" s="21">
        <v>0</v>
      </c>
      <c r="CF41" s="21">
        <v>0</v>
      </c>
      <c r="CG41" s="21">
        <v>0</v>
      </c>
      <c r="CH41" s="21">
        <v>0</v>
      </c>
      <c r="CI41" s="21">
        <v>0</v>
      </c>
      <c r="CJ41" s="21">
        <v>0</v>
      </c>
      <c r="CK41" s="21">
        <v>0</v>
      </c>
      <c r="CL41" s="21">
        <v>0</v>
      </c>
      <c r="CM41" s="21">
        <v>0</v>
      </c>
      <c r="CN41" s="21">
        <v>0</v>
      </c>
      <c r="CO41" s="21">
        <v>0</v>
      </c>
      <c r="CP41" s="21">
        <v>0</v>
      </c>
      <c r="CQ41" s="21">
        <v>0</v>
      </c>
      <c r="CR41" s="21">
        <v>0</v>
      </c>
      <c r="CS41" s="21">
        <v>0</v>
      </c>
      <c r="CT41" s="21">
        <v>0</v>
      </c>
      <c r="CU41" s="21">
        <v>0</v>
      </c>
    </row>
    <row r="42" spans="1:99" x14ac:dyDescent="0.25">
      <c r="A42" s="11" t="s">
        <v>4</v>
      </c>
      <c r="B42" s="11" t="s">
        <v>1</v>
      </c>
      <c r="C42" s="11" t="s">
        <v>17</v>
      </c>
      <c r="D42" s="12">
        <f>88*16</f>
        <v>1408</v>
      </c>
      <c r="E42" s="11">
        <v>200</v>
      </c>
      <c r="F42" s="22">
        <f t="shared" si="11"/>
        <v>281600</v>
      </c>
      <c r="G42" s="13">
        <f>-$F$42</f>
        <v>-281600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f>$G$42/16</f>
        <v>-17600</v>
      </c>
      <c r="Y42" s="14">
        <f t="shared" ref="Y42:AM42" si="13">$G$42/16</f>
        <v>-17600</v>
      </c>
      <c r="Z42" s="14">
        <f t="shared" si="13"/>
        <v>-17600</v>
      </c>
      <c r="AA42" s="14">
        <f t="shared" si="13"/>
        <v>-17600</v>
      </c>
      <c r="AB42" s="14">
        <f t="shared" si="13"/>
        <v>-17600</v>
      </c>
      <c r="AC42" s="14">
        <f t="shared" si="13"/>
        <v>-17600</v>
      </c>
      <c r="AD42" s="14">
        <f t="shared" si="13"/>
        <v>-17600</v>
      </c>
      <c r="AE42" s="14">
        <f t="shared" si="13"/>
        <v>-17600</v>
      </c>
      <c r="AF42" s="14">
        <f t="shared" si="13"/>
        <v>-17600</v>
      </c>
      <c r="AG42" s="14">
        <f t="shared" si="13"/>
        <v>-17600</v>
      </c>
      <c r="AH42" s="14">
        <f t="shared" si="13"/>
        <v>-17600</v>
      </c>
      <c r="AI42" s="14">
        <f t="shared" si="13"/>
        <v>-17600</v>
      </c>
      <c r="AJ42" s="14">
        <f t="shared" si="13"/>
        <v>-17600</v>
      </c>
      <c r="AK42" s="14">
        <f t="shared" si="13"/>
        <v>-17600</v>
      </c>
      <c r="AL42" s="14">
        <f t="shared" si="13"/>
        <v>-17600</v>
      </c>
      <c r="AM42" s="14">
        <f t="shared" si="13"/>
        <v>-17600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</row>
    <row r="43" spans="1:99" x14ac:dyDescent="0.25">
      <c r="A43" s="11" t="s">
        <v>5</v>
      </c>
      <c r="B43" s="11" t="s">
        <v>174</v>
      </c>
      <c r="C43" s="11" t="s">
        <v>143</v>
      </c>
      <c r="D43" s="12">
        <v>22</v>
      </c>
      <c r="E43" s="11">
        <f>65*2183.04</f>
        <v>141897.60000000001</v>
      </c>
      <c r="F43" s="11">
        <f t="shared" si="11"/>
        <v>3121747.2</v>
      </c>
      <c r="G43" s="13">
        <f>F43</f>
        <v>3121747.2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f>G43</f>
        <v>3121747.2</v>
      </c>
    </row>
    <row r="44" spans="1:99" x14ac:dyDescent="0.25">
      <c r="A44" s="11" t="s">
        <v>5</v>
      </c>
      <c r="B44" s="11" t="s">
        <v>175</v>
      </c>
      <c r="C44" s="11" t="s">
        <v>176</v>
      </c>
      <c r="D44" s="12">
        <v>88</v>
      </c>
      <c r="E44" s="11">
        <v>2705</v>
      </c>
      <c r="F44" s="11">
        <f t="shared" si="11"/>
        <v>238040</v>
      </c>
      <c r="G44" s="13">
        <f>F44</f>
        <v>238040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f>G44</f>
        <v>238040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R44" s="14">
        <v>0</v>
      </c>
      <c r="CS44" s="14">
        <v>0</v>
      </c>
      <c r="CT44" s="14">
        <v>0</v>
      </c>
      <c r="CU44" s="14">
        <v>0</v>
      </c>
    </row>
    <row r="45" spans="1:99" x14ac:dyDescent="0.25">
      <c r="A45" s="11" t="s">
        <v>5</v>
      </c>
      <c r="B45" s="11" t="s">
        <v>175</v>
      </c>
      <c r="C45" s="11" t="s">
        <v>177</v>
      </c>
      <c r="D45" s="12">
        <v>88</v>
      </c>
      <c r="E45" s="11">
        <v>11000</v>
      </c>
      <c r="F45" s="11">
        <f t="shared" si="11"/>
        <v>968000</v>
      </c>
      <c r="G45" s="13">
        <f>F45</f>
        <v>968000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f>G45</f>
        <v>968000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</row>
    <row r="46" spans="1:99" x14ac:dyDescent="0.25">
      <c r="A46" s="11" t="s">
        <v>5</v>
      </c>
      <c r="B46" s="11" t="s">
        <v>178</v>
      </c>
      <c r="C46" s="11" t="s">
        <v>179</v>
      </c>
      <c r="D46" s="12">
        <f>22*60</f>
        <v>1320</v>
      </c>
      <c r="E46" s="11">
        <v>450</v>
      </c>
      <c r="F46" s="11">
        <f t="shared" ref="F46:F47" si="14">D46*E46</f>
        <v>594000</v>
      </c>
      <c r="G46" s="13">
        <f>F46</f>
        <v>594000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f>$D$46*$E$46/60</f>
        <v>9900</v>
      </c>
      <c r="AO46" s="14">
        <f t="shared" ref="AO46:CU46" si="15">$D$46*$E$46/60</f>
        <v>9900</v>
      </c>
      <c r="AP46" s="14">
        <f t="shared" si="15"/>
        <v>9900</v>
      </c>
      <c r="AQ46" s="14">
        <f t="shared" si="15"/>
        <v>9900</v>
      </c>
      <c r="AR46" s="14">
        <f t="shared" si="15"/>
        <v>9900</v>
      </c>
      <c r="AS46" s="14">
        <f t="shared" si="15"/>
        <v>9900</v>
      </c>
      <c r="AT46" s="14">
        <f t="shared" si="15"/>
        <v>9900</v>
      </c>
      <c r="AU46" s="14">
        <f t="shared" si="15"/>
        <v>9900</v>
      </c>
      <c r="AV46" s="14">
        <f t="shared" si="15"/>
        <v>9900</v>
      </c>
      <c r="AW46" s="14">
        <f t="shared" si="15"/>
        <v>9900</v>
      </c>
      <c r="AX46" s="14">
        <f t="shared" si="15"/>
        <v>9900</v>
      </c>
      <c r="AY46" s="14">
        <f t="shared" si="15"/>
        <v>9900</v>
      </c>
      <c r="AZ46" s="14">
        <f t="shared" si="15"/>
        <v>9900</v>
      </c>
      <c r="BA46" s="14">
        <f t="shared" si="15"/>
        <v>9900</v>
      </c>
      <c r="BB46" s="14">
        <f t="shared" si="15"/>
        <v>9900</v>
      </c>
      <c r="BC46" s="14">
        <f t="shared" si="15"/>
        <v>9900</v>
      </c>
      <c r="BD46" s="14">
        <f t="shared" si="15"/>
        <v>9900</v>
      </c>
      <c r="BE46" s="14">
        <f t="shared" si="15"/>
        <v>9900</v>
      </c>
      <c r="BF46" s="14">
        <f t="shared" si="15"/>
        <v>9900</v>
      </c>
      <c r="BG46" s="14">
        <f t="shared" si="15"/>
        <v>9900</v>
      </c>
      <c r="BH46" s="14">
        <f t="shared" si="15"/>
        <v>9900</v>
      </c>
      <c r="BI46" s="14">
        <f t="shared" si="15"/>
        <v>9900</v>
      </c>
      <c r="BJ46" s="14">
        <f t="shared" si="15"/>
        <v>9900</v>
      </c>
      <c r="BK46" s="14">
        <f t="shared" si="15"/>
        <v>9900</v>
      </c>
      <c r="BL46" s="14">
        <f t="shared" si="15"/>
        <v>9900</v>
      </c>
      <c r="BM46" s="14">
        <f t="shared" si="15"/>
        <v>9900</v>
      </c>
      <c r="BN46" s="14">
        <f t="shared" si="15"/>
        <v>9900</v>
      </c>
      <c r="BO46" s="14">
        <f t="shared" si="15"/>
        <v>9900</v>
      </c>
      <c r="BP46" s="14">
        <f t="shared" si="15"/>
        <v>9900</v>
      </c>
      <c r="BQ46" s="14">
        <f t="shared" si="15"/>
        <v>9900</v>
      </c>
      <c r="BR46" s="14">
        <f t="shared" si="15"/>
        <v>9900</v>
      </c>
      <c r="BS46" s="14">
        <f t="shared" si="15"/>
        <v>9900</v>
      </c>
      <c r="BT46" s="14">
        <f t="shared" si="15"/>
        <v>9900</v>
      </c>
      <c r="BU46" s="14">
        <f t="shared" si="15"/>
        <v>9900</v>
      </c>
      <c r="BV46" s="14">
        <f t="shared" si="15"/>
        <v>9900</v>
      </c>
      <c r="BW46" s="14">
        <f t="shared" si="15"/>
        <v>9900</v>
      </c>
      <c r="BX46" s="14">
        <f t="shared" si="15"/>
        <v>9900</v>
      </c>
      <c r="BY46" s="14">
        <f t="shared" si="15"/>
        <v>9900</v>
      </c>
      <c r="BZ46" s="14">
        <f t="shared" si="15"/>
        <v>9900</v>
      </c>
      <c r="CA46" s="14">
        <f t="shared" si="15"/>
        <v>9900</v>
      </c>
      <c r="CB46" s="14">
        <f t="shared" si="15"/>
        <v>9900</v>
      </c>
      <c r="CC46" s="14">
        <f t="shared" si="15"/>
        <v>9900</v>
      </c>
      <c r="CD46" s="14">
        <f t="shared" si="15"/>
        <v>9900</v>
      </c>
      <c r="CE46" s="14">
        <f t="shared" si="15"/>
        <v>9900</v>
      </c>
      <c r="CF46" s="14">
        <f t="shared" si="15"/>
        <v>9900</v>
      </c>
      <c r="CG46" s="14">
        <f t="shared" si="15"/>
        <v>9900</v>
      </c>
      <c r="CH46" s="14">
        <f t="shared" si="15"/>
        <v>9900</v>
      </c>
      <c r="CI46" s="14">
        <f t="shared" si="15"/>
        <v>9900</v>
      </c>
      <c r="CJ46" s="14">
        <f t="shared" si="15"/>
        <v>9900</v>
      </c>
      <c r="CK46" s="14">
        <f t="shared" si="15"/>
        <v>9900</v>
      </c>
      <c r="CL46" s="14">
        <f t="shared" si="15"/>
        <v>9900</v>
      </c>
      <c r="CM46" s="14">
        <f t="shared" si="15"/>
        <v>9900</v>
      </c>
      <c r="CN46" s="14">
        <f t="shared" si="15"/>
        <v>9900</v>
      </c>
      <c r="CO46" s="14">
        <f t="shared" si="15"/>
        <v>9900</v>
      </c>
      <c r="CP46" s="14">
        <f t="shared" si="15"/>
        <v>9900</v>
      </c>
      <c r="CQ46" s="14">
        <f t="shared" si="15"/>
        <v>9900</v>
      </c>
      <c r="CR46" s="14">
        <f t="shared" si="15"/>
        <v>9900</v>
      </c>
      <c r="CS46" s="14">
        <f t="shared" si="15"/>
        <v>9900</v>
      </c>
      <c r="CT46" s="14">
        <f t="shared" si="15"/>
        <v>9900</v>
      </c>
      <c r="CU46" s="14">
        <f t="shared" si="15"/>
        <v>9900</v>
      </c>
    </row>
    <row r="47" spans="1:99" x14ac:dyDescent="0.25">
      <c r="A47" s="11" t="s">
        <v>5</v>
      </c>
      <c r="B47" s="11" t="s">
        <v>180</v>
      </c>
      <c r="C47" s="11" t="s">
        <v>152</v>
      </c>
      <c r="D47" s="12">
        <v>0</v>
      </c>
      <c r="E47" s="11">
        <v>50</v>
      </c>
      <c r="F47" s="11">
        <f t="shared" si="14"/>
        <v>0</v>
      </c>
      <c r="G47" s="15">
        <f>F47</f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f>$D$47*$E$47/60</f>
        <v>0</v>
      </c>
      <c r="AO47" s="14">
        <f t="shared" ref="AO47:CU47" si="16">$D$47*$E$47/60</f>
        <v>0</v>
      </c>
      <c r="AP47" s="14">
        <f t="shared" si="16"/>
        <v>0</v>
      </c>
      <c r="AQ47" s="14">
        <f t="shared" si="16"/>
        <v>0</v>
      </c>
      <c r="AR47" s="14">
        <f t="shared" si="16"/>
        <v>0</v>
      </c>
      <c r="AS47" s="14">
        <f t="shared" si="16"/>
        <v>0</v>
      </c>
      <c r="AT47" s="14">
        <f t="shared" si="16"/>
        <v>0</v>
      </c>
      <c r="AU47" s="14">
        <f t="shared" si="16"/>
        <v>0</v>
      </c>
      <c r="AV47" s="14">
        <f t="shared" si="16"/>
        <v>0</v>
      </c>
      <c r="AW47" s="14">
        <f t="shared" si="16"/>
        <v>0</v>
      </c>
      <c r="AX47" s="14">
        <f t="shared" si="16"/>
        <v>0</v>
      </c>
      <c r="AY47" s="14">
        <f t="shared" si="16"/>
        <v>0</v>
      </c>
      <c r="AZ47" s="14">
        <f t="shared" si="16"/>
        <v>0</v>
      </c>
      <c r="BA47" s="14">
        <f t="shared" si="16"/>
        <v>0</v>
      </c>
      <c r="BB47" s="14">
        <f t="shared" si="16"/>
        <v>0</v>
      </c>
      <c r="BC47" s="14">
        <f t="shared" si="16"/>
        <v>0</v>
      </c>
      <c r="BD47" s="14">
        <f t="shared" si="16"/>
        <v>0</v>
      </c>
      <c r="BE47" s="14">
        <f t="shared" si="16"/>
        <v>0</v>
      </c>
      <c r="BF47" s="14">
        <f t="shared" si="16"/>
        <v>0</v>
      </c>
      <c r="BG47" s="14">
        <f t="shared" si="16"/>
        <v>0</v>
      </c>
      <c r="BH47" s="14">
        <f t="shared" si="16"/>
        <v>0</v>
      </c>
      <c r="BI47" s="14">
        <f t="shared" si="16"/>
        <v>0</v>
      </c>
      <c r="BJ47" s="14">
        <f t="shared" si="16"/>
        <v>0</v>
      </c>
      <c r="BK47" s="14">
        <f t="shared" si="16"/>
        <v>0</v>
      </c>
      <c r="BL47" s="14">
        <f t="shared" si="16"/>
        <v>0</v>
      </c>
      <c r="BM47" s="14">
        <f t="shared" si="16"/>
        <v>0</v>
      </c>
      <c r="BN47" s="14">
        <f t="shared" si="16"/>
        <v>0</v>
      </c>
      <c r="BO47" s="14">
        <f t="shared" si="16"/>
        <v>0</v>
      </c>
      <c r="BP47" s="14">
        <f t="shared" si="16"/>
        <v>0</v>
      </c>
      <c r="BQ47" s="14">
        <f t="shared" si="16"/>
        <v>0</v>
      </c>
      <c r="BR47" s="14">
        <f t="shared" si="16"/>
        <v>0</v>
      </c>
      <c r="BS47" s="14">
        <f t="shared" si="16"/>
        <v>0</v>
      </c>
      <c r="BT47" s="14">
        <f t="shared" si="16"/>
        <v>0</v>
      </c>
      <c r="BU47" s="14">
        <f t="shared" si="16"/>
        <v>0</v>
      </c>
      <c r="BV47" s="14">
        <f t="shared" si="16"/>
        <v>0</v>
      </c>
      <c r="BW47" s="14">
        <f t="shared" si="16"/>
        <v>0</v>
      </c>
      <c r="BX47" s="14">
        <f t="shared" si="16"/>
        <v>0</v>
      </c>
      <c r="BY47" s="14">
        <f t="shared" si="16"/>
        <v>0</v>
      </c>
      <c r="BZ47" s="14">
        <f t="shared" si="16"/>
        <v>0</v>
      </c>
      <c r="CA47" s="14">
        <f t="shared" si="16"/>
        <v>0</v>
      </c>
      <c r="CB47" s="14">
        <f t="shared" si="16"/>
        <v>0</v>
      </c>
      <c r="CC47" s="14">
        <f t="shared" si="16"/>
        <v>0</v>
      </c>
      <c r="CD47" s="14">
        <f t="shared" si="16"/>
        <v>0</v>
      </c>
      <c r="CE47" s="14">
        <f t="shared" si="16"/>
        <v>0</v>
      </c>
      <c r="CF47" s="14">
        <f t="shared" si="16"/>
        <v>0</v>
      </c>
      <c r="CG47" s="14">
        <f t="shared" si="16"/>
        <v>0</v>
      </c>
      <c r="CH47" s="14">
        <f t="shared" si="16"/>
        <v>0</v>
      </c>
      <c r="CI47" s="14">
        <f t="shared" si="16"/>
        <v>0</v>
      </c>
      <c r="CJ47" s="14">
        <f t="shared" si="16"/>
        <v>0</v>
      </c>
      <c r="CK47" s="14">
        <f t="shared" si="16"/>
        <v>0</v>
      </c>
      <c r="CL47" s="14">
        <f t="shared" si="16"/>
        <v>0</v>
      </c>
      <c r="CM47" s="14">
        <f t="shared" si="16"/>
        <v>0</v>
      </c>
      <c r="CN47" s="14">
        <f t="shared" si="16"/>
        <v>0</v>
      </c>
      <c r="CO47" s="14">
        <f t="shared" si="16"/>
        <v>0</v>
      </c>
      <c r="CP47" s="14">
        <f t="shared" si="16"/>
        <v>0</v>
      </c>
      <c r="CQ47" s="14">
        <f t="shared" si="16"/>
        <v>0</v>
      </c>
      <c r="CR47" s="14">
        <f t="shared" si="16"/>
        <v>0</v>
      </c>
      <c r="CS47" s="14">
        <f t="shared" si="16"/>
        <v>0</v>
      </c>
      <c r="CT47" s="14">
        <f t="shared" si="16"/>
        <v>0</v>
      </c>
      <c r="CU47" s="14">
        <f t="shared" si="16"/>
        <v>0</v>
      </c>
    </row>
    <row r="48" spans="1:99" x14ac:dyDescent="0.25">
      <c r="A48" s="11" t="s">
        <v>181</v>
      </c>
      <c r="B48" s="11" t="s">
        <v>182</v>
      </c>
      <c r="C48" s="11" t="s">
        <v>5</v>
      </c>
      <c r="F48" s="31"/>
      <c r="G48" s="45">
        <f>SUM(F43:F47)</f>
        <v>4921787.2</v>
      </c>
      <c r="H48" s="29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</row>
    <row r="49" spans="1:99" x14ac:dyDescent="0.25">
      <c r="A49" s="11" t="s">
        <v>181</v>
      </c>
      <c r="B49" s="11" t="s">
        <v>182</v>
      </c>
      <c r="C49" s="11" t="s">
        <v>90</v>
      </c>
      <c r="F49" s="31"/>
      <c r="G49" s="45">
        <f>-SUM(F2:F42)</f>
        <v>-12166212.948130924</v>
      </c>
      <c r="H49" s="29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</row>
    <row r="50" spans="1:99" x14ac:dyDescent="0.25">
      <c r="A50" s="11" t="s">
        <v>181</v>
      </c>
      <c r="B50" s="11" t="s">
        <v>182</v>
      </c>
      <c r="C50" s="11" t="s">
        <v>183</v>
      </c>
      <c r="F50" s="31"/>
      <c r="G50" s="45">
        <f>SUM(G48:G49)</f>
        <v>-7244425.7481309241</v>
      </c>
      <c r="H50" s="29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</row>
    <row r="51" spans="1:99" x14ac:dyDescent="0.25">
      <c r="A51" s="11" t="s">
        <v>181</v>
      </c>
      <c r="B51" s="11" t="s">
        <v>182</v>
      </c>
      <c r="C51" s="11" t="s">
        <v>184</v>
      </c>
      <c r="F51" s="31"/>
      <c r="G51" s="46">
        <f>G50/-G49</f>
        <v>-0.59545445891968163</v>
      </c>
      <c r="H51" s="29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</row>
    <row r="52" spans="1:99" x14ac:dyDescent="0.25">
      <c r="A52" s="11" t="s">
        <v>181</v>
      </c>
      <c r="B52" s="11" t="s">
        <v>185</v>
      </c>
      <c r="C52" s="11" t="s">
        <v>186</v>
      </c>
      <c r="F52" s="31"/>
      <c r="G52" s="47"/>
      <c r="H52" s="32">
        <f t="shared" ref="H52:AM52" si="17">SUM(H2:H47)</f>
        <v>0</v>
      </c>
      <c r="I52" s="26">
        <f t="shared" si="17"/>
        <v>-7018</v>
      </c>
      <c r="J52" s="26">
        <f t="shared" si="17"/>
        <v>0</v>
      </c>
      <c r="K52" s="26">
        <f t="shared" si="17"/>
        <v>-15667.686232265816</v>
      </c>
      <c r="L52" s="26">
        <f t="shared" si="17"/>
        <v>0</v>
      </c>
      <c r="M52" s="26">
        <f t="shared" si="17"/>
        <v>-214571.6507540349</v>
      </c>
      <c r="N52" s="26">
        <f t="shared" si="17"/>
        <v>-4359.9465</v>
      </c>
      <c r="O52" s="26">
        <f t="shared" si="17"/>
        <v>0</v>
      </c>
      <c r="P52" s="26">
        <f t="shared" si="17"/>
        <v>-321215.69157287473</v>
      </c>
      <c r="Q52" s="26">
        <f t="shared" si="17"/>
        <v>-68125.063684014996</v>
      </c>
      <c r="R52" s="26">
        <f t="shared" si="17"/>
        <v>-8770.6862322658162</v>
      </c>
      <c r="S52" s="26">
        <f t="shared" si="17"/>
        <v>0</v>
      </c>
      <c r="T52" s="26">
        <f t="shared" si="17"/>
        <v>-272500.25473605999</v>
      </c>
      <c r="U52" s="26">
        <f t="shared" si="17"/>
        <v>0</v>
      </c>
      <c r="V52" s="26">
        <f t="shared" si="17"/>
        <v>0</v>
      </c>
      <c r="W52" s="26">
        <f t="shared" si="17"/>
        <v>-55417.560658550297</v>
      </c>
      <c r="X52" s="26">
        <f t="shared" si="17"/>
        <v>-374030.91760000348</v>
      </c>
      <c r="Y52" s="26">
        <f t="shared" si="17"/>
        <v>-500887.26919196895</v>
      </c>
      <c r="Z52" s="26">
        <f t="shared" si="17"/>
        <v>-237233.15591200508</v>
      </c>
      <c r="AA52" s="26">
        <f t="shared" si="17"/>
        <v>-386077.29352988343</v>
      </c>
      <c r="AB52" s="26">
        <f t="shared" si="17"/>
        <v>-601375.54885826609</v>
      </c>
      <c r="AC52" s="26">
        <f t="shared" si="17"/>
        <v>-839635.92265638779</v>
      </c>
      <c r="AD52" s="26">
        <f t="shared" si="17"/>
        <v>-652077.14069574291</v>
      </c>
      <c r="AE52" s="26">
        <f t="shared" si="17"/>
        <v>-569240.00434187218</v>
      </c>
      <c r="AF52" s="26">
        <f t="shared" si="17"/>
        <v>-553260.7919669468</v>
      </c>
      <c r="AG52" s="26">
        <f t="shared" si="17"/>
        <v>-557819.7671081291</v>
      </c>
      <c r="AH52" s="26">
        <f t="shared" si="17"/>
        <v>-637710.73190023168</v>
      </c>
      <c r="AI52" s="26">
        <f t="shared" si="17"/>
        <v>-991561.32285748108</v>
      </c>
      <c r="AJ52" s="26">
        <f t="shared" si="17"/>
        <v>-1263211.5288000323</v>
      </c>
      <c r="AK52" s="26">
        <f t="shared" si="17"/>
        <v>-959516.73405367776</v>
      </c>
      <c r="AL52" s="26">
        <f t="shared" si="17"/>
        <v>-690058.38761755324</v>
      </c>
      <c r="AM52" s="26">
        <f t="shared" si="17"/>
        <v>-530877.98144384311</v>
      </c>
      <c r="AN52" s="26">
        <f t="shared" ref="AN52:BS52" si="18">SUM(AN2:AN47)</f>
        <v>1160644.9511527582</v>
      </c>
      <c r="AO52" s="26">
        <f t="shared" si="18"/>
        <v>-15283.096034683564</v>
      </c>
      <c r="AP52" s="26">
        <f t="shared" si="18"/>
        <v>-14891.315832414923</v>
      </c>
      <c r="AQ52" s="26">
        <f t="shared" si="18"/>
        <v>-14498.392937889665</v>
      </c>
      <c r="AR52" s="26">
        <f t="shared" si="18"/>
        <v>-14104.324018255371</v>
      </c>
      <c r="AS52" s="26">
        <f t="shared" si="18"/>
        <v>-13709.105730938812</v>
      </c>
      <c r="AT52" s="26">
        <f t="shared" si="18"/>
        <v>-13312.734723617581</v>
      </c>
      <c r="AU52" s="26">
        <f t="shared" si="18"/>
        <v>-12915.207634191658</v>
      </c>
      <c r="AV52" s="26">
        <f t="shared" si="18"/>
        <v>-12516.521090754915</v>
      </c>
      <c r="AW52" s="26">
        <f t="shared" si="18"/>
        <v>-12116.671711566483</v>
      </c>
      <c r="AX52" s="26">
        <f t="shared" si="18"/>
        <v>-11715.656105022077</v>
      </c>
      <c r="AY52" s="26">
        <f t="shared" si="18"/>
        <v>-11313.47086962526</v>
      </c>
      <c r="AZ52" s="26">
        <f t="shared" si="18"/>
        <v>-10910.112593958525</v>
      </c>
      <c r="BA52" s="26">
        <f t="shared" si="18"/>
        <v>-10505.57785665444</v>
      </c>
      <c r="BB52" s="26">
        <f t="shared" si="18"/>
        <v>-10099.863226366542</v>
      </c>
      <c r="BC52" s="26">
        <f t="shared" si="18"/>
        <v>-9692.9652617403044</v>
      </c>
      <c r="BD52" s="26">
        <f t="shared" si="18"/>
        <v>-9284.8805113839117</v>
      </c>
      <c r="BE52" s="26">
        <f t="shared" si="18"/>
        <v>-8875.605513838982</v>
      </c>
      <c r="BF52" s="26">
        <f t="shared" si="18"/>
        <v>-8465.1367975512039</v>
      </c>
      <c r="BG52" s="26">
        <f t="shared" si="18"/>
        <v>-8053.4708808409268</v>
      </c>
      <c r="BH52" s="26">
        <f t="shared" si="18"/>
        <v>-7640.6042718735735</v>
      </c>
      <c r="BI52" s="26">
        <f t="shared" si="18"/>
        <v>-7226.5334686300666</v>
      </c>
      <c r="BJ52" s="26">
        <f t="shared" si="18"/>
        <v>-6811.2549588771035</v>
      </c>
      <c r="BK52" s="26">
        <f t="shared" si="18"/>
        <v>-6394.7652201373585</v>
      </c>
      <c r="BL52" s="26">
        <f t="shared" si="18"/>
        <v>-5977.0607196596211</v>
      </c>
      <c r="BM52" s="26">
        <f t="shared" si="18"/>
        <v>-5558.1379143888244</v>
      </c>
      <c r="BN52" s="26">
        <f t="shared" si="18"/>
        <v>-5137.9932509359878</v>
      </c>
      <c r="BO52" s="26">
        <f t="shared" si="18"/>
        <v>-4716.6231655480824</v>
      </c>
      <c r="BP52" s="26">
        <f t="shared" si="18"/>
        <v>-4294.0240840777951</v>
      </c>
      <c r="BQ52" s="26">
        <f t="shared" si="18"/>
        <v>-3870.1924219532175</v>
      </c>
      <c r="BR52" s="26">
        <f t="shared" si="18"/>
        <v>-3445.1245841474447</v>
      </c>
      <c r="BS52" s="26">
        <f t="shared" si="18"/>
        <v>-3018.8169651480712</v>
      </c>
      <c r="BT52" s="26">
        <f t="shared" ref="BT52:CU52" si="19">SUM(BT2:BT47)</f>
        <v>-2591.2659489266171</v>
      </c>
      <c r="BU52" s="26">
        <f t="shared" si="19"/>
        <v>-2162.4679089078509</v>
      </c>
      <c r="BV52" s="26">
        <f t="shared" si="19"/>
        <v>-1732.4192079390268</v>
      </c>
      <c r="BW52" s="26">
        <f t="shared" si="19"/>
        <v>-1301.1161982590456</v>
      </c>
      <c r="BX52" s="26">
        <f t="shared" si="19"/>
        <v>-868.55522146749718</v>
      </c>
      <c r="BY52" s="26">
        <f t="shared" si="19"/>
        <v>-434.73260849364124</v>
      </c>
      <c r="BZ52" s="26">
        <f t="shared" si="19"/>
        <v>0.35532043472267105</v>
      </c>
      <c r="CA52" s="26">
        <f t="shared" si="19"/>
        <v>436.7122558224637</v>
      </c>
      <c r="CB52" s="26">
        <f t="shared" si="19"/>
        <v>874.3418989384154</v>
      </c>
      <c r="CC52" s="26">
        <f t="shared" si="19"/>
        <v>1313.2479618467878</v>
      </c>
      <c r="CD52" s="26">
        <f t="shared" si="19"/>
        <v>1753.4341674386451</v>
      </c>
      <c r="CE52" s="26">
        <f t="shared" si="19"/>
        <v>2194.9042494634778</v>
      </c>
      <c r="CF52" s="26">
        <f t="shared" si="19"/>
        <v>2637.6619525608839</v>
      </c>
      <c r="CG52" s="26">
        <f t="shared" si="19"/>
        <v>3081.7110322923227</v>
      </c>
      <c r="CH52" s="26">
        <f t="shared" si="19"/>
        <v>3527.0552551729788</v>
      </c>
      <c r="CI52" s="26">
        <f t="shared" si="19"/>
        <v>3973.6983987037038</v>
      </c>
      <c r="CJ52" s="26">
        <f t="shared" si="19"/>
        <v>4421.6442514030587</v>
      </c>
      <c r="CK52" s="26">
        <f t="shared" si="19"/>
        <v>4870.896612839455</v>
      </c>
      <c r="CL52" s="26">
        <f t="shared" si="19"/>
        <v>5321.4592936633735</v>
      </c>
      <c r="CM52" s="26">
        <f t="shared" si="19"/>
        <v>5773.3361156396959</v>
      </c>
      <c r="CN52" s="26">
        <f t="shared" si="19"/>
        <v>6226.5309116801145</v>
      </c>
      <c r="CO52" s="26">
        <f t="shared" si="19"/>
        <v>6681.0475258756505</v>
      </c>
      <c r="CP52" s="26">
        <f t="shared" si="19"/>
        <v>7136.8898135292584</v>
      </c>
      <c r="CQ52" s="26">
        <f t="shared" si="19"/>
        <v>7594.061641188523</v>
      </c>
      <c r="CR52" s="26">
        <f t="shared" si="19"/>
        <v>8052.5668866784599</v>
      </c>
      <c r="CS52" s="26">
        <f t="shared" si="19"/>
        <v>8512.4094391344079</v>
      </c>
      <c r="CT52" s="26">
        <f t="shared" si="19"/>
        <v>8973.5931990350218</v>
      </c>
      <c r="CU52" s="26">
        <f t="shared" si="19"/>
        <v>3109238.505137173</v>
      </c>
    </row>
    <row r="53" spans="1:99" x14ac:dyDescent="0.25">
      <c r="A53" s="11" t="s">
        <v>181</v>
      </c>
      <c r="B53" s="11" t="s">
        <v>185</v>
      </c>
      <c r="C53" s="11" t="s">
        <v>187</v>
      </c>
      <c r="F53" s="31"/>
      <c r="G53" s="46">
        <f>SUM(H52:CU52)</f>
        <v>-7244425.8218814917</v>
      </c>
      <c r="H53" s="49">
        <f>SUM(H52:R52)</f>
        <v>-639728.72497545613</v>
      </c>
      <c r="I53" s="49"/>
      <c r="J53" s="49"/>
      <c r="K53" s="49"/>
      <c r="L53" s="49"/>
      <c r="M53" s="49"/>
      <c r="N53" s="49"/>
      <c r="O53" s="49"/>
      <c r="P53" s="49"/>
      <c r="Q53" s="49"/>
      <c r="R53" s="50"/>
      <c r="S53" s="51">
        <f>SUM(S52:AD52)</f>
        <v>-3919235.0638388679</v>
      </c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50"/>
      <c r="AE53" s="51">
        <f>SUM(AE52:AP52)</f>
        <v>-5622786.7108041076</v>
      </c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50"/>
      <c r="AQ53" s="51">
        <f>SUM(AQ52:BB52)</f>
        <v>-147717.63849884135</v>
      </c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50"/>
      <c r="BC53" s="51">
        <f>SUM(BC52:BN52)</f>
        <v>-89118.408769857866</v>
      </c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50"/>
      <c r="BO53" s="51">
        <f>SUM(BO52:BZ52)</f>
        <v>-28434.982994433562</v>
      </c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50"/>
      <c r="CA53" s="51">
        <f>SUM(CA52:CL52)</f>
        <v>34406.767330145558</v>
      </c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50"/>
      <c r="CM53" s="51">
        <f>SUM(CM52:CU52)</f>
        <v>3168188.9406699343</v>
      </c>
      <c r="CN53" s="49"/>
      <c r="CO53" s="49"/>
      <c r="CP53" s="49"/>
      <c r="CQ53" s="49"/>
      <c r="CR53" s="49"/>
      <c r="CS53" s="49"/>
      <c r="CT53" s="49"/>
      <c r="CU53" s="50"/>
    </row>
    <row r="54" spans="1:99" x14ac:dyDescent="0.25">
      <c r="A54" s="11" t="s">
        <v>181</v>
      </c>
      <c r="B54" s="11" t="s">
        <v>188</v>
      </c>
      <c r="C54" s="11" t="s">
        <v>189</v>
      </c>
      <c r="F54" s="31"/>
      <c r="G54" s="45">
        <v>0.06</v>
      </c>
      <c r="H54" s="29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</row>
    <row r="55" spans="1:99" x14ac:dyDescent="0.25">
      <c r="A55" s="11" t="s">
        <v>181</v>
      </c>
      <c r="B55" s="11" t="s">
        <v>188</v>
      </c>
      <c r="C55" s="11" t="s">
        <v>91</v>
      </c>
      <c r="F55" s="31"/>
      <c r="G55" s="45">
        <f xml:space="preserve"> (1+G54)^(1/12)-1</f>
        <v>4.8675505653430484E-3</v>
      </c>
      <c r="H55" s="29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</row>
    <row r="56" spans="1:99" x14ac:dyDescent="0.25">
      <c r="A56" s="11" t="s">
        <v>181</v>
      </c>
      <c r="B56" s="11" t="s">
        <v>188</v>
      </c>
      <c r="C56" s="11" t="s">
        <v>92</v>
      </c>
      <c r="F56" s="31"/>
      <c r="G56" s="45">
        <v>5.0000000000000001E-4</v>
      </c>
      <c r="H56" s="29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spans="1:99" x14ac:dyDescent="0.25">
      <c r="A57" s="11" t="s">
        <v>181</v>
      </c>
      <c r="B57" s="11" t="s">
        <v>190</v>
      </c>
      <c r="C57" s="11" t="s">
        <v>93</v>
      </c>
      <c r="F57" s="31"/>
      <c r="G57" s="45">
        <f>NPV(G55,Q52:CU52)+SUM(H52:P52)</f>
        <v>-7578654.8202570044</v>
      </c>
      <c r="H57" s="33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</row>
    <row r="58" spans="1:99" x14ac:dyDescent="0.25">
      <c r="A58" s="11" t="s">
        <v>181</v>
      </c>
      <c r="B58" s="11" t="s">
        <v>190</v>
      </c>
      <c r="C58" s="11" t="s">
        <v>94</v>
      </c>
      <c r="F58" s="31"/>
      <c r="G58" s="45">
        <f>CU58</f>
        <v>-9.6377649249136388E-3</v>
      </c>
      <c r="H58" s="32"/>
      <c r="I58" s="26">
        <f>MIRR(H52:I52,G56,G55)</f>
        <v>-1</v>
      </c>
      <c r="J58" s="26">
        <f>MIRR($H$52:J52,$G$56,$G$55)</f>
        <v>-1</v>
      </c>
      <c r="K58" s="26">
        <f>MIRR($H$52:K52,$G$56,$G$55)</f>
        <v>-1</v>
      </c>
      <c r="L58" s="26">
        <f>MIRR($H$52:L52,$G$56,$G$55)</f>
        <v>-1</v>
      </c>
      <c r="M58" s="26">
        <f>MIRR($H$52:M52,$G$56,$G$55)</f>
        <v>-1</v>
      </c>
      <c r="N58" s="26">
        <f>MIRR($H$52:N52,$G$56,$G$55)</f>
        <v>-1</v>
      </c>
      <c r="O58" s="26">
        <f>MIRR($H$52:O52,$G$56,$G$55)</f>
        <v>-1</v>
      </c>
      <c r="P58" s="26">
        <f>MIRR($H$52:P52,$G$56,$G$55)</f>
        <v>-1</v>
      </c>
      <c r="Q58" s="26">
        <f>MIRR($H$52:Q52,$G$56,$G$55)</f>
        <v>-1</v>
      </c>
      <c r="R58" s="26">
        <f>MIRR($H$52:R52,$G$56,$G$55)</f>
        <v>-1</v>
      </c>
      <c r="S58" s="26">
        <f>MIRR($H$52:S52,$G$56,$G$55)</f>
        <v>-1</v>
      </c>
      <c r="T58" s="26">
        <f>MIRR($H$52:T52,$G$56,$G$55)</f>
        <v>-1</v>
      </c>
      <c r="U58" s="26">
        <f>MIRR($H$52:U52,$G$56,$G$55)</f>
        <v>-1</v>
      </c>
      <c r="V58" s="26">
        <f>MIRR($H$52:V52,$G$56,$G$55)</f>
        <v>-1</v>
      </c>
      <c r="W58" s="26">
        <f>MIRR($H$52:W52,$G$56,$G$55)</f>
        <v>-1</v>
      </c>
      <c r="X58" s="26">
        <f>MIRR($H$52:X52,$G$56,$G$55)</f>
        <v>-1</v>
      </c>
      <c r="Y58" s="26">
        <f>MIRR($H$52:Y52,$G$56,$G$55)</f>
        <v>-1</v>
      </c>
      <c r="Z58" s="26">
        <f>MIRR($H$52:Z52,$G$56,$G$55)</f>
        <v>-1</v>
      </c>
      <c r="AA58" s="26">
        <f>MIRR($H$52:AA52,$G$56,$G$55)</f>
        <v>-1</v>
      </c>
      <c r="AB58" s="26">
        <f>MIRR($H$52:AB52,$G$56,$G$55)</f>
        <v>-1</v>
      </c>
      <c r="AC58" s="26">
        <f>MIRR($H$52:AC52,$G$56,$G$55)</f>
        <v>-1</v>
      </c>
      <c r="AD58" s="26">
        <f>MIRR($H$52:AD52,$G$56,$G$55)</f>
        <v>-1</v>
      </c>
      <c r="AE58" s="26">
        <f>MIRR($H$52:AE52,$G$56,$G$55)</f>
        <v>-1</v>
      </c>
      <c r="AF58" s="26">
        <f>MIRR($H$52:AF52,$G$56,$G$55)</f>
        <v>-1</v>
      </c>
      <c r="AG58" s="26">
        <f>MIRR($H$52:AG52,$G$56,$G$55)</f>
        <v>-1</v>
      </c>
      <c r="AH58" s="26">
        <f>MIRR($H$52:AH52,$G$56,$G$55)</f>
        <v>-1</v>
      </c>
      <c r="AI58" s="26">
        <f>MIRR($H$52:AI52,$G$56,$G$55)</f>
        <v>-1</v>
      </c>
      <c r="AJ58" s="26">
        <f>MIRR($H$52:AJ52,$G$56,$G$55)</f>
        <v>-1</v>
      </c>
      <c r="AK58" s="26">
        <f>MIRR($H$52:AK52,$G$56,$G$55)</f>
        <v>-1</v>
      </c>
      <c r="AL58" s="26">
        <f>MIRR($H$52:AL52,$G$56,$G$55)</f>
        <v>-1</v>
      </c>
      <c r="AM58" s="26">
        <f>MIRR($H$52:AM52,$G$56,$G$55)</f>
        <v>-1</v>
      </c>
      <c r="AN58" s="26">
        <f>MIRR($H$52:AN52,$G$56,$G$55)</f>
        <v>-6.8343231611151523E-2</v>
      </c>
      <c r="AO58" s="26">
        <f>MIRR($H$52:AO52,$G$56,$G$55)</f>
        <v>-6.6243143564071016E-2</v>
      </c>
      <c r="AP58" s="26">
        <f>MIRR($H$52:AP52,$G$56,$G$55)</f>
        <v>-6.4261252336035857E-2</v>
      </c>
      <c r="AQ58" s="26">
        <f>MIRR($H$52:AQ52,$G$56,$G$55)</f>
        <v>-6.2387774802752149E-2</v>
      </c>
      <c r="AR58" s="26">
        <f>MIRR($H$52:AR52,$G$56,$G$55)</f>
        <v>-6.0613978202398999E-2</v>
      </c>
      <c r="AS58" s="26">
        <f>MIRR($H$52:AS52,$G$56,$G$55)</f>
        <v>-5.8932042895543879E-2</v>
      </c>
      <c r="AT58" s="26">
        <f>MIRR($H$52:AT52,$G$56,$G$55)</f>
        <v>-5.7334946087152727E-2</v>
      </c>
      <c r="AU58" s="26">
        <f>MIRR($H$52:AU52,$G$56,$G$55)</f>
        <v>-5.5816362869415936E-2</v>
      </c>
      <c r="AV58" s="26">
        <f>MIRR($H$52:AV52,$G$56,$G$55)</f>
        <v>-5.4370581649222927E-2</v>
      </c>
      <c r="AW58" s="26">
        <f>MIRR($H$52:AW52,$G$56,$G$55)</f>
        <v>-5.2992431579305554E-2</v>
      </c>
      <c r="AX58" s="26">
        <f>MIRR($H$52:AX52,$G$56,$G$55)</f>
        <v>-5.1677220051925321E-2</v>
      </c>
      <c r="AY58" s="26">
        <f>MIRR($H$52:AY52,$G$56,$G$55)</f>
        <v>-5.0420678664512386E-2</v>
      </c>
      <c r="AZ58" s="26">
        <f>MIRR($H$52:AZ52,$G$56,$G$55)</f>
        <v>-4.9218916347579245E-2</v>
      </c>
      <c r="BA58" s="26">
        <f>MIRR($H$52:BA52,$G$56,$G$55)</f>
        <v>-4.8068378571551551E-2</v>
      </c>
      <c r="BB58" s="26">
        <f>MIRR($H$52:BB52,$G$56,$G$55)</f>
        <v>-4.6965811732427976E-2</v>
      </c>
      <c r="BC58" s="26">
        <f>MIRR($H$52:BC52,$G$56,$G$55)</f>
        <v>-4.5908231965296475E-2</v>
      </c>
      <c r="BD58" s="26">
        <f>MIRR($H$52:BD52,$G$56,$G$55)</f>
        <v>-4.4892897756635852E-2</v>
      </c>
      <c r="BE58" s="26">
        <f>MIRR($H$52:BE52,$G$56,$G$55)</f>
        <v>-4.3917285826412633E-2</v>
      </c>
      <c r="BF58" s="26">
        <f>MIRR($H$52:BF52,$G$56,$G$55)</f>
        <v>-4.2979069833514072E-2</v>
      </c>
      <c r="BG58" s="26">
        <f>MIRR($H$52:BG52,$G$56,$G$55)</f>
        <v>-4.2076101526373311E-2</v>
      </c>
      <c r="BH58" s="26">
        <f>MIRR($H$52:BH52,$G$56,$G$55)</f>
        <v>-4.1206394017430426E-2</v>
      </c>
      <c r="BI58" s="26">
        <f>MIRR($H$52:BI52,$G$56,$G$55)</f>
        <v>-4.0368106907440193E-2</v>
      </c>
      <c r="BJ58" s="26">
        <f>MIRR($H$52:BJ52,$G$56,$G$55)</f>
        <v>-3.9559533025292581E-2</v>
      </c>
      <c r="BK58" s="26">
        <f>MIRR($H$52:BK52,$G$56,$G$55)</f>
        <v>-3.8779086582333311E-2</v>
      </c>
      <c r="BL58" s="26">
        <f>MIRR($H$52:BL52,$G$56,$G$55)</f>
        <v>-3.8025292568246605E-2</v>
      </c>
      <c r="BM58" s="26">
        <f>MIRR($H$52:BM52,$G$56,$G$55)</f>
        <v>-3.7296777239311019E-2</v>
      </c>
      <c r="BN58" s="26">
        <f>MIRR($H$52:BN52,$G$56,$G$55)</f>
        <v>-3.6592259569977359E-2</v>
      </c>
      <c r="BO58" s="26">
        <f>MIRR($H$52:BO52,$G$56,$G$55)</f>
        <v>-3.5910543555847996E-2</v>
      </c>
      <c r="BP58" s="26">
        <f>MIRR($H$52:BP52,$G$56,$G$55)</f>
        <v>-3.5250511270756069E-2</v>
      </c>
      <c r="BQ58" s="26">
        <f>MIRR($H$52:BQ52,$G$56,$G$55)</f>
        <v>-3.4611116593141755E-2</v>
      </c>
      <c r="BR58" s="26">
        <f>MIRR($H$52:BR52,$G$56,$G$55)</f>
        <v>-3.3991379527650967E-2</v>
      </c>
      <c r="BS58" s="26">
        <f>MIRR($H$52:BS52,$G$56,$G$55)</f>
        <v>-3.3390381057102347E-2</v>
      </c>
      <c r="BT58" s="26">
        <f>MIRR($H$52:BT52,$G$56,$G$55)</f>
        <v>-3.2807258467920986E-2</v>
      </c>
      <c r="BU58" s="26">
        <f>MIRR($H$52:BU52,$G$56,$G$55)</f>
        <v>-3.2241201099005412E-2</v>
      </c>
      <c r="BV58" s="26">
        <f>MIRR($H$52:BV52,$G$56,$G$55)</f>
        <v>-3.1691446469949591E-2</v>
      </c>
      <c r="BW58" s="26">
        <f>MIRR($H$52:BW52,$G$56,$G$55)</f>
        <v>-3.1157276749705476E-2</v>
      </c>
      <c r="BX58" s="26">
        <f>MIRR($H$52:BX52,$G$56,$G$55)</f>
        <v>-3.0638015531268659E-2</v>
      </c>
      <c r="BY58" s="26">
        <f>MIRR($H$52:BY52,$G$56,$G$55)</f>
        <v>-3.0133024881888737E-2</v>
      </c>
      <c r="BZ58" s="26">
        <f>MIRR($H$52:BZ52,$G$56,$G$55)</f>
        <v>-2.9641699527632293E-2</v>
      </c>
      <c r="CA58" s="26">
        <f>MIRR($H$52:CA52,$G$56,$G$55)</f>
        <v>-2.9159722626846851E-2</v>
      </c>
      <c r="CB58" s="26">
        <f>MIRR($H$52:CB52,$G$56,$G$55)</f>
        <v>-2.8686740639592534E-2</v>
      </c>
      <c r="CC58" s="26">
        <f>MIRR($H$52:CC52,$G$56,$G$55)</f>
        <v>-2.8222422805380787E-2</v>
      </c>
      <c r="CD58" s="26">
        <f>MIRR($H$52:CD52,$G$56,$G$55)</f>
        <v>-2.776645951966239E-2</v>
      </c>
      <c r="CE58" s="26">
        <f>MIRR($H$52:CE52,$G$56,$G$55)</f>
        <v>-2.7318560829386107E-2</v>
      </c>
      <c r="CF58" s="26">
        <f>MIRR($H$52:CF52,$G$56,$G$55)</f>
        <v>-2.6878455037476323E-2</v>
      </c>
      <c r="CG58" s="26">
        <f>MIRR($H$52:CG52,$G$56,$G$55)</f>
        <v>-2.6445887407154145E-2</v>
      </c>
      <c r="CH58" s="26">
        <f>MIRR($H$52:CH52,$G$56,$G$55)</f>
        <v>-2.6020618957980579E-2</v>
      </c>
      <c r="CI58" s="26">
        <f>MIRR($H$52:CI52,$G$56,$G$55)</f>
        <v>-2.5602425346335278E-2</v>
      </c>
      <c r="CJ58" s="26">
        <f>MIRR($H$52:CJ52,$G$56,$G$55)</f>
        <v>-2.5191095823779874E-2</v>
      </c>
      <c r="CK58" s="26">
        <f>MIRR($H$52:CK52,$G$56,$G$55)</f>
        <v>-2.4786432267404845E-2</v>
      </c>
      <c r="CL58" s="26">
        <f>MIRR($H$52:CL52,$G$56,$G$55)</f>
        <v>-2.4388248276831503E-2</v>
      </c>
      <c r="CM58" s="26">
        <f>MIRR($H$52:CM52,$G$56,$G$55)</f>
        <v>-2.3996368333040419E-2</v>
      </c>
      <c r="CN58" s="26">
        <f>MIRR($H$52:CN52,$G$56,$G$55)</f>
        <v>-2.3610627014648999E-2</v>
      </c>
      <c r="CO58" s="26">
        <f>MIRR($H$52:CO52,$G$56,$G$55)</f>
        <v>-2.3230868267647642E-2</v>
      </c>
      <c r="CP58" s="26">
        <f>MIRR($H$52:CP52,$G$56,$G$55)</f>
        <v>-2.2856944724954698E-2</v>
      </c>
      <c r="CQ58" s="26">
        <f>MIRR($H$52:CQ52,$G$56,$G$55)</f>
        <v>-2.2488717072457476E-2</v>
      </c>
      <c r="CR58" s="26">
        <f>MIRR($H$52:CR52,$G$56,$G$55)</f>
        <v>-2.2126053458476513E-2</v>
      </c>
      <c r="CS58" s="26">
        <f>MIRR($H$52:CS52,$G$56,$G$55)</f>
        <v>-2.1768828943834362E-2</v>
      </c>
      <c r="CT58" s="26">
        <f>MIRR($H$52:CT52,$G$56,$G$55)</f>
        <v>-2.1416924989924535E-2</v>
      </c>
      <c r="CU58" s="26">
        <f>MIRR($H$52:CU52,$G$56,$G$55)</f>
        <v>-9.6377649249136388E-3</v>
      </c>
    </row>
    <row r="59" spans="1:99" x14ac:dyDescent="0.25">
      <c r="F59" s="36"/>
      <c r="G59" s="45"/>
      <c r="H59" s="37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</row>
  </sheetData>
  <mergeCells count="8">
    <mergeCell ref="BO53:BZ53"/>
    <mergeCell ref="CA53:CL53"/>
    <mergeCell ref="CM53:CU53"/>
    <mergeCell ref="H53:R53"/>
    <mergeCell ref="S53:AD53"/>
    <mergeCell ref="AE53:AP53"/>
    <mergeCell ref="AQ53:BB53"/>
    <mergeCell ref="BC53:BN53"/>
  </mergeCells>
  <phoneticPr fontId="8" type="noConversion"/>
  <conditionalFormatting sqref="AG19 AG22 AJ19 AJ22 AM19 AM22 AP22">
    <cfRule type="cellIs" dxfId="12" priority="11" stopIfTrue="1" operator="equal">
      <formula>#REF!</formula>
    </cfRule>
  </conditionalFormatting>
  <conditionalFormatting sqref="Y19:AF19 Y22:AF22 AH19:AI19 AH22:AI22 AK19:AL19 AK22:AL22 AN22:AO22 H33:V39 W33:CU36 W38:BC38 W39:CU39 H40:CU45 N24:R24 H23:M24 N23:CU23 H16:W17 Y16:CU16 H6:W12 Y7:AM7 X8:AM8 X6:AM6 Z9:AM9 AN6:CU9 X9:Y12 Z10:CU12 H2:CU5 H13:CU15 H18:H22 AQ22:AS22 H25:CU32 K22:R22 K18:K21 X20:AM21 AT17:CU17 AZ18:CU22 X17:AM18">
    <cfRule type="cellIs" dxfId="11" priority="13" stopIfTrue="1" operator="equal">
      <formula>#REF!</formula>
    </cfRule>
  </conditionalFormatting>
  <conditionalFormatting sqref="X7 X16 X19 S22:X22 W37:CU37 S24:CU24">
    <cfRule type="cellIs" dxfId="10" priority="12" stopIfTrue="1" operator="equal">
      <formula>#REF!</formula>
    </cfRule>
  </conditionalFormatting>
  <conditionalFormatting sqref="H46:AN46">
    <cfRule type="cellIs" dxfId="9" priority="10" stopIfTrue="1" operator="equal">
      <formula>#REF!</formula>
    </cfRule>
  </conditionalFormatting>
  <conditionalFormatting sqref="H47:AN47">
    <cfRule type="cellIs" dxfId="8" priority="9" stopIfTrue="1" operator="equal">
      <formula>#REF!</formula>
    </cfRule>
  </conditionalFormatting>
  <conditionalFormatting sqref="AO46:CU46">
    <cfRule type="cellIs" dxfId="7" priority="8" stopIfTrue="1" operator="equal">
      <formula>#REF!</formula>
    </cfRule>
  </conditionalFormatting>
  <conditionalFormatting sqref="AO47:CU47">
    <cfRule type="cellIs" dxfId="6" priority="7" stopIfTrue="1" operator="equal">
      <formula>#REF!</formula>
    </cfRule>
  </conditionalFormatting>
  <conditionalFormatting sqref="I18:J22">
    <cfRule type="cellIs" dxfId="5" priority="6" stopIfTrue="1" operator="equal">
      <formula>#REF!</formula>
    </cfRule>
  </conditionalFormatting>
  <conditionalFormatting sqref="L18:P21">
    <cfRule type="cellIs" dxfId="4" priority="5" stopIfTrue="1" operator="equal">
      <formula>#REF!</formula>
    </cfRule>
  </conditionalFormatting>
  <conditionalFormatting sqref="Q18:U21">
    <cfRule type="cellIs" dxfId="3" priority="4" stopIfTrue="1" operator="equal">
      <formula>#REF!</formula>
    </cfRule>
  </conditionalFormatting>
  <conditionalFormatting sqref="V18:W21">
    <cfRule type="cellIs" dxfId="2" priority="3" stopIfTrue="1" operator="equal">
      <formula>#REF!</formula>
    </cfRule>
  </conditionalFormatting>
  <conditionalFormatting sqref="AN17:AS21">
    <cfRule type="cellIs" dxfId="1" priority="2" stopIfTrue="1" operator="equal">
      <formula>#REF!</formula>
    </cfRule>
  </conditionalFormatting>
  <conditionalFormatting sqref="AT18:AY22">
    <cfRule type="cellIs" dxfId="0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 M9 M6 N24 P24 X20 Z21 Q23 T23 AN25:AN27 AN32 K3:K4 W33:W36 P9 AN28:AN29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/>
  <dimension ref="B1:BR143"/>
  <sheetViews>
    <sheetView workbookViewId="0">
      <selection activeCell="H46" sqref="H46:BO46"/>
    </sheetView>
  </sheetViews>
  <sheetFormatPr baseColWidth="10" defaultRowHeight="15" x14ac:dyDescent="0.25"/>
  <cols>
    <col min="2" max="2" width="15.28515625" bestFit="1" customWidth="1"/>
    <col min="3" max="3" width="20.28515625" customWidth="1"/>
    <col min="5" max="5" width="18.28515625" customWidth="1"/>
    <col min="12" max="12" width="11.42578125" style="1"/>
    <col min="258" max="258" width="15.28515625" bestFit="1" customWidth="1"/>
    <col min="259" max="259" width="20.28515625" customWidth="1"/>
    <col min="261" max="261" width="18.28515625" customWidth="1"/>
    <col min="514" max="514" width="15.28515625" bestFit="1" customWidth="1"/>
    <col min="515" max="515" width="20.28515625" customWidth="1"/>
    <col min="517" max="517" width="18.28515625" customWidth="1"/>
    <col min="770" max="770" width="15.28515625" bestFit="1" customWidth="1"/>
    <col min="771" max="771" width="20.28515625" customWidth="1"/>
    <col min="773" max="773" width="18.28515625" customWidth="1"/>
    <col min="1026" max="1026" width="15.28515625" bestFit="1" customWidth="1"/>
    <col min="1027" max="1027" width="20.28515625" customWidth="1"/>
    <col min="1029" max="1029" width="18.28515625" customWidth="1"/>
    <col min="1282" max="1282" width="15.28515625" bestFit="1" customWidth="1"/>
    <col min="1283" max="1283" width="20.28515625" customWidth="1"/>
    <col min="1285" max="1285" width="18.28515625" customWidth="1"/>
    <col min="1538" max="1538" width="15.28515625" bestFit="1" customWidth="1"/>
    <col min="1539" max="1539" width="20.28515625" customWidth="1"/>
    <col min="1541" max="1541" width="18.28515625" customWidth="1"/>
    <col min="1794" max="1794" width="15.28515625" bestFit="1" customWidth="1"/>
    <col min="1795" max="1795" width="20.28515625" customWidth="1"/>
    <col min="1797" max="1797" width="18.28515625" customWidth="1"/>
    <col min="2050" max="2050" width="15.28515625" bestFit="1" customWidth="1"/>
    <col min="2051" max="2051" width="20.28515625" customWidth="1"/>
    <col min="2053" max="2053" width="18.28515625" customWidth="1"/>
    <col min="2306" max="2306" width="15.28515625" bestFit="1" customWidth="1"/>
    <col min="2307" max="2307" width="20.28515625" customWidth="1"/>
    <col min="2309" max="2309" width="18.28515625" customWidth="1"/>
    <col min="2562" max="2562" width="15.28515625" bestFit="1" customWidth="1"/>
    <col min="2563" max="2563" width="20.28515625" customWidth="1"/>
    <col min="2565" max="2565" width="18.28515625" customWidth="1"/>
    <col min="2818" max="2818" width="15.28515625" bestFit="1" customWidth="1"/>
    <col min="2819" max="2819" width="20.28515625" customWidth="1"/>
    <col min="2821" max="2821" width="18.28515625" customWidth="1"/>
    <col min="3074" max="3074" width="15.28515625" bestFit="1" customWidth="1"/>
    <col min="3075" max="3075" width="20.28515625" customWidth="1"/>
    <col min="3077" max="3077" width="18.28515625" customWidth="1"/>
    <col min="3330" max="3330" width="15.28515625" bestFit="1" customWidth="1"/>
    <col min="3331" max="3331" width="20.28515625" customWidth="1"/>
    <col min="3333" max="3333" width="18.28515625" customWidth="1"/>
    <col min="3586" max="3586" width="15.28515625" bestFit="1" customWidth="1"/>
    <col min="3587" max="3587" width="20.28515625" customWidth="1"/>
    <col min="3589" max="3589" width="18.28515625" customWidth="1"/>
    <col min="3842" max="3842" width="15.28515625" bestFit="1" customWidth="1"/>
    <col min="3843" max="3843" width="20.28515625" customWidth="1"/>
    <col min="3845" max="3845" width="18.28515625" customWidth="1"/>
    <col min="4098" max="4098" width="15.28515625" bestFit="1" customWidth="1"/>
    <col min="4099" max="4099" width="20.28515625" customWidth="1"/>
    <col min="4101" max="4101" width="18.28515625" customWidth="1"/>
    <col min="4354" max="4354" width="15.28515625" bestFit="1" customWidth="1"/>
    <col min="4355" max="4355" width="20.28515625" customWidth="1"/>
    <col min="4357" max="4357" width="18.28515625" customWidth="1"/>
    <col min="4610" max="4610" width="15.28515625" bestFit="1" customWidth="1"/>
    <col min="4611" max="4611" width="20.28515625" customWidth="1"/>
    <col min="4613" max="4613" width="18.28515625" customWidth="1"/>
    <col min="4866" max="4866" width="15.28515625" bestFit="1" customWidth="1"/>
    <col min="4867" max="4867" width="20.28515625" customWidth="1"/>
    <col min="4869" max="4869" width="18.28515625" customWidth="1"/>
    <col min="5122" max="5122" width="15.28515625" bestFit="1" customWidth="1"/>
    <col min="5123" max="5123" width="20.28515625" customWidth="1"/>
    <col min="5125" max="5125" width="18.28515625" customWidth="1"/>
    <col min="5378" max="5378" width="15.28515625" bestFit="1" customWidth="1"/>
    <col min="5379" max="5379" width="20.28515625" customWidth="1"/>
    <col min="5381" max="5381" width="18.28515625" customWidth="1"/>
    <col min="5634" max="5634" width="15.28515625" bestFit="1" customWidth="1"/>
    <col min="5635" max="5635" width="20.28515625" customWidth="1"/>
    <col min="5637" max="5637" width="18.28515625" customWidth="1"/>
    <col min="5890" max="5890" width="15.28515625" bestFit="1" customWidth="1"/>
    <col min="5891" max="5891" width="20.28515625" customWidth="1"/>
    <col min="5893" max="5893" width="18.28515625" customWidth="1"/>
    <col min="6146" max="6146" width="15.28515625" bestFit="1" customWidth="1"/>
    <col min="6147" max="6147" width="20.28515625" customWidth="1"/>
    <col min="6149" max="6149" width="18.28515625" customWidth="1"/>
    <col min="6402" max="6402" width="15.28515625" bestFit="1" customWidth="1"/>
    <col min="6403" max="6403" width="20.28515625" customWidth="1"/>
    <col min="6405" max="6405" width="18.28515625" customWidth="1"/>
    <col min="6658" max="6658" width="15.28515625" bestFit="1" customWidth="1"/>
    <col min="6659" max="6659" width="20.28515625" customWidth="1"/>
    <col min="6661" max="6661" width="18.28515625" customWidth="1"/>
    <col min="6914" max="6914" width="15.28515625" bestFit="1" customWidth="1"/>
    <col min="6915" max="6915" width="20.28515625" customWidth="1"/>
    <col min="6917" max="6917" width="18.28515625" customWidth="1"/>
    <col min="7170" max="7170" width="15.28515625" bestFit="1" customWidth="1"/>
    <col min="7171" max="7171" width="20.28515625" customWidth="1"/>
    <col min="7173" max="7173" width="18.28515625" customWidth="1"/>
    <col min="7426" max="7426" width="15.28515625" bestFit="1" customWidth="1"/>
    <col min="7427" max="7427" width="20.28515625" customWidth="1"/>
    <col min="7429" max="7429" width="18.28515625" customWidth="1"/>
    <col min="7682" max="7682" width="15.28515625" bestFit="1" customWidth="1"/>
    <col min="7683" max="7683" width="20.28515625" customWidth="1"/>
    <col min="7685" max="7685" width="18.28515625" customWidth="1"/>
    <col min="7938" max="7938" width="15.28515625" bestFit="1" customWidth="1"/>
    <col min="7939" max="7939" width="20.28515625" customWidth="1"/>
    <col min="7941" max="7941" width="18.28515625" customWidth="1"/>
    <col min="8194" max="8194" width="15.28515625" bestFit="1" customWidth="1"/>
    <col min="8195" max="8195" width="20.28515625" customWidth="1"/>
    <col min="8197" max="8197" width="18.28515625" customWidth="1"/>
    <col min="8450" max="8450" width="15.28515625" bestFit="1" customWidth="1"/>
    <col min="8451" max="8451" width="20.28515625" customWidth="1"/>
    <col min="8453" max="8453" width="18.28515625" customWidth="1"/>
    <col min="8706" max="8706" width="15.28515625" bestFit="1" customWidth="1"/>
    <col min="8707" max="8707" width="20.28515625" customWidth="1"/>
    <col min="8709" max="8709" width="18.28515625" customWidth="1"/>
    <col min="8962" max="8962" width="15.28515625" bestFit="1" customWidth="1"/>
    <col min="8963" max="8963" width="20.28515625" customWidth="1"/>
    <col min="8965" max="8965" width="18.28515625" customWidth="1"/>
    <col min="9218" max="9218" width="15.28515625" bestFit="1" customWidth="1"/>
    <col min="9219" max="9219" width="20.28515625" customWidth="1"/>
    <col min="9221" max="9221" width="18.28515625" customWidth="1"/>
    <col min="9474" max="9474" width="15.28515625" bestFit="1" customWidth="1"/>
    <col min="9475" max="9475" width="20.28515625" customWidth="1"/>
    <col min="9477" max="9477" width="18.28515625" customWidth="1"/>
    <col min="9730" max="9730" width="15.28515625" bestFit="1" customWidth="1"/>
    <col min="9731" max="9731" width="20.28515625" customWidth="1"/>
    <col min="9733" max="9733" width="18.28515625" customWidth="1"/>
    <col min="9986" max="9986" width="15.28515625" bestFit="1" customWidth="1"/>
    <col min="9987" max="9987" width="20.28515625" customWidth="1"/>
    <col min="9989" max="9989" width="18.28515625" customWidth="1"/>
    <col min="10242" max="10242" width="15.28515625" bestFit="1" customWidth="1"/>
    <col min="10243" max="10243" width="20.28515625" customWidth="1"/>
    <col min="10245" max="10245" width="18.28515625" customWidth="1"/>
    <col min="10498" max="10498" width="15.28515625" bestFit="1" customWidth="1"/>
    <col min="10499" max="10499" width="20.28515625" customWidth="1"/>
    <col min="10501" max="10501" width="18.28515625" customWidth="1"/>
    <col min="10754" max="10754" width="15.28515625" bestFit="1" customWidth="1"/>
    <col min="10755" max="10755" width="20.28515625" customWidth="1"/>
    <col min="10757" max="10757" width="18.28515625" customWidth="1"/>
    <col min="11010" max="11010" width="15.28515625" bestFit="1" customWidth="1"/>
    <col min="11011" max="11011" width="20.28515625" customWidth="1"/>
    <col min="11013" max="11013" width="18.28515625" customWidth="1"/>
    <col min="11266" max="11266" width="15.28515625" bestFit="1" customWidth="1"/>
    <col min="11267" max="11267" width="20.28515625" customWidth="1"/>
    <col min="11269" max="11269" width="18.28515625" customWidth="1"/>
    <col min="11522" max="11522" width="15.28515625" bestFit="1" customWidth="1"/>
    <col min="11523" max="11523" width="20.28515625" customWidth="1"/>
    <col min="11525" max="11525" width="18.28515625" customWidth="1"/>
    <col min="11778" max="11778" width="15.28515625" bestFit="1" customWidth="1"/>
    <col min="11779" max="11779" width="20.28515625" customWidth="1"/>
    <col min="11781" max="11781" width="18.28515625" customWidth="1"/>
    <col min="12034" max="12034" width="15.28515625" bestFit="1" customWidth="1"/>
    <col min="12035" max="12035" width="20.28515625" customWidth="1"/>
    <col min="12037" max="12037" width="18.28515625" customWidth="1"/>
    <col min="12290" max="12290" width="15.28515625" bestFit="1" customWidth="1"/>
    <col min="12291" max="12291" width="20.28515625" customWidth="1"/>
    <col min="12293" max="12293" width="18.28515625" customWidth="1"/>
    <col min="12546" max="12546" width="15.28515625" bestFit="1" customWidth="1"/>
    <col min="12547" max="12547" width="20.28515625" customWidth="1"/>
    <col min="12549" max="12549" width="18.28515625" customWidth="1"/>
    <col min="12802" max="12802" width="15.28515625" bestFit="1" customWidth="1"/>
    <col min="12803" max="12803" width="20.28515625" customWidth="1"/>
    <col min="12805" max="12805" width="18.28515625" customWidth="1"/>
    <col min="13058" max="13058" width="15.28515625" bestFit="1" customWidth="1"/>
    <col min="13059" max="13059" width="20.28515625" customWidth="1"/>
    <col min="13061" max="13061" width="18.28515625" customWidth="1"/>
    <col min="13314" max="13314" width="15.28515625" bestFit="1" customWidth="1"/>
    <col min="13315" max="13315" width="20.28515625" customWidth="1"/>
    <col min="13317" max="13317" width="18.28515625" customWidth="1"/>
    <col min="13570" max="13570" width="15.28515625" bestFit="1" customWidth="1"/>
    <col min="13571" max="13571" width="20.28515625" customWidth="1"/>
    <col min="13573" max="13573" width="18.28515625" customWidth="1"/>
    <col min="13826" max="13826" width="15.28515625" bestFit="1" customWidth="1"/>
    <col min="13827" max="13827" width="20.28515625" customWidth="1"/>
    <col min="13829" max="13829" width="18.28515625" customWidth="1"/>
    <col min="14082" max="14082" width="15.28515625" bestFit="1" customWidth="1"/>
    <col min="14083" max="14083" width="20.28515625" customWidth="1"/>
    <col min="14085" max="14085" width="18.28515625" customWidth="1"/>
    <col min="14338" max="14338" width="15.28515625" bestFit="1" customWidth="1"/>
    <col min="14339" max="14339" width="20.28515625" customWidth="1"/>
    <col min="14341" max="14341" width="18.28515625" customWidth="1"/>
    <col min="14594" max="14594" width="15.28515625" bestFit="1" customWidth="1"/>
    <col min="14595" max="14595" width="20.28515625" customWidth="1"/>
    <col min="14597" max="14597" width="18.28515625" customWidth="1"/>
    <col min="14850" max="14850" width="15.28515625" bestFit="1" customWidth="1"/>
    <col min="14851" max="14851" width="20.28515625" customWidth="1"/>
    <col min="14853" max="14853" width="18.28515625" customWidth="1"/>
    <col min="15106" max="15106" width="15.28515625" bestFit="1" customWidth="1"/>
    <col min="15107" max="15107" width="20.28515625" customWidth="1"/>
    <col min="15109" max="15109" width="18.28515625" customWidth="1"/>
    <col min="15362" max="15362" width="15.28515625" bestFit="1" customWidth="1"/>
    <col min="15363" max="15363" width="20.28515625" customWidth="1"/>
    <col min="15365" max="15365" width="18.28515625" customWidth="1"/>
    <col min="15618" max="15618" width="15.28515625" bestFit="1" customWidth="1"/>
    <col min="15619" max="15619" width="20.28515625" customWidth="1"/>
    <col min="15621" max="15621" width="18.28515625" customWidth="1"/>
    <col min="15874" max="15874" width="15.28515625" bestFit="1" customWidth="1"/>
    <col min="15875" max="15875" width="20.28515625" customWidth="1"/>
    <col min="15877" max="15877" width="18.28515625" customWidth="1"/>
    <col min="16130" max="16130" width="15.28515625" bestFit="1" customWidth="1"/>
    <col min="16131" max="16131" width="20.28515625" customWidth="1"/>
    <col min="16133" max="16133" width="18.28515625" customWidth="1"/>
  </cols>
  <sheetData>
    <row r="1" spans="2:67" x14ac:dyDescent="0.25">
      <c r="B1" s="3" t="s">
        <v>154</v>
      </c>
    </row>
    <row r="2" spans="2:67" ht="26.25" x14ac:dyDescent="0.25">
      <c r="C2" s="5" t="s">
        <v>32</v>
      </c>
      <c r="E2" s="5" t="s">
        <v>144</v>
      </c>
      <c r="H2" s="1"/>
      <c r="I2" s="1"/>
      <c r="J2" s="1"/>
      <c r="K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2:67" x14ac:dyDescent="0.25">
      <c r="B3" t="s">
        <v>30</v>
      </c>
      <c r="C3" s="1" t="e">
        <f>(' Viabilidad 88 NE ampliando 1pl'!#REF!-' Viabilidad 88 NE ampliando 1pl'!#REF!)*0.8</f>
        <v>#REF!</v>
      </c>
      <c r="D3" s="1"/>
      <c r="E3" s="1">
        <f>' Viabilidad 88 NE ampliando 1pl'!E39</f>
        <v>8777926.7764250506</v>
      </c>
      <c r="H3" s="1" t="s">
        <v>145</v>
      </c>
      <c r="I3" s="1"/>
      <c r="J3" s="1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2:67" x14ac:dyDescent="0.25">
      <c r="B4" t="s">
        <v>33</v>
      </c>
      <c r="C4" s="6">
        <v>5</v>
      </c>
      <c r="E4" s="6">
        <v>1.3333330000000001</v>
      </c>
      <c r="H4" s="1">
        <v>-17714.321304166671</v>
      </c>
      <c r="I4" s="1">
        <v>-17443.733659150574</v>
      </c>
      <c r="J4" s="1">
        <v>-17172.356800169851</v>
      </c>
      <c r="K4" s="1">
        <v>-16900.188425350436</v>
      </c>
      <c r="L4" s="1">
        <v>-16627.22622610446</v>
      </c>
      <c r="M4" s="1">
        <v>-16353.467887110684</v>
      </c>
      <c r="N4" s="1">
        <v>-16078.911086294846</v>
      </c>
      <c r="O4" s="1">
        <v>-15803.553494809958</v>
      </c>
      <c r="P4" s="1">
        <v>-15527.392777016572</v>
      </c>
      <c r="Q4" s="1">
        <v>-15250.426590462961</v>
      </c>
      <c r="R4" s="1">
        <v>-14972.652585865228</v>
      </c>
      <c r="S4" s="1">
        <v>-14694.068407087425</v>
      </c>
      <c r="T4" s="1">
        <v>-14414.671691121515</v>
      </c>
      <c r="U4" s="1">
        <v>-14134.460068067374</v>
      </c>
      <c r="V4" s="1">
        <v>-13853.431161112656</v>
      </c>
      <c r="W4" s="1">
        <v>-13571.582586512654</v>
      </c>
      <c r="X4" s="1">
        <v>-13288.911953570068</v>
      </c>
      <c r="Y4" s="1">
        <v>-13005.416864614739</v>
      </c>
      <c r="Z4" s="1">
        <v>-12721.094914983281</v>
      </c>
      <c r="AA4" s="1">
        <v>-12435.943692998737</v>
      </c>
      <c r="AB4" s="1">
        <v>-12149.96077995007</v>
      </c>
      <c r="AC4" s="1">
        <v>-11863.143750071677</v>
      </c>
      <c r="AD4" s="1">
        <v>-11575.490170522808</v>
      </c>
      <c r="AE4" s="1">
        <v>-11286.997601366918</v>
      </c>
      <c r="AF4" s="1">
        <v>-10997.663595550992</v>
      </c>
      <c r="AG4" s="1">
        <v>-10707.48569888477</v>
      </c>
      <c r="AH4" s="1">
        <v>-10416.461450019937</v>
      </c>
      <c r="AI4" s="1">
        <v>-10124.58838042925</v>
      </c>
      <c r="AJ4" s="1">
        <v>-9831.8640143855901</v>
      </c>
      <c r="AK4" s="1">
        <v>-9538.2858689409659</v>
      </c>
      <c r="AL4" s="1">
        <v>-9243.8514539054631</v>
      </c>
      <c r="AM4" s="1">
        <v>-8948.5582718261085</v>
      </c>
      <c r="AN4" s="1">
        <v>-8652.4038179656891</v>
      </c>
      <c r="AO4" s="1">
        <v>-8355.3855802815087</v>
      </c>
      <c r="AP4" s="1">
        <v>-8057.5010394040846</v>
      </c>
      <c r="AQ4" s="1">
        <v>-7758.7476686157661</v>
      </c>
      <c r="AR4" s="1">
        <v>-7459.1229338293142</v>
      </c>
      <c r="AS4" s="1">
        <v>-7158.624293566404</v>
      </c>
      <c r="AT4" s="1">
        <v>-6857.2491989360587</v>
      </c>
      <c r="AU4" s="1">
        <v>-6554.9950936130417</v>
      </c>
      <c r="AV4" s="1">
        <v>-6251.859413816167</v>
      </c>
      <c r="AW4" s="1">
        <v>-5947.8395882865525</v>
      </c>
      <c r="AX4" s="1">
        <v>-5642.9330382658081</v>
      </c>
      <c r="AY4" s="1">
        <v>-5337.1371774741692</v>
      </c>
      <c r="AZ4" s="1">
        <v>-5030.4494120885565</v>
      </c>
      <c r="BA4" s="1">
        <v>-4722.8671407205684</v>
      </c>
      <c r="BB4" s="1">
        <v>-4414.3877543944236</v>
      </c>
      <c r="BC4" s="1">
        <v>-4105.0086365248271</v>
      </c>
      <c r="BD4" s="1">
        <v>-3794.7271628947788</v>
      </c>
      <c r="BE4" s="1">
        <v>-3483.5407016333083</v>
      </c>
      <c r="BF4" s="1">
        <v>-3171.4466131931595</v>
      </c>
      <c r="BG4" s="1">
        <v>-2858.4422503283922</v>
      </c>
      <c r="BH4" s="1">
        <v>-2544.5249580719374</v>
      </c>
      <c r="BI4" s="1">
        <v>-2229.6920737130677</v>
      </c>
      <c r="BJ4" s="1">
        <v>-1913.9409267748174</v>
      </c>
      <c r="BK4" s="1">
        <v>-1597.2688389913303</v>
      </c>
      <c r="BL4" s="1">
        <v>-1279.673124285142</v>
      </c>
      <c r="BM4" s="1">
        <v>-961.15108874439397</v>
      </c>
      <c r="BN4" s="1">
        <v>-641.70003059998544</v>
      </c>
      <c r="BO4" s="1">
        <v>-321.3172402026554</v>
      </c>
    </row>
    <row r="5" spans="2:67" x14ac:dyDescent="0.25">
      <c r="B5" t="s">
        <v>34</v>
      </c>
      <c r="C5" s="2">
        <v>3.5000000000000003E-2</v>
      </c>
      <c r="E5" s="2">
        <v>0.05</v>
      </c>
    </row>
    <row r="6" spans="2:67" x14ac:dyDescent="0.25">
      <c r="C6" s="2"/>
      <c r="E6" s="2"/>
      <c r="H6" s="1"/>
      <c r="I6" s="1"/>
      <c r="J6" s="1"/>
      <c r="K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67" x14ac:dyDescent="0.25">
      <c r="B7" t="s">
        <v>35</v>
      </c>
      <c r="C7" s="2">
        <f>C5/12</f>
        <v>2.9166666666666668E-3</v>
      </c>
      <c r="E7" s="2">
        <f>E5/12</f>
        <v>4.1666666666666666E-3</v>
      </c>
      <c r="H7" s="1" t="s">
        <v>147</v>
      </c>
      <c r="I7" s="1"/>
      <c r="J7" s="1"/>
      <c r="K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2:67" x14ac:dyDescent="0.25">
      <c r="B8" t="s">
        <v>36</v>
      </c>
      <c r="C8" s="7" t="e">
        <f>PMT(C7,C9,-C3)</f>
        <v>#REF!</v>
      </c>
      <c r="E8" s="8">
        <f>PMT(E7,E9,-E3)</f>
        <v>568252.83115801529</v>
      </c>
      <c r="H8" s="1">
        <v>-36574.694875000001</v>
      </c>
      <c r="I8" s="1">
        <v>-34359.369881345498</v>
      </c>
      <c r="J8" s="1">
        <v>-32134.814366884111</v>
      </c>
      <c r="K8" s="1">
        <v>-29900.989871112462</v>
      </c>
      <c r="L8" s="1">
        <v>-27657.857773275107</v>
      </c>
      <c r="M8" s="1">
        <v>-25405.379291696758</v>
      </c>
      <c r="N8" s="1">
        <v>-23143.515483111827</v>
      </c>
      <c r="O8" s="1">
        <v>-20872.227241991131</v>
      </c>
      <c r="P8" s="1">
        <v>-18591.475299865768</v>
      </c>
      <c r="Q8" s="1">
        <v>-16301.220224648214</v>
      </c>
      <c r="R8" s="1">
        <v>-14001.422419950584</v>
      </c>
      <c r="S8" s="1">
        <v>-11692.04212440005</v>
      </c>
      <c r="T8" s="1">
        <v>-9373.0394109513854</v>
      </c>
      <c r="U8" s="1">
        <v>-7044.3741861966892</v>
      </c>
      <c r="V8" s="1">
        <v>-4706.0061896721809</v>
      </c>
      <c r="W8" s="1">
        <v>-2357.8949931621532</v>
      </c>
    </row>
    <row r="9" spans="2:67" x14ac:dyDescent="0.25">
      <c r="B9" t="s">
        <v>37</v>
      </c>
      <c r="C9" s="9">
        <f>C4*12</f>
        <v>60</v>
      </c>
      <c r="E9" s="6">
        <f>E4*12</f>
        <v>15.999996000000001</v>
      </c>
      <c r="H9" s="1"/>
      <c r="I9" s="1"/>
      <c r="J9" s="1"/>
      <c r="K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67" x14ac:dyDescent="0.25">
      <c r="B10" t="s">
        <v>38</v>
      </c>
      <c r="C10" s="7" t="e">
        <f>C8*C9-C3</f>
        <v>#REF!</v>
      </c>
      <c r="E10" s="8">
        <f>E8*E9-E3</f>
        <v>314116.24909187108</v>
      </c>
      <c r="H10" s="1"/>
      <c r="I10" s="1"/>
      <c r="J10" s="1"/>
      <c r="K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4" spans="2:67" x14ac:dyDescent="0.25">
      <c r="B14" s="3" t="s">
        <v>155</v>
      </c>
    </row>
    <row r="16" spans="2:67" ht="26.25" x14ac:dyDescent="0.25">
      <c r="C16" s="5" t="s">
        <v>32</v>
      </c>
      <c r="E16" s="5" t="s">
        <v>144</v>
      </c>
    </row>
    <row r="17" spans="2:67" x14ac:dyDescent="0.25">
      <c r="B17" t="s">
        <v>30</v>
      </c>
      <c r="C17" s="1" t="e">
        <f>(' Viabilidad 88 NE ampliando 2pl'!#REF!-' Viabilidad 88 NE ampliando 2pl'!#REF!)*0.8</f>
        <v>#REF!</v>
      </c>
      <c r="D17" s="1"/>
      <c r="E17" s="1">
        <f>' Viabilidad 88 NE ampliando 2pl'!E39</f>
        <v>10096732.857989311</v>
      </c>
      <c r="H17" s="1" t="s">
        <v>146</v>
      </c>
    </row>
    <row r="18" spans="2:67" x14ac:dyDescent="0.25">
      <c r="B18" t="s">
        <v>33</v>
      </c>
      <c r="C18" s="6">
        <v>5</v>
      </c>
      <c r="E18" s="6">
        <v>1.3333333000000001</v>
      </c>
      <c r="H18" s="4">
        <v>-14152.281529166667</v>
      </c>
      <c r="I18" s="1">
        <v>-13936.104320634198</v>
      </c>
      <c r="J18" s="1">
        <v>-13719.296595243513</v>
      </c>
      <c r="K18" s="1">
        <v>-13501.856513987103</v>
      </c>
      <c r="L18" s="1">
        <v>-13283.782232493695</v>
      </c>
      <c r="M18" s="1">
        <v>-13065.071901012599</v>
      </c>
      <c r="N18" s="1">
        <v>-12845.723664398014</v>
      </c>
      <c r="O18" s="1">
        <v>-12625.735662093304</v>
      </c>
      <c r="P18" s="1">
        <v>-12405.106028115206</v>
      </c>
      <c r="Q18" s="1">
        <v>-12183.832891038008</v>
      </c>
      <c r="R18" s="1">
        <v>-11961.914373977663</v>
      </c>
      <c r="S18" s="1">
        <v>-11739.348594575895</v>
      </c>
      <c r="T18" s="1">
        <v>-11516.133664984203</v>
      </c>
      <c r="U18" s="1">
        <v>-11292.267691847872</v>
      </c>
      <c r="V18" s="1">
        <v>-11067.748776289889</v>
      </c>
      <c r="W18" s="1">
        <v>-10842.575013894864</v>
      </c>
      <c r="X18" s="1">
        <v>-10616.744494692854</v>
      </c>
      <c r="Y18" s="1">
        <v>-10390.255303143173</v>
      </c>
      <c r="Z18" s="1">
        <v>-10163.105518118136</v>
      </c>
      <c r="AA18" s="1">
        <v>-9935.2932128867778</v>
      </c>
      <c r="AB18" s="1">
        <v>-9706.8164550984911</v>
      </c>
      <c r="AC18" s="1">
        <v>-9477.6733067666573</v>
      </c>
      <c r="AD18" s="1">
        <v>-9247.8618242521916</v>
      </c>
      <c r="AE18" s="1">
        <v>-9017.3800582470558</v>
      </c>
      <c r="AF18" s="1">
        <v>-8786.2260537577404</v>
      </c>
      <c r="AG18" s="1">
        <v>-8554.3978500886624</v>
      </c>
      <c r="AH18" s="1">
        <v>-8321.8934808255508</v>
      </c>
      <c r="AI18" s="1">
        <v>-8088.7109738187564</v>
      </c>
      <c r="AJ18" s="1">
        <v>-7854.8483511665254</v>
      </c>
      <c r="AK18" s="1">
        <v>-7620.3036291982226</v>
      </c>
      <c r="AL18" s="1">
        <v>-7385.0748184575141</v>
      </c>
      <c r="AM18" s="1">
        <v>-7149.159923685479</v>
      </c>
      <c r="AN18" s="1">
        <v>-6912.556943803691</v>
      </c>
      <c r="AO18" s="1">
        <v>-6675.2638718972485</v>
      </c>
      <c r="AP18" s="1">
        <v>-6437.2786951977459</v>
      </c>
      <c r="AQ18" s="1">
        <v>-6198.5993950662014</v>
      </c>
      <c r="AR18" s="1">
        <v>-5959.2239469759397</v>
      </c>
      <c r="AS18" s="1">
        <v>-5719.150320495417</v>
      </c>
      <c r="AT18" s="1">
        <v>-5478.3764792709917</v>
      </c>
      <c r="AU18" s="1">
        <v>-5236.900381009661</v>
      </c>
      <c r="AV18" s="1">
        <v>-4994.7199774617357</v>
      </c>
      <c r="AW18" s="1">
        <v>-4751.833214403463</v>
      </c>
      <c r="AX18" s="1">
        <v>-4508.2380316196022</v>
      </c>
      <c r="AY18" s="1">
        <v>-4263.9323628859556</v>
      </c>
      <c r="AZ18" s="1">
        <v>-4018.9141359518362</v>
      </c>
      <c r="BA18" s="1">
        <v>-3773.1812725224918</v>
      </c>
      <c r="BB18" s="1">
        <v>-3526.7316882414793</v>
      </c>
      <c r="BC18" s="1">
        <v>-3279.56329267298</v>
      </c>
      <c r="BD18" s="1">
        <v>-3031.6739892840728</v>
      </c>
      <c r="BE18" s="1">
        <v>-2783.0616754269472</v>
      </c>
      <c r="BF18" s="1">
        <v>-2533.7242423210728</v>
      </c>
      <c r="BG18" s="1">
        <v>-2283.6595750353054</v>
      </c>
      <c r="BH18" s="1">
        <v>-2032.8655524699545</v>
      </c>
      <c r="BI18" s="1">
        <v>-1781.3400473387887</v>
      </c>
      <c r="BJ18" s="1">
        <v>-1529.0809261509899</v>
      </c>
      <c r="BK18" s="1">
        <v>-1276.0860491930596</v>
      </c>
      <c r="BL18" s="1">
        <v>-1022.3532705106691</v>
      </c>
      <c r="BM18" s="1">
        <v>-767.88043789045503</v>
      </c>
      <c r="BN18" s="1">
        <v>-512.66539284176531</v>
      </c>
      <c r="BO18" s="1">
        <v>-256.7059705783501</v>
      </c>
    </row>
    <row r="19" spans="2:67" x14ac:dyDescent="0.25">
      <c r="B19" t="s">
        <v>34</v>
      </c>
      <c r="C19" s="2">
        <v>3.5000000000000003E-2</v>
      </c>
      <c r="E19" s="2">
        <v>0.05</v>
      </c>
      <c r="H19" s="1"/>
      <c r="I19" s="1"/>
      <c r="J19" s="1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2:67" x14ac:dyDescent="0.25">
      <c r="C20" s="2"/>
      <c r="E20" s="2"/>
      <c r="H20" s="1"/>
      <c r="I20" s="1"/>
      <c r="J20" s="1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2:67" x14ac:dyDescent="0.25">
      <c r="B21" t="s">
        <v>35</v>
      </c>
      <c r="C21" s="2">
        <f>C19/12</f>
        <v>2.9166666666666668E-3</v>
      </c>
      <c r="E21" s="2">
        <f>E19/12</f>
        <v>4.1666666666666666E-3</v>
      </c>
      <c r="H21" s="1" t="s">
        <v>147</v>
      </c>
    </row>
    <row r="22" spans="2:67" x14ac:dyDescent="0.25">
      <c r="B22" t="s">
        <v>36</v>
      </c>
      <c r="C22" s="7" t="e">
        <f>PMT(C21,C23,-C17)</f>
        <v>#REF!</v>
      </c>
      <c r="E22" s="8">
        <f>PMT(E21,E23,-E17)</f>
        <v>653627.66512665316</v>
      </c>
      <c r="H22" s="1">
        <v>-18615.266291666667</v>
      </c>
      <c r="I22" s="1">
        <v>-17502.129949095775</v>
      </c>
      <c r="J22" s="1">
        <v>-16384.355538430838</v>
      </c>
      <c r="K22" s="1">
        <v>-15261.923734388132</v>
      </c>
      <c r="L22" s="1">
        <v>-14134.815131161913</v>
      </c>
      <c r="M22" s="1">
        <v>-13003.01024208892</v>
      </c>
      <c r="N22" s="1">
        <v>-11866.489499311452</v>
      </c>
      <c r="O22" s="1">
        <v>-10725.233253439079</v>
      </c>
      <c r="P22" s="1">
        <v>-9579.2217732089066</v>
      </c>
      <c r="Q22" s="1">
        <v>-8428.4352451444392</v>
      </c>
      <c r="R22" s="1">
        <v>-7272.8537732130389</v>
      </c>
      <c r="S22" s="1">
        <v>-6112.4573784819231</v>
      </c>
      <c r="T22" s="1">
        <v>-4947.2259987727621</v>
      </c>
      <c r="U22" s="1">
        <v>-3777.1394883148114</v>
      </c>
      <c r="V22" s="1">
        <v>-2602.1776173966205</v>
      </c>
      <c r="W22" s="1">
        <v>-1422.3200720162699</v>
      </c>
      <c r="X22" s="1"/>
    </row>
    <row r="23" spans="2:67" x14ac:dyDescent="0.25">
      <c r="B23" t="s">
        <v>37</v>
      </c>
      <c r="C23" s="9">
        <f>C18*12</f>
        <v>60</v>
      </c>
      <c r="E23" s="6">
        <f>E18*12</f>
        <v>15.999999600000001</v>
      </c>
      <c r="H23" s="1"/>
      <c r="I23" s="1"/>
      <c r="J23" s="1"/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67" x14ac:dyDescent="0.25">
      <c r="B24" t="s">
        <v>38</v>
      </c>
      <c r="C24" s="7" t="e">
        <f>C22*C23-C17</f>
        <v>#REF!</v>
      </c>
      <c r="E24" s="8">
        <f>E22*E23-E17</f>
        <v>361309.52258607373</v>
      </c>
      <c r="H24" s="1"/>
      <c r="I24" s="1"/>
      <c r="J24" s="1"/>
      <c r="K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67" x14ac:dyDescent="0.25">
      <c r="H25" s="1"/>
    </row>
    <row r="26" spans="2:67" x14ac:dyDescent="0.25">
      <c r="H26" s="1"/>
    </row>
    <row r="27" spans="2:67" x14ac:dyDescent="0.25">
      <c r="B27" s="3"/>
      <c r="H27" s="1"/>
    </row>
    <row r="28" spans="2:67" x14ac:dyDescent="0.25">
      <c r="B28" s="3" t="s">
        <v>153</v>
      </c>
      <c r="H28" s="1"/>
    </row>
    <row r="29" spans="2:67" x14ac:dyDescent="0.25">
      <c r="H29" s="1"/>
    </row>
    <row r="30" spans="2:67" ht="26.25" x14ac:dyDescent="0.25">
      <c r="C30" s="5" t="s">
        <v>32</v>
      </c>
      <c r="E30" s="5" t="s">
        <v>144</v>
      </c>
      <c r="H30" s="1"/>
    </row>
    <row r="31" spans="2:67" x14ac:dyDescent="0.25">
      <c r="B31" t="s">
        <v>30</v>
      </c>
      <c r="C31" s="1" t="e">
        <f>(' Viabilidad 88 NE'!#REF!-' Viabilidad 88 NE'!#REF!)*0.8</f>
        <v>#REF!</v>
      </c>
      <c r="D31" s="1"/>
      <c r="E31" s="1">
        <f>' Viabilidad 88 NE'!E39</f>
        <v>6841591.9750274457</v>
      </c>
      <c r="H31" s="1" t="s">
        <v>146</v>
      </c>
    </row>
    <row r="32" spans="2:67" x14ac:dyDescent="0.25">
      <c r="B32" t="s">
        <v>33</v>
      </c>
      <c r="C32" s="6">
        <v>5</v>
      </c>
      <c r="E32" s="6">
        <v>1.3333333000000001</v>
      </c>
      <c r="H32" s="1">
        <v>-19264.122616666667</v>
      </c>
      <c r="I32" s="1">
        <v>-18969.861635247129</v>
      </c>
      <c r="J32" s="1">
        <v>-18674.742392631786</v>
      </c>
      <c r="K32" s="1">
        <v>-18378.762385558817</v>
      </c>
      <c r="L32" s="1">
        <v>-18081.919103465214</v>
      </c>
      <c r="M32" s="1">
        <v>-17784.210028465506</v>
      </c>
      <c r="N32" s="1">
        <v>-17485.632635330381</v>
      </c>
      <c r="O32" s="1">
        <v>-17186.184391465278</v>
      </c>
      <c r="P32" s="1">
        <v>-16885.862756888902</v>
      </c>
      <c r="Q32" s="1">
        <v>-16584.665184211684</v>
      </c>
      <c r="R32" s="1">
        <v>-16282.589118614149</v>
      </c>
      <c r="S32" s="1">
        <v>-15979.631997825296</v>
      </c>
      <c r="T32" s="1">
        <v>-15675.791252100802</v>
      </c>
      <c r="U32" s="1">
        <v>-15371.064304201283</v>
      </c>
      <c r="V32" s="1">
        <v>-15065.448569370386</v>
      </c>
      <c r="W32" s="1">
        <v>-14758.941455312903</v>
      </c>
      <c r="X32" s="1">
        <v>-14451.540362172749</v>
      </c>
      <c r="Y32" s="1">
        <v>-14143.242682510941</v>
      </c>
      <c r="Z32" s="1">
        <v>-13834.045801283446</v>
      </c>
      <c r="AA32" s="1">
        <v>-13523.947095819041</v>
      </c>
      <c r="AB32" s="1">
        <v>-13212.943935797031</v>
      </c>
      <c r="AC32" s="1">
        <v>-12901.033683224956</v>
      </c>
      <c r="AD32" s="1">
        <v>-12588.213692416215</v>
      </c>
      <c r="AE32" s="1">
        <v>-12274.481309967614</v>
      </c>
      <c r="AF32" s="1">
        <v>-11959.833874736871</v>
      </c>
      <c r="AG32" s="1">
        <v>-11644.268717820038</v>
      </c>
      <c r="AH32" s="1">
        <v>-11327.783162528865</v>
      </c>
      <c r="AI32" s="1">
        <v>-11010.374524368093</v>
      </c>
      <c r="AJ32" s="1">
        <v>-10692.040111012686</v>
      </c>
      <c r="AK32" s="1">
        <v>-10372.777222284991</v>
      </c>
      <c r="AL32" s="1">
        <v>-10052.583150131839</v>
      </c>
      <c r="AM32" s="1">
        <v>-9731.4551786015763</v>
      </c>
      <c r="AN32" s="1">
        <v>-9409.3905838210158</v>
      </c>
      <c r="AO32" s="1">
        <v>-9086.3866339723445</v>
      </c>
      <c r="AP32" s="1">
        <v>-8762.4405892699488</v>
      </c>
      <c r="AQ32" s="1">
        <v>-8437.5497019371724</v>
      </c>
      <c r="AR32" s="1">
        <v>-8111.7112161830046</v>
      </c>
      <c r="AS32" s="1">
        <v>-7784.9223681787253</v>
      </c>
      <c r="AT32" s="1">
        <v>-7457.1803860344307</v>
      </c>
      <c r="AU32" s="1">
        <v>-7128.4824897755489</v>
      </c>
      <c r="AV32" s="1">
        <v>-6798.8258913192467</v>
      </c>
      <c r="AW32" s="1">
        <v>-6468.2077944507782</v>
      </c>
      <c r="AX32" s="1">
        <v>-6136.6253947997793</v>
      </c>
      <c r="AY32" s="1">
        <v>-5804.0758798164625</v>
      </c>
      <c r="AZ32" s="1">
        <v>-5470.5564287477782</v>
      </c>
      <c r="BA32" s="1">
        <v>-5136.064212613478</v>
      </c>
      <c r="BB32" s="1">
        <v>-4800.5963941821183</v>
      </c>
      <c r="BC32" s="1">
        <v>-4464.1501279470012</v>
      </c>
      <c r="BD32" s="1">
        <v>-4126.7225601020318</v>
      </c>
      <c r="BE32" s="1">
        <v>-3788.3108285175144</v>
      </c>
      <c r="BF32" s="1">
        <v>-3448.9120627158754</v>
      </c>
      <c r="BG32" s="1">
        <v>-3108.523383847315</v>
      </c>
      <c r="BH32" s="1">
        <v>-2767.1419046653878</v>
      </c>
      <c r="BI32" s="1">
        <v>-2424.7647295025135</v>
      </c>
      <c r="BJ32" s="1">
        <v>-2081.388954245414</v>
      </c>
      <c r="BK32" s="1">
        <v>-1737.0116663104811</v>
      </c>
      <c r="BL32" s="1">
        <v>-1391.6299446190715</v>
      </c>
      <c r="BM32" s="1">
        <v>-1045.2408595727288</v>
      </c>
      <c r="BN32" s="1">
        <v>-697.84147302833435</v>
      </c>
      <c r="BO32" s="1">
        <v>-349.42883827318497</v>
      </c>
    </row>
    <row r="33" spans="2:69" x14ac:dyDescent="0.25">
      <c r="B33" t="s">
        <v>34</v>
      </c>
      <c r="C33" s="2">
        <v>3.5000000000000003E-2</v>
      </c>
      <c r="E33" s="2">
        <v>0.05</v>
      </c>
      <c r="H33" s="1"/>
      <c r="I33" s="1"/>
      <c r="J33" s="1"/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2:69" x14ac:dyDescent="0.25">
      <c r="C34" s="2"/>
      <c r="E34" s="2"/>
      <c r="H34" s="1"/>
      <c r="I34" s="1"/>
      <c r="J34" s="1"/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2:69" x14ac:dyDescent="0.25">
      <c r="B35" t="s">
        <v>35</v>
      </c>
      <c r="C35" s="2">
        <f>C33/12</f>
        <v>2.9166666666666668E-3</v>
      </c>
      <c r="E35" s="2">
        <f>E33/12</f>
        <v>4.1666666666666666E-3</v>
      </c>
      <c r="H35" s="1" t="s">
        <v>147</v>
      </c>
    </row>
    <row r="36" spans="2:69" x14ac:dyDescent="0.25">
      <c r="B36" t="s">
        <v>36</v>
      </c>
      <c r="C36" s="7" t="e">
        <f>PMT(C35,C37,-C31)</f>
        <v>#REF!</v>
      </c>
      <c r="E36" s="8">
        <f>PMT(E35,E37,-E31)</f>
        <v>442901.07020588958</v>
      </c>
      <c r="H36" s="1">
        <v>-28506.633250000003</v>
      </c>
      <c r="I36" s="1">
        <v>-26779.989805960406</v>
      </c>
      <c r="J36" s="1">
        <v>-25046.152014237316</v>
      </c>
      <c r="K36" s="1">
        <v>-23305.089898382041</v>
      </c>
      <c r="L36" s="1">
        <v>-21556.77335704404</v>
      </c>
      <c r="M36" s="1">
        <v>-19801.172163450465</v>
      </c>
      <c r="N36" s="1">
        <v>-18038.255964883581</v>
      </c>
      <c r="O36" s="1">
        <v>-16267.994282156</v>
      </c>
      <c r="P36" s="1">
        <v>-14490.356509083722</v>
      </c>
      <c r="Q36" s="1">
        <v>-12705.311911956978</v>
      </c>
      <c r="R36" s="1">
        <v>-10912.829629008871</v>
      </c>
      <c r="S36" s="1">
        <v>-9112.878669881813</v>
      </c>
      <c r="T36" s="1">
        <v>-7305.4279150917264</v>
      </c>
      <c r="U36" s="1">
        <v>-5490.4461154900146</v>
      </c>
      <c r="V36" s="1">
        <v>-3667.9018917232961</v>
      </c>
      <c r="W36" s="1">
        <v>-1837.7637336908822</v>
      </c>
    </row>
    <row r="37" spans="2:69" x14ac:dyDescent="0.25">
      <c r="B37" t="s">
        <v>37</v>
      </c>
      <c r="C37" s="9">
        <f>C32*12</f>
        <v>60</v>
      </c>
      <c r="E37" s="6">
        <f>E32*12</f>
        <v>15.999999600000001</v>
      </c>
      <c r="H37" s="1"/>
      <c r="I37" s="1"/>
      <c r="J37" s="1"/>
      <c r="K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2:69" x14ac:dyDescent="0.25">
      <c r="B38" t="s">
        <v>38</v>
      </c>
      <c r="C38" s="7" t="e">
        <f>C36*C37-C31</f>
        <v>#REF!</v>
      </c>
      <c r="E38" s="8">
        <f>E36*E37-E31</f>
        <v>244824.97110635974</v>
      </c>
      <c r="H38" s="1"/>
      <c r="I38" s="1"/>
      <c r="J38" s="1"/>
      <c r="K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2:69" x14ac:dyDescent="0.25">
      <c r="H39" s="1"/>
      <c r="J39" s="1"/>
    </row>
    <row r="40" spans="2:69" x14ac:dyDescent="0.25">
      <c r="H40" s="1"/>
      <c r="J40" s="1"/>
    </row>
    <row r="41" spans="2:69" x14ac:dyDescent="0.25">
      <c r="H41" s="1"/>
      <c r="J41" s="1"/>
    </row>
    <row r="42" spans="2:69" x14ac:dyDescent="0.25">
      <c r="B42" s="3" t="s">
        <v>156</v>
      </c>
      <c r="H42" s="1"/>
      <c r="J42" s="1"/>
    </row>
    <row r="43" spans="2:69" x14ac:dyDescent="0.25">
      <c r="H43" s="1"/>
      <c r="J43" s="1"/>
    </row>
    <row r="44" spans="2:69" ht="26.25" x14ac:dyDescent="0.25">
      <c r="C44" s="5" t="s">
        <v>32</v>
      </c>
      <c r="E44" s="5" t="s">
        <v>144</v>
      </c>
      <c r="H44" s="1"/>
      <c r="J44" s="1"/>
    </row>
    <row r="45" spans="2:69" x14ac:dyDescent="0.25">
      <c r="B45" t="s">
        <v>30</v>
      </c>
      <c r="C45" s="1">
        <f>' Viabilidad88manteniendo+1plESE'!E38</f>
        <v>2600243.0711675193</v>
      </c>
      <c r="D45" s="1"/>
      <c r="E45" s="1">
        <f>' Viabilidad 88 manteniendo+1pl'!E39</f>
        <v>3257134.3019145005</v>
      </c>
      <c r="H45" s="1" t="s">
        <v>146</v>
      </c>
      <c r="J45" s="1"/>
    </row>
    <row r="46" spans="2:69" x14ac:dyDescent="0.25">
      <c r="B46" t="s">
        <v>33</v>
      </c>
      <c r="C46" s="6">
        <v>5</v>
      </c>
      <c r="E46" s="6">
        <v>1.3333330000000001</v>
      </c>
      <c r="H46" s="1">
        <v>-7584.0422874999995</v>
      </c>
      <c r="I46" s="1">
        <v>-7468.1954477007021</v>
      </c>
      <c r="J46" s="1">
        <v>-7352.0107212853227</v>
      </c>
      <c r="K46" s="1">
        <v>-7235.4871227512313</v>
      </c>
      <c r="L46" s="1">
        <v>-7118.6236637214151</v>
      </c>
      <c r="M46" s="1">
        <v>-7001.4193529360964</v>
      </c>
      <c r="N46" s="1">
        <v>-6883.8731962443208</v>
      </c>
      <c r="O46" s="1">
        <v>-6765.9841965955266</v>
      </c>
      <c r="P46" s="1">
        <v>-6647.7513540310902</v>
      </c>
      <c r="Q46" s="1">
        <v>-6529.1736656758412</v>
      </c>
      <c r="R46" s="1">
        <v>-6410.2501257295553</v>
      </c>
      <c r="S46" s="1">
        <v>-6290.9797254584273</v>
      </c>
      <c r="T46" s="1">
        <v>-6171.361453186506</v>
      </c>
      <c r="U46" s="1">
        <v>-6051.3942942871281</v>
      </c>
      <c r="V46" s="1">
        <v>-5931.0772311742921</v>
      </c>
      <c r="W46" s="1">
        <v>-5810.4092432940433</v>
      </c>
      <c r="X46" s="1">
        <v>-5689.3893071158109</v>
      </c>
      <c r="Y46" s="1">
        <v>-5568.0163961237258</v>
      </c>
      <c r="Z46" s="1">
        <v>-5446.2894808079136</v>
      </c>
      <c r="AA46" s="1">
        <v>-5324.2075286557629</v>
      </c>
      <c r="AB46" s="1">
        <v>-5201.769504143168</v>
      </c>
      <c r="AC46" s="1">
        <v>-5078.974368725746</v>
      </c>
      <c r="AD46" s="1">
        <v>-4955.8210808300228</v>
      </c>
      <c r="AE46" s="1">
        <v>-4832.3085958446036</v>
      </c>
      <c r="AF46" s="1">
        <v>-4708.4358661113101</v>
      </c>
      <c r="AG46" s="1">
        <v>-4584.2018409162956</v>
      </c>
      <c r="AH46" s="1">
        <v>-4459.6054664811272</v>
      </c>
      <c r="AI46" s="1">
        <v>-4334.6456859538584</v>
      </c>
      <c r="AJ46" s="1">
        <v>-4209.3214394000506</v>
      </c>
      <c r="AK46" s="1">
        <v>-4083.6316637937935</v>
      </c>
      <c r="AL46" s="1">
        <v>-3957.5752930086851</v>
      </c>
      <c r="AM46" s="1">
        <v>-3831.1512578087877</v>
      </c>
      <c r="AN46" s="1">
        <v>-3704.3584858395561</v>
      </c>
      <c r="AO46" s="1">
        <v>-3577.1959016187484</v>
      </c>
      <c r="AP46" s="1">
        <v>-3449.6624265272972</v>
      </c>
      <c r="AQ46" s="1">
        <v>-3321.7569788001615</v>
      </c>
      <c r="AR46" s="1">
        <v>-3193.4784735171552</v>
      </c>
      <c r="AS46" s="1">
        <v>-3064.8258225937402</v>
      </c>
      <c r="AT46" s="1">
        <v>-2935.7979347717983</v>
      </c>
      <c r="AU46" s="1">
        <v>-2806.3937156103757</v>
      </c>
      <c r="AV46" s="1">
        <v>-2676.6120674763997</v>
      </c>
      <c r="AW46" s="1">
        <v>-2546.4518895353663</v>
      </c>
      <c r="AX46" s="1">
        <v>-2415.9120777420044</v>
      </c>
      <c r="AY46" s="1">
        <v>-2284.9915248309117</v>
      </c>
      <c r="AZ46" s="1">
        <v>-2153.6891203071618</v>
      </c>
      <c r="BA46" s="1">
        <v>-2022.0037504368843</v>
      </c>
      <c r="BB46" s="1">
        <v>-1889.9342982378187</v>
      </c>
      <c r="BC46" s="1">
        <v>-1757.4796434698387</v>
      </c>
      <c r="BD46" s="1">
        <v>-1624.6386626254525</v>
      </c>
      <c r="BE46" s="1">
        <v>-1491.4102289202704</v>
      </c>
      <c r="BF46" s="1">
        <v>-1357.7932122834479</v>
      </c>
      <c r="BG46" s="1">
        <v>-1223.786479348101</v>
      </c>
      <c r="BH46" s="1">
        <v>-1089.388893441693</v>
      </c>
      <c r="BI46" s="1">
        <v>-954.59931457639141</v>
      </c>
      <c r="BJ46" s="1">
        <v>-819.41659943939931</v>
      </c>
      <c r="BK46" s="1">
        <v>-683.83960138325733</v>
      </c>
      <c r="BL46" s="1">
        <v>-547.8671704161186</v>
      </c>
      <c r="BM46" s="1">
        <v>-411.49815319199234</v>
      </c>
      <c r="BN46" s="1">
        <v>-274.73139300096238</v>
      </c>
      <c r="BO46" s="1">
        <v>-137.56572975937513</v>
      </c>
    </row>
    <row r="47" spans="2:69" x14ac:dyDescent="0.25">
      <c r="B47" t="s">
        <v>34</v>
      </c>
      <c r="C47" s="2">
        <v>3.5000000000000003E-2</v>
      </c>
      <c r="E47" s="2">
        <v>0.05</v>
      </c>
      <c r="H47" s="1"/>
      <c r="J47" s="1"/>
    </row>
    <row r="48" spans="2:69" x14ac:dyDescent="0.25">
      <c r="C48" s="2"/>
      <c r="E48" s="2"/>
      <c r="H48" s="1"/>
      <c r="J48" s="1"/>
    </row>
    <row r="49" spans="2:67" x14ac:dyDescent="0.25">
      <c r="B49" t="s">
        <v>35</v>
      </c>
      <c r="C49" s="2">
        <f>C47/12</f>
        <v>2.9166666666666668E-3</v>
      </c>
      <c r="E49" s="2">
        <f>E47/12</f>
        <v>4.1666666666666666E-3</v>
      </c>
      <c r="H49" s="1" t="s">
        <v>147</v>
      </c>
      <c r="J49" s="1"/>
    </row>
    <row r="50" spans="2:67" x14ac:dyDescent="0.25">
      <c r="B50" t="s">
        <v>36</v>
      </c>
      <c r="C50" s="7">
        <f>PMT(C49,C51,-C45)</f>
        <v>47302.958811355777</v>
      </c>
      <c r="E50" s="8">
        <f>PMT(E49,E51,-E45)</f>
        <v>210855.68787104863</v>
      </c>
      <c r="H50" s="1">
        <v>-13571.392916666666</v>
      </c>
      <c r="I50" s="1">
        <v>-12749.375233955998</v>
      </c>
      <c r="J50" s="1">
        <v>-11923.93247756737</v>
      </c>
      <c r="K50" s="1">
        <v>-11095.050376360454</v>
      </c>
      <c r="L50" s="1">
        <v>-10262.714599731844</v>
      </c>
      <c r="M50" s="1">
        <v>-9426.9107573672791</v>
      </c>
      <c r="N50" s="1">
        <v>-8587.6243989928626</v>
      </c>
      <c r="O50" s="1">
        <v>-7744.8410141252216</v>
      </c>
      <c r="P50" s="1">
        <v>-6898.5460318206306</v>
      </c>
      <c r="Q50" s="1">
        <v>-6048.7248204231037</v>
      </c>
      <c r="R50" s="1">
        <v>-5195.3626873114217</v>
      </c>
      <c r="S50" s="1">
        <v>-4338.4448786451057</v>
      </c>
      <c r="T50" s="1">
        <v>-3477.9565791093473</v>
      </c>
      <c r="U50" s="1">
        <v>-2613.8829116588577</v>
      </c>
      <c r="V50" s="1">
        <v>-1746.2089372606567</v>
      </c>
      <c r="W50" s="1">
        <v>-874.91965463579675</v>
      </c>
    </row>
    <row r="51" spans="2:67" x14ac:dyDescent="0.25">
      <c r="B51" t="s">
        <v>37</v>
      </c>
      <c r="C51" s="9">
        <f>C46*12</f>
        <v>60</v>
      </c>
      <c r="E51" s="6">
        <f>E46*12</f>
        <v>15.999996000000001</v>
      </c>
      <c r="H51" s="1"/>
      <c r="J51" s="1"/>
    </row>
    <row r="52" spans="2:67" x14ac:dyDescent="0.25">
      <c r="B52" t="s">
        <v>38</v>
      </c>
      <c r="C52" s="7">
        <f>C50*C51-C45</f>
        <v>237934.45751382736</v>
      </c>
      <c r="E52" s="8">
        <f>E50*E51-E45</f>
        <v>116555.8605995262</v>
      </c>
      <c r="H52" s="1"/>
      <c r="J52" s="1"/>
    </row>
    <row r="53" spans="2:67" x14ac:dyDescent="0.25">
      <c r="H53" s="1"/>
      <c r="I53" s="1"/>
      <c r="J53" s="1"/>
      <c r="K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2:67" x14ac:dyDescent="0.25">
      <c r="H54" s="1"/>
      <c r="I54" s="1"/>
      <c r="J54" s="1"/>
      <c r="K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2:67" x14ac:dyDescent="0.25">
      <c r="H55" s="1"/>
      <c r="J55" s="1"/>
    </row>
    <row r="56" spans="2:67" x14ac:dyDescent="0.25">
      <c r="B56" s="3" t="s">
        <v>157</v>
      </c>
      <c r="H56" s="1"/>
      <c r="J56" s="1"/>
    </row>
    <row r="57" spans="2:67" x14ac:dyDescent="0.25">
      <c r="H57" s="1"/>
      <c r="J57" s="1"/>
    </row>
    <row r="58" spans="2:67" ht="26.25" x14ac:dyDescent="0.25">
      <c r="C58" s="5" t="s">
        <v>32</v>
      </c>
      <c r="E58" s="5" t="s">
        <v>144</v>
      </c>
      <c r="H58" s="1"/>
      <c r="J58" s="1"/>
    </row>
    <row r="59" spans="2:67" x14ac:dyDescent="0.25">
      <c r="B59" t="s">
        <v>30</v>
      </c>
      <c r="C59" s="1">
        <f>' Viabilidad88manteniendo+2plESE'!E38</f>
        <v>4073629.8939317497</v>
      </c>
      <c r="D59" s="1"/>
      <c r="E59" s="1">
        <f>' Viabilidad88manteniendo+2plESE'!E39</f>
        <v>4575940.387298122</v>
      </c>
      <c r="H59" s="1" t="s">
        <v>146</v>
      </c>
      <c r="J59" s="1"/>
    </row>
    <row r="60" spans="2:67" x14ac:dyDescent="0.25">
      <c r="B60" t="s">
        <v>33</v>
      </c>
      <c r="C60" s="6">
        <v>5</v>
      </c>
      <c r="E60" s="6">
        <v>1.3333333000000001</v>
      </c>
      <c r="H60" s="1">
        <v>-11881.443962500001</v>
      </c>
      <c r="I60" s="1">
        <v>-11699.9539756131</v>
      </c>
      <c r="J60" s="1">
        <v>-11517.934642931114</v>
      </c>
      <c r="K60" s="1">
        <v>-11335.384420528802</v>
      </c>
      <c r="L60" s="1">
        <v>-11152.301759977818</v>
      </c>
      <c r="M60" s="1">
        <v>-10968.685108333562</v>
      </c>
      <c r="N60" s="1">
        <v>-10784.532908122008</v>
      </c>
      <c r="O60" s="1">
        <v>-10599.843597326504</v>
      </c>
      <c r="P60" s="1">
        <v>-10414.615609374514</v>
      </c>
      <c r="Q60" s="1">
        <v>-10228.847373124332</v>
      </c>
      <c r="R60" s="1">
        <v>-10042.537312851749</v>
      </c>
      <c r="S60" s="1">
        <v>-9855.6838482367093</v>
      </c>
      <c r="T60" s="1">
        <v>-9668.285394349874</v>
      </c>
      <c r="U60" s="1">
        <v>-9480.3403616392025</v>
      </c>
      <c r="V60" s="1">
        <v>-9291.8471559164573</v>
      </c>
      <c r="W60" s="1">
        <v>-9102.8041783436856</v>
      </c>
      <c r="X60" s="1">
        <v>-8913.2098254196626</v>
      </c>
      <c r="Y60" s="1">
        <v>-8723.0624889662795</v>
      </c>
      <c r="Z60" s="1">
        <v>-8532.3605561149034</v>
      </c>
      <c r="AA60" s="1">
        <v>-8341.1024092927128</v>
      </c>
      <c r="AB60" s="1">
        <v>-8149.2864262089561</v>
      </c>
      <c r="AC60" s="1">
        <v>-7956.9109798412055</v>
      </c>
      <c r="AD60" s="1">
        <v>-7763.974438421551</v>
      </c>
      <c r="AE60" s="1">
        <v>-7570.475165422753</v>
      </c>
      <c r="AF60" s="1">
        <v>-7376.4115195443783</v>
      </c>
      <c r="AG60" s="1">
        <v>-7181.7818546988565</v>
      </c>
      <c r="AH60" s="1">
        <v>-6986.5845199975347</v>
      </c>
      <c r="AI60" s="1">
        <v>-6790.8178597366696</v>
      </c>
      <c r="AJ60" s="1">
        <v>-6594.4802133833764</v>
      </c>
      <c r="AK60" s="1">
        <v>-6397.5699155615503</v>
      </c>
      <c r="AL60" s="1">
        <v>-6200.0852960377442</v>
      </c>
      <c r="AM60" s="1">
        <v>-6002.0246797069958</v>
      </c>
      <c r="AN60" s="1">
        <v>-5803.3863865786152</v>
      </c>
      <c r="AO60" s="1">
        <v>-5604.1687317619435</v>
      </c>
      <c r="AP60" s="1">
        <v>-5404.3700254520572</v>
      </c>
      <c r="AQ60" s="1">
        <v>-5203.988572915433</v>
      </c>
      <c r="AR60" s="1">
        <v>-5003.0226744755764</v>
      </c>
      <c r="AS60" s="1">
        <v>-4801.4706254986049</v>
      </c>
      <c r="AT60" s="1">
        <v>-4599.3307163787822</v>
      </c>
      <c r="AU60" s="1">
        <v>-4396.6012325240272</v>
      </c>
      <c r="AV60" s="1">
        <v>-4193.2804543413631</v>
      </c>
      <c r="AW60" s="1">
        <v>-3989.3666572223337</v>
      </c>
      <c r="AX60" s="1">
        <v>-3784.8581115283719</v>
      </c>
      <c r="AY60" s="1">
        <v>-3579.7530825761373</v>
      </c>
      <c r="AZ60" s="1">
        <v>-3374.0498306227919</v>
      </c>
      <c r="BA60" s="1">
        <v>-3167.7466108512485</v>
      </c>
      <c r="BB60" s="1">
        <v>-2960.8416733553722</v>
      </c>
      <c r="BC60" s="1">
        <v>-2753.3332631251324</v>
      </c>
      <c r="BD60" s="1">
        <v>-2545.2196200317217</v>
      </c>
      <c r="BE60" s="1">
        <v>-2336.4989788126218</v>
      </c>
      <c r="BF60" s="1">
        <v>-2127.1695690566326</v>
      </c>
      <c r="BG60" s="1">
        <v>-1917.229615188855</v>
      </c>
      <c r="BH60" s="1">
        <v>-1706.6773364556298</v>
      </c>
      <c r="BI60" s="1">
        <v>-1495.5109469094327</v>
      </c>
      <c r="BJ60" s="1">
        <v>-1283.7286553937258</v>
      </c>
      <c r="BK60" s="1">
        <v>-1071.3286655277648</v>
      </c>
      <c r="BL60" s="1">
        <v>-858.30917569136136</v>
      </c>
      <c r="BM60" s="1">
        <v>-644.66837900960184</v>
      </c>
      <c r="BN60" s="1">
        <v>-430.40446333752061</v>
      </c>
      <c r="BO60" s="1">
        <v>-215.51561124472886</v>
      </c>
    </row>
    <row r="61" spans="2:67" x14ac:dyDescent="0.25">
      <c r="B61" t="s">
        <v>34</v>
      </c>
      <c r="C61" s="2">
        <v>3.5000000000000003E-2</v>
      </c>
      <c r="E61" s="2">
        <v>0.05</v>
      </c>
      <c r="H61" s="1"/>
      <c r="J61" s="1"/>
    </row>
    <row r="62" spans="2:67" x14ac:dyDescent="0.25">
      <c r="C62" s="2"/>
      <c r="E62" s="2"/>
      <c r="H62" s="1"/>
      <c r="J62" s="1"/>
    </row>
    <row r="63" spans="2:67" x14ac:dyDescent="0.25">
      <c r="B63" t="s">
        <v>35</v>
      </c>
      <c r="C63" s="2">
        <f>C61/12</f>
        <v>2.9166666666666668E-3</v>
      </c>
      <c r="E63" s="2">
        <f>E61/12</f>
        <v>4.1666666666666666E-3</v>
      </c>
      <c r="H63" s="1" t="s">
        <v>147</v>
      </c>
      <c r="J63" s="1"/>
    </row>
    <row r="64" spans="2:67" x14ac:dyDescent="0.25">
      <c r="B64" t="s">
        <v>36</v>
      </c>
      <c r="C64" s="7">
        <f>PMT(C63,C65,-C59)</f>
        <v>74106.43613361902</v>
      </c>
      <c r="E64" s="8">
        <f>PMT(E63,E65,-E59)</f>
        <v>296230.59985604609</v>
      </c>
      <c r="H64" s="1">
        <v>-19066.451541666665</v>
      </c>
      <c r="I64" s="1">
        <v>-17911.598800313306</v>
      </c>
      <c r="J64" s="1">
        <v>-16751.93417253764</v>
      </c>
      <c r="K64" s="1">
        <v>-15587.437608812907</v>
      </c>
      <c r="L64" s="1">
        <v>-14418.088976072655</v>
      </c>
      <c r="M64" s="1">
        <v>-13243.868057362653</v>
      </c>
      <c r="N64" s="1">
        <v>-12064.754551491358</v>
      </c>
      <c r="O64" s="1">
        <v>-10880.728072678934</v>
      </c>
      <c r="P64" s="1">
        <v>-9691.7681502047926</v>
      </c>
      <c r="Q64" s="1">
        <v>-8497.8542280536749</v>
      </c>
      <c r="R64" s="1">
        <v>-7298.965664560259</v>
      </c>
      <c r="S64" s="1">
        <v>-6095.0817320522883</v>
      </c>
      <c r="T64" s="1">
        <v>-4886.1816164922011</v>
      </c>
      <c r="U64" s="1">
        <v>-3672.2444171172806</v>
      </c>
      <c r="V64" s="1">
        <v>-2453.2491460782981</v>
      </c>
      <c r="W64" s="1">
        <v>-1229.1747280766522</v>
      </c>
    </row>
    <row r="65" spans="2:67" x14ac:dyDescent="0.25">
      <c r="B65" t="s">
        <v>37</v>
      </c>
      <c r="C65" s="9">
        <f>C60*12</f>
        <v>60</v>
      </c>
      <c r="E65" s="6">
        <f>E60*12</f>
        <v>15.999999600000001</v>
      </c>
      <c r="H65" s="1"/>
      <c r="J65" s="1"/>
    </row>
    <row r="66" spans="2:67" x14ac:dyDescent="0.25">
      <c r="B66" t="s">
        <v>38</v>
      </c>
      <c r="C66" s="7">
        <f>C64*C65-C59</f>
        <v>372756.27408539178</v>
      </c>
      <c r="E66" s="8">
        <f>E64*E65-E59</f>
        <v>163749.09190637525</v>
      </c>
      <c r="H66" s="1"/>
      <c r="J66" s="1"/>
    </row>
    <row r="67" spans="2:67" x14ac:dyDescent="0.25">
      <c r="H67" s="1"/>
      <c r="L67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2:67" x14ac:dyDescent="0.25">
      <c r="H68" s="1"/>
      <c r="I68" s="1"/>
      <c r="J68" s="1"/>
      <c r="K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2:67" x14ac:dyDescent="0.25">
      <c r="B69" s="3"/>
      <c r="H69" s="1"/>
      <c r="L6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2:67" x14ac:dyDescent="0.25">
      <c r="B70" s="3" t="s">
        <v>158</v>
      </c>
      <c r="H70" s="1"/>
      <c r="I70" s="1"/>
      <c r="J70" s="1"/>
      <c r="K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2:67" x14ac:dyDescent="0.25">
      <c r="H71" s="1"/>
      <c r="J71" s="1"/>
    </row>
    <row r="72" spans="2:67" ht="26.25" x14ac:dyDescent="0.25">
      <c r="C72" s="5" t="s">
        <v>32</v>
      </c>
      <c r="E72" s="5" t="s">
        <v>144</v>
      </c>
      <c r="H72" s="1"/>
      <c r="J72" s="1"/>
    </row>
    <row r="73" spans="2:67" x14ac:dyDescent="0.25">
      <c r="B73" t="s">
        <v>30</v>
      </c>
      <c r="C73" s="1">
        <f>' Viabilidad 88 manteniendo+ ESE'!E38</f>
        <v>872449.33913431061</v>
      </c>
      <c r="D73" s="1"/>
      <c r="E73" s="1">
        <f>' Viabilidad 88 manteniendo+ ESE'!E39</f>
        <v>1710611.5009280001</v>
      </c>
      <c r="H73" s="1" t="s">
        <v>146</v>
      </c>
      <c r="I73" s="1"/>
      <c r="J73" s="1"/>
      <c r="K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2:67" x14ac:dyDescent="0.25">
      <c r="B74" t="s">
        <v>33</v>
      </c>
      <c r="C74" s="6">
        <v>5</v>
      </c>
      <c r="E74" s="6">
        <v>1.3333330000000001</v>
      </c>
      <c r="H74" s="1">
        <v>-2544.6439083333339</v>
      </c>
      <c r="I74" s="1">
        <v>-2505.7742733787895</v>
      </c>
      <c r="J74" s="1">
        <v>-2466.7912686556278</v>
      </c>
      <c r="K74" s="1">
        <v>-2427.6945635020234</v>
      </c>
      <c r="L74" s="1">
        <v>-2388.483826291721</v>
      </c>
      <c r="M74" s="1">
        <v>-2349.1587244312223</v>
      </c>
      <c r="N74" s="1">
        <v>-2309.7189243569637</v>
      </c>
      <c r="O74" s="1">
        <v>-2270.1640915324879</v>
      </c>
      <c r="P74" s="1">
        <v>-2230.493890445608</v>
      </c>
      <c r="Q74" s="1">
        <v>-2190.7079846055581</v>
      </c>
      <c r="R74" s="1">
        <v>-2150.8060365401407</v>
      </c>
      <c r="S74" s="1">
        <v>-2110.7877077928665</v>
      </c>
      <c r="T74" s="1">
        <v>-2070.6526589200789</v>
      </c>
      <c r="U74" s="1">
        <v>-2030.4005494880796</v>
      </c>
      <c r="V74" s="1">
        <v>-1990.0310380702367</v>
      </c>
      <c r="W74" s="1">
        <v>-1949.5437822440913</v>
      </c>
      <c r="X74" s="1">
        <v>-1908.9384385884537</v>
      </c>
      <c r="Y74" s="1">
        <v>-1868.214662680487</v>
      </c>
      <c r="Z74" s="1">
        <v>-1827.3721090927882</v>
      </c>
      <c r="AA74" s="1">
        <v>-1786.4104313904591</v>
      </c>
      <c r="AB74" s="1">
        <v>-1745.3292821281646</v>
      </c>
      <c r="AC74" s="1">
        <v>-1704.1283128471882</v>
      </c>
      <c r="AD74" s="1">
        <v>-1662.8071740724763</v>
      </c>
      <c r="AE74" s="1">
        <v>-1621.3655153096711</v>
      </c>
      <c r="AF74" s="1">
        <v>-1579.8029850421412</v>
      </c>
      <c r="AG74" s="1">
        <v>-1538.1192307279978</v>
      </c>
      <c r="AH74" s="1">
        <v>-1496.3138987971045</v>
      </c>
      <c r="AI74" s="1">
        <v>-1454.3866346480795</v>
      </c>
      <c r="AJ74" s="1">
        <v>-1412.337082645287</v>
      </c>
      <c r="AK74" s="1">
        <v>-1370.1648861158189</v>
      </c>
      <c r="AL74" s="1">
        <v>-1327.8696873464733</v>
      </c>
      <c r="AM74" s="1">
        <v>-1285.4511275807176</v>
      </c>
      <c r="AN74" s="1">
        <v>-1242.9088470156448</v>
      </c>
      <c r="AO74" s="1">
        <v>-1200.2424847989239</v>
      </c>
      <c r="AP74" s="1">
        <v>-1157.4516790257376</v>
      </c>
      <c r="AQ74" s="1">
        <v>-1114.5360667357129</v>
      </c>
      <c r="AR74" s="1">
        <v>-1071.4952839098421</v>
      </c>
      <c r="AS74" s="1">
        <v>-1028.3289654673961</v>
      </c>
      <c r="AT74" s="1">
        <v>-985.036745262826</v>
      </c>
      <c r="AU74" s="1">
        <v>-941.61825608265929</v>
      </c>
      <c r="AV74" s="1">
        <v>-898.07312964238395</v>
      </c>
      <c r="AW74" s="1">
        <v>-854.4009965833244</v>
      </c>
      <c r="AX74" s="1">
        <v>-810.60148646950927</v>
      </c>
      <c r="AY74" s="1">
        <v>-766.67422778452874</v>
      </c>
      <c r="AZ74" s="1">
        <v>-722.61884792838384</v>
      </c>
      <c r="BA74" s="1">
        <v>-678.43497321432505</v>
      </c>
      <c r="BB74" s="1">
        <v>-634.12222886568372</v>
      </c>
      <c r="BC74" s="1">
        <v>-589.68023901269203</v>
      </c>
      <c r="BD74" s="1">
        <v>-545.10862668929599</v>
      </c>
      <c r="BE74" s="1">
        <v>-500.40701382995655</v>
      </c>
      <c r="BF74" s="1">
        <v>-455.57502126644414</v>
      </c>
      <c r="BG74" s="1">
        <v>-410.6122687246214</v>
      </c>
      <c r="BH74" s="1">
        <v>-365.51837482121834</v>
      </c>
      <c r="BI74" s="1">
        <v>-320.29295706059708</v>
      </c>
      <c r="BJ74" s="1">
        <v>-274.93563183150729</v>
      </c>
      <c r="BK74" s="1">
        <v>-229.44601440383266</v>
      </c>
      <c r="BL74" s="1">
        <v>-183.82371892532734</v>
      </c>
      <c r="BM74" s="1">
        <v>-138.06835841834305</v>
      </c>
      <c r="BN74" s="1">
        <v>-92.179544776546706</v>
      </c>
      <c r="BO74" s="1">
        <v>-46.15688876162843</v>
      </c>
    </row>
    <row r="75" spans="2:67" x14ac:dyDescent="0.25">
      <c r="B75" t="s">
        <v>34</v>
      </c>
      <c r="C75" s="2">
        <v>3.5000000000000003E-2</v>
      </c>
      <c r="E75" s="2">
        <v>0.05</v>
      </c>
      <c r="H75" s="1"/>
      <c r="J75" s="1"/>
    </row>
    <row r="76" spans="2:67" x14ac:dyDescent="0.25">
      <c r="C76" s="2"/>
      <c r="E76" s="2"/>
      <c r="H76" s="1"/>
      <c r="J76" s="1"/>
    </row>
    <row r="77" spans="2:67" x14ac:dyDescent="0.25">
      <c r="B77" t="s">
        <v>35</v>
      </c>
      <c r="C77" s="2">
        <f>C75/12</f>
        <v>2.9166666666666668E-3</v>
      </c>
      <c r="E77" s="2">
        <f>E75/12</f>
        <v>4.1666666666666666E-3</v>
      </c>
      <c r="H77" s="1" t="s">
        <v>147</v>
      </c>
      <c r="I77" s="1"/>
      <c r="J77" s="1"/>
      <c r="K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2:67" x14ac:dyDescent="0.25">
      <c r="B78" t="s">
        <v>36</v>
      </c>
      <c r="C78" s="7">
        <f>PMT(C77,C79,-C73)</f>
        <v>15871.375877000117</v>
      </c>
      <c r="E78" s="8">
        <f>PMT(E77,E79,-E73)</f>
        <v>110739.11336609311</v>
      </c>
      <c r="H78" s="1">
        <v>-7127.5479166666664</v>
      </c>
      <c r="I78" s="1">
        <v>-6695.8331724363716</v>
      </c>
      <c r="J78" s="1">
        <v>-6262.3196167717842</v>
      </c>
      <c r="K78" s="1">
        <v>-5826.9997546252607</v>
      </c>
      <c r="L78" s="1">
        <v>-5389.8660597197932</v>
      </c>
      <c r="M78" s="1">
        <v>-4950.9109744188872</v>
      </c>
      <c r="N78" s="1">
        <v>-4510.1269095958914</v>
      </c>
      <c r="O78" s="1">
        <v>-4067.5062445028029</v>
      </c>
      <c r="P78" s="1">
        <v>-3623.0413266384921</v>
      </c>
      <c r="Q78" s="1">
        <v>-3176.7244716164137</v>
      </c>
      <c r="R78" s="1">
        <v>-2728.5479630317427</v>
      </c>
      <c r="S78" s="1">
        <v>-2278.5040523279686</v>
      </c>
      <c r="T78" s="1">
        <v>-1826.5849586629295</v>
      </c>
      <c r="U78" s="1">
        <v>-1372.7828687742858</v>
      </c>
      <c r="V78" s="1">
        <v>-917.08993684443953</v>
      </c>
      <c r="W78" s="1">
        <v>-459.49828436488548</v>
      </c>
    </row>
    <row r="79" spans="2:67" x14ac:dyDescent="0.25">
      <c r="B79" t="s">
        <v>37</v>
      </c>
      <c r="C79" s="9">
        <f>C74*12</f>
        <v>60</v>
      </c>
      <c r="E79" s="6">
        <f>E74*12</f>
        <v>15.999996000000001</v>
      </c>
      <c r="H79" s="1"/>
      <c r="J79" s="1"/>
    </row>
    <row r="80" spans="2:67" x14ac:dyDescent="0.25">
      <c r="B80" t="s">
        <v>38</v>
      </c>
      <c r="C80" s="7">
        <f>C78*C79-C73</f>
        <v>79833.213485696353</v>
      </c>
      <c r="E80" s="8">
        <f>E78*E79-E73</f>
        <v>61213.869973036228</v>
      </c>
      <c r="L80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5:70" x14ac:dyDescent="0.25">
      <c r="L81"/>
    </row>
    <row r="82" spans="5:70" x14ac:dyDescent="0.25">
      <c r="I82" s="1">
        <v>7584.0422874999995</v>
      </c>
      <c r="J82">
        <v>7468.1954477007021</v>
      </c>
      <c r="K82">
        <v>7352.0107212853227</v>
      </c>
      <c r="L82">
        <v>7235.4871227512313</v>
      </c>
      <c r="M82">
        <v>7118.6236637214151</v>
      </c>
      <c r="N82">
        <v>7001.4193529360964</v>
      </c>
      <c r="O82">
        <v>6883.8731962443208</v>
      </c>
      <c r="P82">
        <v>6765.9841965955266</v>
      </c>
      <c r="Q82" s="1">
        <v>6647.7513540310902</v>
      </c>
      <c r="R82">
        <v>6529.1736656758412</v>
      </c>
      <c r="S82">
        <v>6410.2501257295553</v>
      </c>
      <c r="T82">
        <v>6290.9797254584273</v>
      </c>
      <c r="U82">
        <v>6171.361453186506</v>
      </c>
      <c r="V82">
        <v>6051.3942942871281</v>
      </c>
      <c r="W82">
        <v>5931.0772311742921</v>
      </c>
      <c r="X82">
        <v>5810.4092432940433</v>
      </c>
      <c r="Y82">
        <v>5689.3893071158109</v>
      </c>
      <c r="Z82">
        <v>5568.0163961237258</v>
      </c>
      <c r="AA82">
        <v>5446.2894808079136</v>
      </c>
      <c r="AB82">
        <v>5324.2075286557629</v>
      </c>
      <c r="AC82">
        <v>5201.769504143168</v>
      </c>
      <c r="AD82">
        <v>5078.974368725746</v>
      </c>
      <c r="AE82">
        <v>4955.8210808300228</v>
      </c>
      <c r="AF82">
        <v>4832.3085958446036</v>
      </c>
      <c r="AG82">
        <v>4708.4358661113101</v>
      </c>
      <c r="AH82">
        <v>4584.2018409162956</v>
      </c>
      <c r="AI82">
        <v>4459.6054664811272</v>
      </c>
      <c r="AJ82">
        <v>4334.6456859538584</v>
      </c>
      <c r="AK82">
        <v>4209.3214394000506</v>
      </c>
      <c r="AL82">
        <v>4083.6316637937935</v>
      </c>
      <c r="AM82">
        <v>3957.5752930086851</v>
      </c>
      <c r="AN82">
        <v>3831.1512578087877</v>
      </c>
      <c r="AO82">
        <v>3704.3584858395561</v>
      </c>
      <c r="AP82">
        <v>3577.1959016187484</v>
      </c>
      <c r="AQ82">
        <v>3449.6624265272972</v>
      </c>
      <c r="AR82">
        <v>3321.7569788001615</v>
      </c>
      <c r="AS82">
        <v>3193.4784735171552</v>
      </c>
      <c r="AT82">
        <v>3064.8258225937402</v>
      </c>
      <c r="AU82">
        <v>2935.7979347717983</v>
      </c>
      <c r="AV82">
        <v>2806.3937156103757</v>
      </c>
      <c r="AW82">
        <v>2676.6120674763997</v>
      </c>
      <c r="AX82">
        <v>2546.4518895353663</v>
      </c>
      <c r="AY82">
        <v>2415.9120777420044</v>
      </c>
      <c r="AZ82">
        <v>2284.9915248309117</v>
      </c>
      <c r="BA82">
        <v>2153.6891203071618</v>
      </c>
      <c r="BB82">
        <v>2022.0037504368843</v>
      </c>
      <c r="BC82">
        <v>1889.9342982378187</v>
      </c>
      <c r="BD82">
        <v>1757.4796434698387</v>
      </c>
      <c r="BE82">
        <v>1624.6386626254525</v>
      </c>
      <c r="BF82">
        <v>1491.4102289202704</v>
      </c>
      <c r="BG82">
        <v>1357.7932122834479</v>
      </c>
      <c r="BH82">
        <v>1223.786479348101</v>
      </c>
      <c r="BI82">
        <v>1089.388893441693</v>
      </c>
      <c r="BJ82">
        <v>954.59931457639141</v>
      </c>
      <c r="BK82">
        <v>819.41659943939931</v>
      </c>
      <c r="BL82">
        <v>683.83960138325733</v>
      </c>
      <c r="BM82">
        <v>547.8671704161186</v>
      </c>
      <c r="BN82">
        <v>411.49815319199234</v>
      </c>
      <c r="BO82">
        <v>274.73139300096238</v>
      </c>
      <c r="BP82">
        <v>137.56572975937513</v>
      </c>
    </row>
    <row r="83" spans="5:70" x14ac:dyDescent="0.25">
      <c r="I83" s="1">
        <f>-I82</f>
        <v>-7584.0422874999995</v>
      </c>
      <c r="J83" s="1">
        <f t="shared" ref="J83:X83" si="0">-J82</f>
        <v>-7468.1954477007021</v>
      </c>
      <c r="K83" s="1">
        <f t="shared" si="0"/>
        <v>-7352.0107212853227</v>
      </c>
      <c r="L83" s="1">
        <f t="shared" si="0"/>
        <v>-7235.4871227512313</v>
      </c>
      <c r="M83" s="1">
        <f t="shared" si="0"/>
        <v>-7118.6236637214151</v>
      </c>
      <c r="N83" s="1">
        <f t="shared" si="0"/>
        <v>-7001.4193529360964</v>
      </c>
      <c r="O83" s="1">
        <f t="shared" si="0"/>
        <v>-6883.8731962443208</v>
      </c>
      <c r="P83" s="1">
        <f t="shared" si="0"/>
        <v>-6765.9841965955266</v>
      </c>
      <c r="Q83" s="1">
        <f t="shared" si="0"/>
        <v>-6647.7513540310902</v>
      </c>
      <c r="R83" s="1">
        <f t="shared" si="0"/>
        <v>-6529.1736656758412</v>
      </c>
      <c r="S83" s="1">
        <f t="shared" si="0"/>
        <v>-6410.2501257295553</v>
      </c>
      <c r="T83" s="1">
        <f t="shared" si="0"/>
        <v>-6290.9797254584273</v>
      </c>
      <c r="U83" s="1">
        <f t="shared" si="0"/>
        <v>-6171.361453186506</v>
      </c>
      <c r="V83" s="1">
        <f t="shared" si="0"/>
        <v>-6051.3942942871281</v>
      </c>
      <c r="W83" s="1">
        <f t="shared" si="0"/>
        <v>-5931.0772311742921</v>
      </c>
      <c r="X83" s="1">
        <f t="shared" si="0"/>
        <v>-5810.4092432940433</v>
      </c>
      <c r="Y83" s="1">
        <f t="shared" ref="Y83" si="1">-Y82</f>
        <v>-5689.3893071158109</v>
      </c>
      <c r="Z83" s="1">
        <f t="shared" ref="Z83" si="2">-Z82</f>
        <v>-5568.0163961237258</v>
      </c>
      <c r="AA83" s="1">
        <f t="shared" ref="AA83" si="3">-AA82</f>
        <v>-5446.2894808079136</v>
      </c>
      <c r="AB83" s="1">
        <f t="shared" ref="AB83" si="4">-AB82</f>
        <v>-5324.2075286557629</v>
      </c>
      <c r="AC83" s="1">
        <f t="shared" ref="AC83" si="5">-AC82</f>
        <v>-5201.769504143168</v>
      </c>
      <c r="AD83" s="1">
        <f t="shared" ref="AD83" si="6">-AD82</f>
        <v>-5078.974368725746</v>
      </c>
      <c r="AE83" s="1">
        <f t="shared" ref="AE83" si="7">-AE82</f>
        <v>-4955.8210808300228</v>
      </c>
      <c r="AF83" s="1">
        <f t="shared" ref="AF83" si="8">-AF82</f>
        <v>-4832.3085958446036</v>
      </c>
      <c r="AG83" s="1">
        <f t="shared" ref="AG83" si="9">-AG82</f>
        <v>-4708.4358661113101</v>
      </c>
      <c r="AH83" s="1">
        <f t="shared" ref="AH83" si="10">-AH82</f>
        <v>-4584.2018409162956</v>
      </c>
      <c r="AI83" s="1">
        <f t="shared" ref="AI83" si="11">-AI82</f>
        <v>-4459.6054664811272</v>
      </c>
      <c r="AJ83" s="1">
        <f t="shared" ref="AJ83" si="12">-AJ82</f>
        <v>-4334.6456859538584</v>
      </c>
      <c r="AK83" s="1">
        <f t="shared" ref="AK83" si="13">-AK82</f>
        <v>-4209.3214394000506</v>
      </c>
      <c r="AL83" s="1">
        <f t="shared" ref="AL83" si="14">-AL82</f>
        <v>-4083.6316637937935</v>
      </c>
      <c r="AM83" s="1">
        <f t="shared" ref="AM83" si="15">-AM82</f>
        <v>-3957.5752930086851</v>
      </c>
      <c r="AN83" s="1">
        <f t="shared" ref="AN83" si="16">-AN82</f>
        <v>-3831.1512578087877</v>
      </c>
      <c r="AO83" s="1">
        <f t="shared" ref="AO83" si="17">-AO82</f>
        <v>-3704.3584858395561</v>
      </c>
      <c r="AP83" s="1">
        <f t="shared" ref="AP83" si="18">-AP82</f>
        <v>-3577.1959016187484</v>
      </c>
      <c r="AQ83" s="1">
        <f t="shared" ref="AQ83" si="19">-AQ82</f>
        <v>-3449.6624265272972</v>
      </c>
      <c r="AR83" s="1">
        <f t="shared" ref="AR83" si="20">-AR82</f>
        <v>-3321.7569788001615</v>
      </c>
      <c r="AS83" s="1">
        <f t="shared" ref="AS83" si="21">-AS82</f>
        <v>-3193.4784735171552</v>
      </c>
      <c r="AT83" s="1">
        <f t="shared" ref="AT83" si="22">-AT82</f>
        <v>-3064.8258225937402</v>
      </c>
      <c r="AU83" s="1">
        <f t="shared" ref="AU83" si="23">-AU82</f>
        <v>-2935.7979347717983</v>
      </c>
      <c r="AV83" s="1">
        <f t="shared" ref="AV83" si="24">-AV82</f>
        <v>-2806.3937156103757</v>
      </c>
      <c r="AW83" s="1">
        <f t="shared" ref="AW83" si="25">-AW82</f>
        <v>-2676.6120674763997</v>
      </c>
      <c r="AX83" s="1">
        <f t="shared" ref="AX83" si="26">-AX82</f>
        <v>-2546.4518895353663</v>
      </c>
      <c r="AY83" s="1">
        <f t="shared" ref="AY83" si="27">-AY82</f>
        <v>-2415.9120777420044</v>
      </c>
      <c r="AZ83" s="1">
        <f t="shared" ref="AZ83" si="28">-AZ82</f>
        <v>-2284.9915248309117</v>
      </c>
      <c r="BA83" s="1">
        <f t="shared" ref="BA83" si="29">-BA82</f>
        <v>-2153.6891203071618</v>
      </c>
      <c r="BB83" s="1">
        <f t="shared" ref="BB83" si="30">-BB82</f>
        <v>-2022.0037504368843</v>
      </c>
      <c r="BC83" s="1">
        <f t="shared" ref="BC83" si="31">-BC82</f>
        <v>-1889.9342982378187</v>
      </c>
      <c r="BD83" s="1">
        <f t="shared" ref="BD83" si="32">-BD82</f>
        <v>-1757.4796434698387</v>
      </c>
      <c r="BE83" s="1">
        <f t="shared" ref="BE83" si="33">-BE82</f>
        <v>-1624.6386626254525</v>
      </c>
      <c r="BF83" s="1">
        <f t="shared" ref="BF83" si="34">-BF82</f>
        <v>-1491.4102289202704</v>
      </c>
      <c r="BG83" s="1">
        <f t="shared" ref="BG83" si="35">-BG82</f>
        <v>-1357.7932122834479</v>
      </c>
      <c r="BH83" s="1">
        <f t="shared" ref="BH83" si="36">-BH82</f>
        <v>-1223.786479348101</v>
      </c>
      <c r="BI83" s="1">
        <f t="shared" ref="BI83" si="37">-BI82</f>
        <v>-1089.388893441693</v>
      </c>
      <c r="BJ83" s="1">
        <f t="shared" ref="BJ83" si="38">-BJ82</f>
        <v>-954.59931457639141</v>
      </c>
      <c r="BK83" s="1">
        <f t="shared" ref="BK83" si="39">-BK82</f>
        <v>-819.41659943939931</v>
      </c>
      <c r="BL83" s="1">
        <f t="shared" ref="BL83" si="40">-BL82</f>
        <v>-683.83960138325733</v>
      </c>
      <c r="BM83" s="1">
        <f t="shared" ref="BM83" si="41">-BM82</f>
        <v>-547.8671704161186</v>
      </c>
      <c r="BN83" s="1">
        <f t="shared" ref="BN83" si="42">-BN82</f>
        <v>-411.49815319199234</v>
      </c>
      <c r="BO83" s="1">
        <f t="shared" ref="BO83" si="43">-BO82</f>
        <v>-274.73139300096238</v>
      </c>
      <c r="BP83" s="1">
        <f t="shared" ref="BP83" si="44">-BP82</f>
        <v>-137.56572975937513</v>
      </c>
      <c r="BQ83" s="1"/>
    </row>
    <row r="84" spans="5:70" x14ac:dyDescent="0.25">
      <c r="G84" s="1">
        <v>7584.0422874999995</v>
      </c>
      <c r="L84"/>
      <c r="O84" s="1"/>
    </row>
    <row r="85" spans="5:70" x14ac:dyDescent="0.25">
      <c r="G85">
        <v>7468.1954477007021</v>
      </c>
      <c r="H85" s="1"/>
      <c r="I85" s="1"/>
      <c r="J85" s="1"/>
      <c r="K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5:70" x14ac:dyDescent="0.25">
      <c r="G86">
        <v>7352.0107212853227</v>
      </c>
      <c r="H86" s="1"/>
      <c r="I86" s="1"/>
      <c r="J86" s="1"/>
      <c r="K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</row>
    <row r="87" spans="5:70" x14ac:dyDescent="0.25">
      <c r="G87">
        <v>7235.4871227512313</v>
      </c>
      <c r="L87"/>
    </row>
    <row r="88" spans="5:70" x14ac:dyDescent="0.25">
      <c r="G88">
        <v>7118.6236637214151</v>
      </c>
      <c r="J88" s="1"/>
    </row>
    <row r="89" spans="5:70" x14ac:dyDescent="0.25">
      <c r="G89">
        <v>7001.4193529360964</v>
      </c>
      <c r="J89" s="1"/>
    </row>
    <row r="90" spans="5:70" x14ac:dyDescent="0.25">
      <c r="G90">
        <v>6883.8731962443208</v>
      </c>
      <c r="J90" s="1"/>
    </row>
    <row r="91" spans="5:70" x14ac:dyDescent="0.25">
      <c r="G91">
        <v>6765.9841965955266</v>
      </c>
      <c r="J91" s="1"/>
    </row>
    <row r="92" spans="5:70" x14ac:dyDescent="0.25">
      <c r="E92" s="1"/>
      <c r="F92" s="1"/>
      <c r="G92" s="1">
        <v>6647.7513540310902</v>
      </c>
      <c r="H92" s="1"/>
      <c r="I92" s="1"/>
      <c r="J92" s="1"/>
      <c r="K92" s="1"/>
      <c r="M92" s="1"/>
      <c r="N92" s="1"/>
      <c r="O92" s="1"/>
      <c r="P92" s="1"/>
      <c r="Q92" s="1"/>
      <c r="R92" s="1"/>
      <c r="S92" s="1"/>
      <c r="T92" s="1"/>
    </row>
    <row r="93" spans="5:70" x14ac:dyDescent="0.25">
      <c r="G93">
        <v>6529.1736656758412</v>
      </c>
      <c r="J93" s="1"/>
    </row>
    <row r="94" spans="5:70" x14ac:dyDescent="0.25">
      <c r="G94">
        <v>6410.2501257295553</v>
      </c>
      <c r="J94" s="1"/>
    </row>
    <row r="95" spans="5:70" x14ac:dyDescent="0.25">
      <c r="G95">
        <v>6290.9797254584273</v>
      </c>
      <c r="J95" s="1"/>
    </row>
    <row r="96" spans="5:70" x14ac:dyDescent="0.25">
      <c r="G96">
        <v>6171.361453186506</v>
      </c>
      <c r="J96" s="1"/>
    </row>
    <row r="97" spans="7:10" x14ac:dyDescent="0.25">
      <c r="G97">
        <v>6051.3942942871281</v>
      </c>
      <c r="J97" s="1"/>
    </row>
    <row r="98" spans="7:10" x14ac:dyDescent="0.25">
      <c r="G98">
        <v>5931.0772311742921</v>
      </c>
    </row>
    <row r="99" spans="7:10" x14ac:dyDescent="0.25">
      <c r="G99">
        <v>5810.4092432940433</v>
      </c>
    </row>
    <row r="100" spans="7:10" x14ac:dyDescent="0.25">
      <c r="G100">
        <v>5689.3893071158109</v>
      </c>
    </row>
    <row r="101" spans="7:10" x14ac:dyDescent="0.25">
      <c r="G101">
        <v>5568.0163961237258</v>
      </c>
    </row>
    <row r="102" spans="7:10" x14ac:dyDescent="0.25">
      <c r="G102">
        <v>5446.2894808079136</v>
      </c>
    </row>
    <row r="103" spans="7:10" x14ac:dyDescent="0.25">
      <c r="G103">
        <v>5324.2075286557629</v>
      </c>
    </row>
    <row r="104" spans="7:10" x14ac:dyDescent="0.25">
      <c r="G104">
        <v>5201.769504143168</v>
      </c>
    </row>
    <row r="105" spans="7:10" x14ac:dyDescent="0.25">
      <c r="G105">
        <v>5078.974368725746</v>
      </c>
    </row>
    <row r="106" spans="7:10" x14ac:dyDescent="0.25">
      <c r="G106">
        <v>4955.8210808300228</v>
      </c>
    </row>
    <row r="107" spans="7:10" x14ac:dyDescent="0.25">
      <c r="G107">
        <v>4832.3085958446036</v>
      </c>
    </row>
    <row r="108" spans="7:10" x14ac:dyDescent="0.25">
      <c r="G108">
        <v>4708.4358661113101</v>
      </c>
    </row>
    <row r="109" spans="7:10" x14ac:dyDescent="0.25">
      <c r="G109">
        <v>4584.2018409162956</v>
      </c>
    </row>
    <row r="110" spans="7:10" x14ac:dyDescent="0.25">
      <c r="G110">
        <v>4459.6054664811272</v>
      </c>
    </row>
    <row r="111" spans="7:10" x14ac:dyDescent="0.25">
      <c r="G111">
        <v>4334.6456859538584</v>
      </c>
    </row>
    <row r="112" spans="7:10" x14ac:dyDescent="0.25">
      <c r="G112">
        <v>4209.3214394000506</v>
      </c>
    </row>
    <row r="113" spans="7:7" x14ac:dyDescent="0.25">
      <c r="G113">
        <v>4083.6316637937935</v>
      </c>
    </row>
    <row r="114" spans="7:7" x14ac:dyDescent="0.25">
      <c r="G114">
        <v>3957.5752930086851</v>
      </c>
    </row>
    <row r="115" spans="7:7" x14ac:dyDescent="0.25">
      <c r="G115">
        <v>3831.1512578087877</v>
      </c>
    </row>
    <row r="116" spans="7:7" x14ac:dyDescent="0.25">
      <c r="G116">
        <v>3704.3584858395561</v>
      </c>
    </row>
    <row r="117" spans="7:7" x14ac:dyDescent="0.25">
      <c r="G117">
        <v>3577.1959016187484</v>
      </c>
    </row>
    <row r="118" spans="7:7" x14ac:dyDescent="0.25">
      <c r="G118">
        <v>3449.6624265272972</v>
      </c>
    </row>
    <row r="119" spans="7:7" x14ac:dyDescent="0.25">
      <c r="G119">
        <v>3321.7569788001615</v>
      </c>
    </row>
    <row r="120" spans="7:7" x14ac:dyDescent="0.25">
      <c r="G120">
        <v>3193.4784735171552</v>
      </c>
    </row>
    <row r="121" spans="7:7" x14ac:dyDescent="0.25">
      <c r="G121">
        <v>3064.8258225937402</v>
      </c>
    </row>
    <row r="122" spans="7:7" x14ac:dyDescent="0.25">
      <c r="G122">
        <v>2935.7979347717983</v>
      </c>
    </row>
    <row r="123" spans="7:7" x14ac:dyDescent="0.25">
      <c r="G123">
        <v>2806.3937156103757</v>
      </c>
    </row>
    <row r="124" spans="7:7" x14ac:dyDescent="0.25">
      <c r="G124">
        <v>2676.6120674763997</v>
      </c>
    </row>
    <row r="125" spans="7:7" x14ac:dyDescent="0.25">
      <c r="G125">
        <v>2546.4518895353663</v>
      </c>
    </row>
    <row r="126" spans="7:7" x14ac:dyDescent="0.25">
      <c r="G126">
        <v>2415.9120777420044</v>
      </c>
    </row>
    <row r="127" spans="7:7" x14ac:dyDescent="0.25">
      <c r="G127">
        <v>2284.9915248309117</v>
      </c>
    </row>
    <row r="128" spans="7:7" x14ac:dyDescent="0.25">
      <c r="G128">
        <v>2153.6891203071618</v>
      </c>
    </row>
    <row r="129" spans="7:7" x14ac:dyDescent="0.25">
      <c r="G129">
        <v>2022.0037504368843</v>
      </c>
    </row>
    <row r="130" spans="7:7" x14ac:dyDescent="0.25">
      <c r="G130">
        <v>1889.9342982378187</v>
      </c>
    </row>
    <row r="131" spans="7:7" x14ac:dyDescent="0.25">
      <c r="G131">
        <v>1757.4796434698387</v>
      </c>
    </row>
    <row r="132" spans="7:7" x14ac:dyDescent="0.25">
      <c r="G132">
        <v>1624.6386626254525</v>
      </c>
    </row>
    <row r="133" spans="7:7" x14ac:dyDescent="0.25">
      <c r="G133">
        <v>1491.4102289202704</v>
      </c>
    </row>
    <row r="134" spans="7:7" x14ac:dyDescent="0.25">
      <c r="G134">
        <v>1357.7932122834479</v>
      </c>
    </row>
    <row r="135" spans="7:7" x14ac:dyDescent="0.25">
      <c r="G135">
        <v>1223.786479348101</v>
      </c>
    </row>
    <row r="136" spans="7:7" x14ac:dyDescent="0.25">
      <c r="G136">
        <v>1089.388893441693</v>
      </c>
    </row>
    <row r="137" spans="7:7" x14ac:dyDescent="0.25">
      <c r="G137">
        <v>954.59931457639141</v>
      </c>
    </row>
    <row r="138" spans="7:7" x14ac:dyDescent="0.25">
      <c r="G138">
        <v>819.41659943939931</v>
      </c>
    </row>
    <row r="139" spans="7:7" x14ac:dyDescent="0.25">
      <c r="G139">
        <v>683.83960138325733</v>
      </c>
    </row>
    <row r="140" spans="7:7" x14ac:dyDescent="0.25">
      <c r="G140">
        <v>547.8671704161186</v>
      </c>
    </row>
    <row r="141" spans="7:7" x14ac:dyDescent="0.25">
      <c r="G141">
        <v>411.49815319199234</v>
      </c>
    </row>
    <row r="142" spans="7:7" x14ac:dyDescent="0.25">
      <c r="G142">
        <v>274.73139300096238</v>
      </c>
    </row>
    <row r="143" spans="7:7" x14ac:dyDescent="0.25">
      <c r="G143">
        <v>137.56572975937513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 Viabilidad 88 manteniendo+ ESE</vt:lpstr>
      <vt:lpstr> Viabilidad88manteniendo+2plESE</vt:lpstr>
      <vt:lpstr> Viabilidad88manteniendo+1plESE</vt:lpstr>
      <vt:lpstr> Viabilidad 88 manteniendo+2pl</vt:lpstr>
      <vt:lpstr> Viabilidad 88 manteniendo+1pl</vt:lpstr>
      <vt:lpstr> Viabilidad 88 NE</vt:lpstr>
      <vt:lpstr> Viabilidad 88 NE ampliando 2pl</vt:lpstr>
      <vt:lpstr> Viabilidad 88 NE ampliando 1pl</vt:lpstr>
      <vt:lpstr>intereses</vt:lpstr>
      <vt:lpstr>evolucion certificaciones nuevo</vt:lpstr>
      <vt:lpstr>AñosPréstamo</vt:lpstr>
      <vt:lpstr>CantidadPréstamo</vt:lpstr>
      <vt:lpstr>FechaInicioPréstamo</vt:lpstr>
      <vt:lpstr>NúmeroDePagos</vt:lpstr>
      <vt:lpstr>TasaInterés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Mingarro Montori</dc:creator>
  <cp:lastModifiedBy>luism</cp:lastModifiedBy>
  <dcterms:created xsi:type="dcterms:W3CDTF">2019-05-21T15:51:49Z</dcterms:created>
  <dcterms:modified xsi:type="dcterms:W3CDTF">2022-12-03T21:19:51Z</dcterms:modified>
</cp:coreProperties>
</file>